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/>
  <mc:AlternateContent xmlns:mc="http://schemas.openxmlformats.org/markup-compatibility/2006">
    <mc:Choice Requires="x15">
      <x15ac:absPath xmlns:x15ac="http://schemas.microsoft.com/office/spreadsheetml/2010/11/ac" url="D:\AMBIENTAL 2022\POA\"/>
    </mc:Choice>
  </mc:AlternateContent>
  <bookViews>
    <workbookView xWindow="0" yWindow="0" windowWidth="20490" windowHeight="7155" firstSheet="1" activeTab="7"/>
  </bookViews>
  <sheets>
    <sheet name="RESIDUOS_POR_AÑO" sheetId="69" r:id="rId1"/>
    <sheet name="TOTAL DE RESIDUOS_2023" sheetId="56" r:id="rId2"/>
    <sheet name="MESES 2023" sheetId="1" r:id="rId3"/>
    <sheet name="PAP_01_23 " sheetId="70" state="hidden" r:id="rId4"/>
    <sheet name="PAP_02_23  " sheetId="157" state="hidden" r:id="rId5"/>
    <sheet name="PAP_03_23  " sheetId="156" state="hidden" r:id="rId6"/>
    <sheet name="PAP_04_23" sheetId="234" state="hidden" r:id="rId7"/>
    <sheet name="PAP_05-23" sheetId="235" r:id="rId8"/>
    <sheet name="PAP_04_22   " sheetId="158" state="hidden" r:id="rId9"/>
    <sheet name="PAP_05_22" sheetId="159" state="hidden" r:id="rId10"/>
    <sheet name="PAP_06_22 " sheetId="202" state="hidden" r:id="rId11"/>
    <sheet name="PAP_07_22  " sheetId="203" state="hidden" r:id="rId12"/>
    <sheet name="PAP_12_22 " sheetId="197" state="hidden" r:id="rId13"/>
    <sheet name="PAP_06_23" sheetId="242" r:id="rId14"/>
    <sheet name="PAP_07_23" sheetId="249" r:id="rId15"/>
    <sheet name="PAP_08_23  " sheetId="204" r:id="rId16"/>
    <sheet name="PAP_09_23   " sheetId="205" r:id="rId17"/>
    <sheet name="PAP_10_23  " sheetId="206" r:id="rId18"/>
    <sheet name="PAP_11_23  " sheetId="207" r:id="rId19"/>
    <sheet name="PAP_12_23" sheetId="147" r:id="rId20"/>
    <sheet name="VER_01_23" sheetId="71" state="hidden" r:id="rId21"/>
    <sheet name="VER_02_23 " sheetId="160" state="hidden" r:id="rId22"/>
    <sheet name="VER_03_23 " sheetId="162" state="hidden" r:id="rId23"/>
    <sheet name="VER_04_23" sheetId="233" state="hidden" r:id="rId24"/>
    <sheet name="VER_05_23 " sheetId="236" r:id="rId25"/>
    <sheet name="VER_04_22  " sheetId="164" state="hidden" r:id="rId26"/>
    <sheet name="VER_05_22" sheetId="208" state="hidden" r:id="rId27"/>
    <sheet name="VER_06_22 " sheetId="209" state="hidden" r:id="rId28"/>
    <sheet name="VER_06_23 " sheetId="248" r:id="rId29"/>
    <sheet name="VER_07_23 " sheetId="210" r:id="rId30"/>
    <sheet name="VER_08_23" sheetId="211" r:id="rId31"/>
    <sheet name="VER_09_23" sheetId="212" r:id="rId32"/>
    <sheet name="VER_10_23 " sheetId="213" r:id="rId33"/>
    <sheet name="VER_11_23 " sheetId="214" r:id="rId34"/>
    <sheet name="VER_12_23" sheetId="199" r:id="rId35"/>
    <sheet name="GRI_01_23" sheetId="72" r:id="rId36"/>
    <sheet name="GRI_02_23" sheetId="161" r:id="rId37"/>
    <sheet name="GRI_03_23" sheetId="163" r:id="rId38"/>
    <sheet name="GRI_04_23 " sheetId="237" r:id="rId39"/>
    <sheet name="GRI_05_23" sheetId="238" r:id="rId40"/>
    <sheet name="GRI_06_23 " sheetId="246" r:id="rId41"/>
    <sheet name="GRI_04_22" sheetId="165" state="hidden" r:id="rId42"/>
    <sheet name="GRI_05_22 " sheetId="215" state="hidden" r:id="rId43"/>
    <sheet name="GRI_06_22 " sheetId="216" state="hidden" r:id="rId44"/>
    <sheet name="GRI_07_23 " sheetId="217" r:id="rId45"/>
    <sheet name="GRI_08_23 " sheetId="218" r:id="rId46"/>
    <sheet name="GRI_09_23" sheetId="219" r:id="rId47"/>
    <sheet name="GRI_10_23" sheetId="220" r:id="rId48"/>
    <sheet name="GRI_11_23" sheetId="221" r:id="rId49"/>
    <sheet name="GRI_12_23" sheetId="201" r:id="rId50"/>
    <sheet name="NEG_01_23" sheetId="74" r:id="rId51"/>
    <sheet name="NEG_02_23" sheetId="121" r:id="rId52"/>
    <sheet name="NEG_03_23" sheetId="122" r:id="rId53"/>
    <sheet name="NEG_04_23" sheetId="123" r:id="rId54"/>
    <sheet name="NEG_05_23" sheetId="124" r:id="rId55"/>
    <sheet name="NEG_06_23" sheetId="125" r:id="rId56"/>
    <sheet name="NEG_07_23" sheetId="126" r:id="rId57"/>
    <sheet name="NEG_08_23" sheetId="127" r:id="rId58"/>
    <sheet name="NEG_9_23" sheetId="136" r:id="rId59"/>
    <sheet name="NEG_10_23" sheetId="141" r:id="rId60"/>
    <sheet name="NEG_11_23" sheetId="146" r:id="rId61"/>
    <sheet name="NEG_12_23" sheetId="151" r:id="rId62"/>
    <sheet name="PLA_01_23" sheetId="73" state="hidden" r:id="rId63"/>
    <sheet name="PLA_02_23" sheetId="152" state="hidden" r:id="rId64"/>
    <sheet name="PLA_03_23  " sheetId="153" state="hidden" r:id="rId65"/>
    <sheet name="PLA_04_23" sheetId="239" state="hidden" r:id="rId66"/>
    <sheet name="PLA_05_23" sheetId="240" r:id="rId67"/>
    <sheet name="PLA_06_23 " sheetId="244" r:id="rId68"/>
    <sheet name="PLA_04_22   " sheetId="154" state="hidden" r:id="rId69"/>
    <sheet name="PLA_05_22    " sheetId="155" state="hidden" r:id="rId70"/>
    <sheet name="PLA_06_22  " sheetId="222" state="hidden" r:id="rId71"/>
    <sheet name="PLA_07_23 " sheetId="223" r:id="rId72"/>
    <sheet name="PLA_08_22" sheetId="224" state="hidden" r:id="rId73"/>
    <sheet name="PLA_8_23" sheetId="94" r:id="rId74"/>
    <sheet name="PLA_09_23 " sheetId="225" r:id="rId75"/>
    <sheet name="PLA_10_23 " sheetId="226" r:id="rId76"/>
    <sheet name="PLA_11_23" sheetId="227" r:id="rId77"/>
    <sheet name="PLA_12_23 " sheetId="198" r:id="rId78"/>
    <sheet name="ICOPOR_01_19" sheetId="75" state="hidden" r:id="rId79"/>
    <sheet name="PAP_2_20" sheetId="76" state="hidden" r:id="rId80"/>
    <sheet name="PAP_3_20" sheetId="77" state="hidden" r:id="rId81"/>
    <sheet name="PAP_4_20" sheetId="78" state="hidden" r:id="rId82"/>
    <sheet name="PAP_5_20" sheetId="79" state="hidden" r:id="rId83"/>
    <sheet name="PAP_6_20" sheetId="80" state="hidden" r:id="rId84"/>
    <sheet name="PAP_7_20" sheetId="81" state="hidden" r:id="rId85"/>
    <sheet name="PAP_8_20" sheetId="82" state="hidden" r:id="rId86"/>
    <sheet name="PAPEL_9_19" sheetId="83" state="hidden" r:id="rId87"/>
    <sheet name="PAPEL_10_19" sheetId="84" state="hidden" r:id="rId88"/>
    <sheet name="PAPEL_11_19" sheetId="85" state="hidden" r:id="rId89"/>
    <sheet name="PAPEL_12_19" sheetId="86" state="hidden" r:id="rId90"/>
    <sheet name="PLA_2_20" sheetId="88" state="hidden" r:id="rId91"/>
    <sheet name="PLA_3_20" sheetId="89" state="hidden" r:id="rId92"/>
    <sheet name="PLA_4_20" sheetId="90" state="hidden" r:id="rId93"/>
    <sheet name="PLA_5_20" sheetId="91" state="hidden" r:id="rId94"/>
    <sheet name="PLA_6_20" sheetId="92" state="hidden" r:id="rId95"/>
    <sheet name="PLASTICO_9_19" sheetId="95" state="hidden" r:id="rId96"/>
    <sheet name="PLASTICO_10_19" sheetId="96" state="hidden" r:id="rId97"/>
    <sheet name="PLASTICO_11_19" sheetId="97" state="hidden" r:id="rId98"/>
    <sheet name="PLASTICO_12_19" sheetId="98" state="hidden" r:id="rId99"/>
    <sheet name="GRI_2_20" sheetId="99" state="hidden" r:id="rId100"/>
    <sheet name="GRI_3_20" sheetId="100" state="hidden" r:id="rId101"/>
    <sheet name="GRI_4_20" sheetId="101" state="hidden" r:id="rId102"/>
    <sheet name="GRI_5_20" sheetId="102" state="hidden" r:id="rId103"/>
    <sheet name="GRI_6_20" sheetId="103" state="hidden" r:id="rId104"/>
    <sheet name="GRI_7_20" sheetId="104" state="hidden" r:id="rId105"/>
    <sheet name="GRI_8_20" sheetId="105" state="hidden" r:id="rId106"/>
    <sheet name="GRIS_9_19" sheetId="106" state="hidden" r:id="rId107"/>
    <sheet name="GRIS_10_19" sheetId="107" state="hidden" r:id="rId108"/>
    <sheet name="GRIS_11_19" sheetId="108" state="hidden" r:id="rId109"/>
    <sheet name="GRIS_12_19" sheetId="109" state="hidden" r:id="rId110"/>
    <sheet name="VER_2_20" sheetId="110" state="hidden" r:id="rId111"/>
    <sheet name="VER_3_20" sheetId="111" state="hidden" r:id="rId112"/>
    <sheet name="VER_4_19" sheetId="112" state="hidden" r:id="rId113"/>
    <sheet name="VER_5_20" sheetId="113" state="hidden" r:id="rId114"/>
    <sheet name="VER_6_20" sheetId="114" state="hidden" r:id="rId115"/>
    <sheet name="VER_7_20" sheetId="115" state="hidden" r:id="rId116"/>
    <sheet name="VER_8_20" sheetId="116" state="hidden" r:id="rId117"/>
    <sheet name="VERDE_9_19" sheetId="117" state="hidden" r:id="rId118"/>
    <sheet name="VERDE_10_19" sheetId="118" state="hidden" r:id="rId119"/>
    <sheet name="VERDE_11_19" sheetId="119" state="hidden" r:id="rId120"/>
    <sheet name="VERDE_12_19" sheetId="120" state="hidden" r:id="rId121"/>
    <sheet name="NEGRA_09_19" sheetId="128" state="hidden" r:id="rId122"/>
    <sheet name="NEGRA_10_19" sheetId="129" state="hidden" r:id="rId123"/>
    <sheet name="NEGRA_11_19" sheetId="130" state="hidden" r:id="rId124"/>
    <sheet name="NEGRA_12_19" sheetId="131" state="hidden" r:id="rId125"/>
    <sheet name="PAP_9_20" sheetId="132" state="hidden" r:id="rId126"/>
    <sheet name="PLA_9_20" sheetId="133" state="hidden" r:id="rId127"/>
    <sheet name="VER_9_20" sheetId="135" state="hidden" r:id="rId128"/>
    <sheet name="GRIS_9_20" sheetId="134" state="hidden" r:id="rId129"/>
    <sheet name="PAP_10_20" sheetId="137" state="hidden" r:id="rId130"/>
    <sheet name="PLA_10_20" sheetId="138" state="hidden" r:id="rId131"/>
    <sheet name="GRIS_10_20" sheetId="139" state="hidden" r:id="rId132"/>
    <sheet name="VER_10_20" sheetId="140" state="hidden" r:id="rId133"/>
    <sheet name="PAP_11_20" sheetId="142" state="hidden" r:id="rId134"/>
    <sheet name="PLA_11_20" sheetId="143" state="hidden" r:id="rId135"/>
    <sheet name="VER_11_20" sheetId="145" state="hidden" r:id="rId136"/>
    <sheet name="GRIS_11_20" sheetId="144" state="hidden" r:id="rId137"/>
    <sheet name="PLAS_12_20" sheetId="148" state="hidden" r:id="rId138"/>
    <sheet name="VER_12_20" sheetId="149" state="hidden" r:id="rId139"/>
    <sheet name="GRIS_12_20" sheetId="150" state="hidden" r:id="rId140"/>
    <sheet name="Hoja3" sheetId="243" r:id="rId14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G6" i="124" l="1"/>
  <c r="AG4" i="124"/>
  <c r="K5" i="238" l="1"/>
  <c r="I5" i="238"/>
  <c r="C5" i="238"/>
  <c r="N5" i="124" l="1"/>
  <c r="M5" i="124"/>
  <c r="L5" i="124"/>
  <c r="K5" i="124"/>
  <c r="J5" i="124"/>
  <c r="D5" i="124"/>
  <c r="E5" i="124"/>
  <c r="F5" i="124"/>
  <c r="G5" i="124"/>
  <c r="I5" i="124"/>
  <c r="AG7" i="238"/>
  <c r="AG21" i="124"/>
  <c r="AG22" i="124"/>
  <c r="AG26" i="238"/>
  <c r="AE34" i="124"/>
  <c r="AD34" i="124"/>
  <c r="AC34" i="124"/>
  <c r="AB34" i="124"/>
  <c r="AA34" i="124"/>
  <c r="Z34" i="124"/>
  <c r="Y34" i="124"/>
  <c r="X34" i="124"/>
  <c r="W34" i="124"/>
  <c r="V34" i="124"/>
  <c r="U34" i="124"/>
  <c r="T34" i="124"/>
  <c r="S34" i="124"/>
  <c r="R34" i="124"/>
  <c r="Q34" i="124"/>
  <c r="P34" i="124"/>
  <c r="O34" i="124"/>
  <c r="N34" i="124"/>
  <c r="M34" i="124"/>
  <c r="L34" i="124"/>
  <c r="K34" i="124"/>
  <c r="J34" i="124"/>
  <c r="I34" i="124"/>
  <c r="H34" i="124"/>
  <c r="G34" i="124"/>
  <c r="F34" i="124"/>
  <c r="E34" i="124"/>
  <c r="D34" i="124"/>
  <c r="C34" i="124"/>
  <c r="B34" i="124"/>
  <c r="AE36" i="238"/>
  <c r="AD36" i="238"/>
  <c r="AC36" i="238"/>
  <c r="AB36" i="238"/>
  <c r="AA36" i="238"/>
  <c r="Z36" i="238"/>
  <c r="X36" i="238"/>
  <c r="W36" i="238"/>
  <c r="V36" i="238"/>
  <c r="U36" i="238"/>
  <c r="T36" i="238"/>
  <c r="S36" i="238"/>
  <c r="R36" i="238"/>
  <c r="Q36" i="238"/>
  <c r="P36" i="238"/>
  <c r="O36" i="238"/>
  <c r="N36" i="238"/>
  <c r="M36" i="238"/>
  <c r="L36" i="238"/>
  <c r="K36" i="238"/>
  <c r="J36" i="238"/>
  <c r="I36" i="238"/>
  <c r="H36" i="238"/>
  <c r="F36" i="238"/>
  <c r="G36" i="238"/>
  <c r="E36" i="238"/>
  <c r="D36" i="238"/>
  <c r="C36" i="238"/>
  <c r="B36" i="238"/>
  <c r="AF33" i="238"/>
  <c r="AE33" i="238"/>
  <c r="AD33" i="238"/>
  <c r="AC33" i="238"/>
  <c r="AB33" i="238"/>
  <c r="AA33" i="238"/>
  <c r="Z33" i="238"/>
  <c r="Y33" i="238"/>
  <c r="X33" i="238"/>
  <c r="W33" i="238"/>
  <c r="V33" i="238"/>
  <c r="U33" i="238"/>
  <c r="T33" i="238"/>
  <c r="S33" i="238"/>
  <c r="R33" i="238"/>
  <c r="Q33" i="238"/>
  <c r="P33" i="238"/>
  <c r="O33" i="238"/>
  <c r="N33" i="238"/>
  <c r="M33" i="238"/>
  <c r="L33" i="238"/>
  <c r="K33" i="238"/>
  <c r="J33" i="238"/>
  <c r="I33" i="238"/>
  <c r="H33" i="238"/>
  <c r="G33" i="238"/>
  <c r="F33" i="238"/>
  <c r="E33" i="238"/>
  <c r="D33" i="238"/>
  <c r="C33" i="238"/>
  <c r="B33" i="238"/>
  <c r="AF31" i="124"/>
  <c r="AE31" i="124"/>
  <c r="AD31" i="124"/>
  <c r="AC31" i="124"/>
  <c r="AB31" i="124"/>
  <c r="AA31" i="124"/>
  <c r="Z31" i="124"/>
  <c r="Y31" i="124"/>
  <c r="X31" i="124"/>
  <c r="W31" i="124"/>
  <c r="V31" i="124"/>
  <c r="U31" i="124"/>
  <c r="T31" i="124"/>
  <c r="S31" i="124"/>
  <c r="S36" i="124" s="1"/>
  <c r="R31" i="124"/>
  <c r="Q31" i="124"/>
  <c r="P31" i="124"/>
  <c r="O31" i="124"/>
  <c r="N31" i="124"/>
  <c r="M31" i="124"/>
  <c r="L31" i="124"/>
  <c r="K31" i="124"/>
  <c r="J31" i="124"/>
  <c r="H31" i="124"/>
  <c r="H36" i="124" s="1"/>
  <c r="I31" i="124"/>
  <c r="G31" i="124"/>
  <c r="F31" i="124"/>
  <c r="E31" i="124"/>
  <c r="D31" i="124"/>
  <c r="C31" i="124"/>
  <c r="B31" i="124"/>
  <c r="J36" i="124" l="1"/>
  <c r="G36" i="124"/>
  <c r="AG31" i="124"/>
  <c r="AG33" i="238"/>
  <c r="N28" i="238"/>
  <c r="M28" i="238"/>
  <c r="L28" i="238"/>
  <c r="AD26" i="124"/>
  <c r="AC26" i="124"/>
  <c r="AB26" i="124"/>
  <c r="AA26" i="124"/>
  <c r="Z26" i="124"/>
  <c r="Z36" i="124" s="1"/>
  <c r="Y26" i="124"/>
  <c r="X26" i="124"/>
  <c r="X36" i="124" s="1"/>
  <c r="W26" i="124"/>
  <c r="W36" i="124" s="1"/>
  <c r="V26" i="124"/>
  <c r="V36" i="124" s="1"/>
  <c r="U26" i="124"/>
  <c r="U36" i="124" s="1"/>
  <c r="T26" i="124"/>
  <c r="T36" i="124" s="1"/>
  <c r="R26" i="124"/>
  <c r="M26" i="124"/>
  <c r="L26" i="124"/>
  <c r="K26" i="124"/>
  <c r="G26" i="124"/>
  <c r="F26" i="124"/>
  <c r="F36" i="124" s="1"/>
  <c r="E26" i="124"/>
  <c r="C26" i="124"/>
  <c r="C36" i="124" s="1"/>
  <c r="AA14" i="238"/>
  <c r="AF13" i="124"/>
  <c r="AF36" i="124" s="1"/>
  <c r="AE13" i="124"/>
  <c r="AE36" i="124" s="1"/>
  <c r="AC13" i="124"/>
  <c r="AB13" i="124"/>
  <c r="AA13" i="124"/>
  <c r="K13" i="124"/>
  <c r="K36" i="124" s="1"/>
  <c r="B13" i="124"/>
  <c r="B36" i="124" s="1"/>
  <c r="AD32" i="124"/>
  <c r="AB32" i="124"/>
  <c r="AA32" i="124"/>
  <c r="U32" i="124"/>
  <c r="O32" i="124"/>
  <c r="L32" i="124"/>
  <c r="K32" i="124"/>
  <c r="J32" i="124"/>
  <c r="I32" i="124"/>
  <c r="I36" i="124" s="1"/>
  <c r="G32" i="124"/>
  <c r="E36" i="124" l="1"/>
  <c r="E32" i="124"/>
  <c r="D32" i="124"/>
  <c r="D36" i="124" s="1"/>
  <c r="AD11" i="124"/>
  <c r="AD36" i="124" s="1"/>
  <c r="AC11" i="124"/>
  <c r="AC36" i="124" s="1"/>
  <c r="AB11" i="124"/>
  <c r="AB36" i="124" s="1"/>
  <c r="AA11" i="124"/>
  <c r="AA36" i="124" s="1"/>
  <c r="R11" i="124"/>
  <c r="R36" i="124" s="1"/>
  <c r="Y11" i="124"/>
  <c r="Y36" i="124" s="1"/>
  <c r="Q11" i="124"/>
  <c r="Q36" i="124" s="1"/>
  <c r="P11" i="124"/>
  <c r="P36" i="124" s="1"/>
  <c r="O11" i="124"/>
  <c r="O36" i="124" s="1"/>
  <c r="N11" i="124"/>
  <c r="N36" i="124" s="1"/>
  <c r="M11" i="124"/>
  <c r="M36" i="124" s="1"/>
  <c r="L11" i="124"/>
  <c r="L36" i="124" s="1"/>
  <c r="AD11" i="238"/>
  <c r="AC11" i="238"/>
  <c r="AB11" i="238"/>
  <c r="AA11" i="238"/>
  <c r="X11" i="238"/>
  <c r="R11" i="238"/>
  <c r="AG29" i="240" l="1"/>
  <c r="AF29" i="240"/>
  <c r="AE29" i="240"/>
  <c r="AD29" i="240"/>
  <c r="AB29" i="240"/>
  <c r="AA29" i="240"/>
  <c r="X29" i="240"/>
  <c r="W29" i="240"/>
  <c r="V29" i="240"/>
  <c r="U29" i="240"/>
  <c r="T29" i="240"/>
  <c r="S29" i="240"/>
  <c r="R29" i="240"/>
  <c r="Q29" i="240"/>
  <c r="P29" i="240"/>
  <c r="N29" i="240"/>
  <c r="M29" i="240"/>
  <c r="L29" i="240"/>
  <c r="K29" i="240"/>
  <c r="J29" i="240"/>
  <c r="I29" i="240"/>
  <c r="G29" i="240"/>
  <c r="F29" i="240"/>
  <c r="E29" i="240"/>
  <c r="D29" i="240"/>
  <c r="C29" i="240"/>
  <c r="AF9" i="240"/>
  <c r="AE9" i="240"/>
  <c r="AD9" i="240"/>
  <c r="AC9" i="240"/>
  <c r="AB9" i="240"/>
  <c r="AA9" i="240"/>
  <c r="Z9" i="240"/>
  <c r="Y9" i="240"/>
  <c r="X9" i="240"/>
  <c r="W9" i="240"/>
  <c r="V9" i="240"/>
  <c r="U9" i="240"/>
  <c r="T9" i="240"/>
  <c r="S9" i="240"/>
  <c r="R9" i="240"/>
  <c r="Q9" i="240"/>
  <c r="P9" i="240"/>
  <c r="O9" i="240"/>
  <c r="N9" i="240"/>
  <c r="M9" i="240"/>
  <c r="L9" i="240"/>
  <c r="K9" i="240"/>
  <c r="J9" i="240"/>
  <c r="I9" i="240"/>
  <c r="H9" i="240"/>
  <c r="G9" i="240"/>
  <c r="F9" i="240"/>
  <c r="E9" i="240"/>
  <c r="D9" i="240"/>
  <c r="C9" i="240"/>
  <c r="B9" i="240"/>
  <c r="O20" i="235" l="1"/>
  <c r="AF20" i="240"/>
  <c r="AE20" i="240"/>
  <c r="AD20" i="240"/>
  <c r="AC20" i="240"/>
  <c r="AB20" i="240"/>
  <c r="T20" i="240"/>
  <c r="S20" i="240"/>
  <c r="R20" i="240"/>
  <c r="P20" i="240"/>
  <c r="O20" i="240"/>
  <c r="N20" i="240"/>
  <c r="L20" i="240"/>
  <c r="K20" i="240"/>
  <c r="H20" i="240"/>
  <c r="E20" i="240"/>
  <c r="D20" i="240"/>
  <c r="AE31" i="240"/>
  <c r="AD31" i="240"/>
  <c r="AB31" i="240"/>
  <c r="AC31" i="240"/>
  <c r="AA31" i="240"/>
  <c r="Z31" i="240"/>
  <c r="Y31" i="240"/>
  <c r="X31" i="240"/>
  <c r="W31" i="240"/>
  <c r="V31" i="240"/>
  <c r="U31" i="240"/>
  <c r="T31" i="240"/>
  <c r="S31" i="240"/>
  <c r="R31" i="240"/>
  <c r="Q31" i="240"/>
  <c r="P31" i="240"/>
  <c r="O31" i="240"/>
  <c r="N31" i="240"/>
  <c r="M31" i="240"/>
  <c r="L31" i="240"/>
  <c r="K31" i="240"/>
  <c r="J31" i="240"/>
  <c r="I31" i="240"/>
  <c r="H31" i="240"/>
  <c r="G31" i="240"/>
  <c r="F31" i="240"/>
  <c r="E31" i="240"/>
  <c r="D31" i="240"/>
  <c r="C31" i="240"/>
  <c r="B31" i="240"/>
  <c r="AE31" i="235"/>
  <c r="AD31" i="235"/>
  <c r="AC31" i="235"/>
  <c r="AA31" i="235"/>
  <c r="X31" i="235"/>
  <c r="T31" i="235"/>
  <c r="S31" i="235"/>
  <c r="R31" i="235"/>
  <c r="Q31" i="235"/>
  <c r="P31" i="235"/>
  <c r="O31" i="235"/>
  <c r="E31" i="235"/>
  <c r="D31" i="235"/>
  <c r="F31" i="235"/>
  <c r="G31" i="235"/>
  <c r="H31" i="235"/>
  <c r="I31" i="235"/>
  <c r="AG7" i="162" l="1"/>
  <c r="AG8" i="162"/>
  <c r="AG9" i="162"/>
  <c r="AG10" i="162"/>
  <c r="AG11" i="162"/>
  <c r="AG12" i="162"/>
  <c r="AG13" i="162"/>
  <c r="AG14" i="162"/>
  <c r="AG15" i="162"/>
  <c r="AG16" i="162"/>
  <c r="AG17" i="162"/>
  <c r="AG18" i="162"/>
  <c r="AG19" i="162"/>
  <c r="AG20" i="162"/>
  <c r="AG21" i="162"/>
  <c r="AG22" i="162"/>
  <c r="AG23" i="162"/>
  <c r="AG24" i="162"/>
  <c r="AG25" i="162"/>
  <c r="AG26" i="162"/>
  <c r="AG27" i="162"/>
  <c r="AG28" i="162"/>
  <c r="AG29" i="162"/>
  <c r="AG30" i="162"/>
  <c r="AG31" i="162"/>
  <c r="AG32" i="162"/>
  <c r="AG33" i="162"/>
  <c r="AG34" i="162"/>
  <c r="AG3" i="162"/>
  <c r="AG4" i="162"/>
  <c r="AG5" i="162"/>
  <c r="AG16" i="71"/>
  <c r="AG3" i="71"/>
  <c r="AG4" i="71"/>
  <c r="AG5" i="71"/>
  <c r="AG6" i="71"/>
  <c r="AG7" i="71"/>
  <c r="AG8" i="71"/>
  <c r="AG9" i="71"/>
  <c r="AG10" i="71"/>
  <c r="AG11" i="71"/>
  <c r="AG12" i="71"/>
  <c r="AG13" i="71"/>
  <c r="AG14" i="71"/>
  <c r="AG15" i="71"/>
  <c r="AG17" i="71"/>
  <c r="AG18" i="71"/>
  <c r="AG19" i="71"/>
  <c r="AG20" i="71"/>
  <c r="AG21" i="71"/>
  <c r="AG22" i="71"/>
  <c r="AG23" i="71"/>
  <c r="AG24" i="71"/>
  <c r="AG25" i="71"/>
  <c r="AG26" i="71"/>
  <c r="AG27" i="71"/>
  <c r="AG28" i="71"/>
  <c r="AG29" i="71"/>
  <c r="AG30" i="71"/>
  <c r="AG31" i="71"/>
  <c r="AG32" i="71"/>
  <c r="AG33" i="71"/>
  <c r="AG34" i="71"/>
  <c r="F23" i="56" l="1"/>
  <c r="F24" i="56"/>
  <c r="F25" i="56"/>
  <c r="F26" i="56"/>
  <c r="F27" i="56"/>
  <c r="F28" i="56"/>
  <c r="F29" i="56"/>
  <c r="F30" i="56"/>
  <c r="F31" i="56"/>
  <c r="F20" i="56"/>
  <c r="F21" i="56"/>
  <c r="F22" i="56"/>
  <c r="C26" i="163" l="1"/>
  <c r="AF31" i="163"/>
  <c r="AE31" i="163"/>
  <c r="AD31" i="163"/>
  <c r="AC31" i="163"/>
  <c r="AB31" i="163"/>
  <c r="AA31" i="163"/>
  <c r="X31" i="163"/>
  <c r="Y31" i="163"/>
  <c r="Z31" i="163"/>
  <c r="W31" i="163"/>
  <c r="V31" i="163"/>
  <c r="U31" i="163"/>
  <c r="T31" i="163"/>
  <c r="S31" i="163"/>
  <c r="R31" i="163"/>
  <c r="Q31" i="163"/>
  <c r="P31" i="163"/>
  <c r="O31" i="163"/>
  <c r="N31" i="163"/>
  <c r="M31" i="163"/>
  <c r="L31" i="163"/>
  <c r="K31" i="163"/>
  <c r="J31" i="163"/>
  <c r="I31" i="163"/>
  <c r="H31" i="163"/>
  <c r="G31" i="163"/>
  <c r="F31" i="163"/>
  <c r="E31" i="163"/>
  <c r="D31" i="163"/>
  <c r="C31" i="163"/>
  <c r="B31" i="163"/>
  <c r="AF33" i="163"/>
  <c r="AE33" i="163"/>
  <c r="AD33" i="163"/>
  <c r="AC33" i="163"/>
  <c r="AB33" i="163"/>
  <c r="AA33" i="163"/>
  <c r="Z33" i="163"/>
  <c r="Y33" i="163"/>
  <c r="X33" i="163"/>
  <c r="W33" i="163"/>
  <c r="V33" i="163"/>
  <c r="U33" i="163"/>
  <c r="T33" i="163"/>
  <c r="S33" i="163"/>
  <c r="R33" i="163"/>
  <c r="Q33" i="163"/>
  <c r="P33" i="163"/>
  <c r="O33" i="163"/>
  <c r="N33" i="163"/>
  <c r="M33" i="163"/>
  <c r="L33" i="163"/>
  <c r="K33" i="163"/>
  <c r="J33" i="163"/>
  <c r="I33" i="163"/>
  <c r="H33" i="163"/>
  <c r="G33" i="163"/>
  <c r="F33" i="163"/>
  <c r="E33" i="163"/>
  <c r="D33" i="163"/>
  <c r="C33" i="163"/>
  <c r="B33" i="163"/>
  <c r="C5" i="122" l="1"/>
  <c r="B5" i="122"/>
  <c r="AF31" i="122"/>
  <c r="AE31" i="122"/>
  <c r="AD31" i="122"/>
  <c r="AC31" i="122"/>
  <c r="AB31" i="122"/>
  <c r="AA31" i="122"/>
  <c r="Z31" i="122"/>
  <c r="Y31" i="122"/>
  <c r="X31" i="122"/>
  <c r="W31" i="122"/>
  <c r="V31" i="122"/>
  <c r="U31" i="122"/>
  <c r="T31" i="122"/>
  <c r="S31" i="122"/>
  <c r="R31" i="122"/>
  <c r="Q31" i="122"/>
  <c r="P31" i="122"/>
  <c r="O31" i="122"/>
  <c r="N31" i="122"/>
  <c r="M31" i="122"/>
  <c r="L31" i="122"/>
  <c r="K31" i="122"/>
  <c r="J31" i="122"/>
  <c r="I31" i="122"/>
  <c r="H31" i="122"/>
  <c r="G31" i="122"/>
  <c r="F31" i="122"/>
  <c r="E31" i="122"/>
  <c r="D31" i="122"/>
  <c r="C31" i="122"/>
  <c r="B31" i="122"/>
  <c r="AF29" i="122"/>
  <c r="AE29" i="122"/>
  <c r="AD29" i="122"/>
  <c r="AC29" i="122"/>
  <c r="AB29" i="122"/>
  <c r="AA29" i="122"/>
  <c r="Z29" i="122"/>
  <c r="Y29" i="122"/>
  <c r="X29" i="122"/>
  <c r="W29" i="122"/>
  <c r="V29" i="122"/>
  <c r="U29" i="122"/>
  <c r="T29" i="122"/>
  <c r="S29" i="122"/>
  <c r="R29" i="122"/>
  <c r="Q29" i="122"/>
  <c r="P29" i="122"/>
  <c r="O29" i="122"/>
  <c r="N29" i="122"/>
  <c r="M29" i="122"/>
  <c r="L29" i="122"/>
  <c r="K29" i="122"/>
  <c r="J29" i="122"/>
  <c r="I29" i="122"/>
  <c r="H29" i="122"/>
  <c r="G29" i="122"/>
  <c r="F29" i="122"/>
  <c r="E29" i="122"/>
  <c r="D29" i="122"/>
  <c r="C29" i="122"/>
  <c r="B29" i="122"/>
  <c r="X8" i="122"/>
  <c r="L10" i="122"/>
  <c r="E10" i="122"/>
  <c r="I29" i="153"/>
  <c r="H29" i="153"/>
  <c r="G29" i="153"/>
  <c r="F29" i="153"/>
  <c r="E29" i="153"/>
  <c r="D29" i="153"/>
  <c r="B29" i="153"/>
  <c r="C29" i="153"/>
  <c r="AF31" i="153"/>
  <c r="AE31" i="153"/>
  <c r="AD31" i="153"/>
  <c r="AC31" i="153"/>
  <c r="AB31" i="153"/>
  <c r="AA31" i="153"/>
  <c r="Z31" i="153"/>
  <c r="Y31" i="153"/>
  <c r="X31" i="153"/>
  <c r="W31" i="153"/>
  <c r="V31" i="153"/>
  <c r="U31" i="153"/>
  <c r="T31" i="153"/>
  <c r="S31" i="153"/>
  <c r="R31" i="153"/>
  <c r="Q31" i="153"/>
  <c r="P31" i="153"/>
  <c r="O31" i="153"/>
  <c r="N31" i="153"/>
  <c r="M31" i="153"/>
  <c r="L31" i="153"/>
  <c r="K31" i="153"/>
  <c r="J31" i="153"/>
  <c r="I31" i="153"/>
  <c r="H31" i="153"/>
  <c r="G31" i="153"/>
  <c r="F31" i="153"/>
  <c r="E31" i="153"/>
  <c r="D31" i="153"/>
  <c r="C31" i="153"/>
  <c r="B31" i="153"/>
  <c r="Z31" i="156" l="1"/>
  <c r="U31" i="156"/>
  <c r="J31" i="156"/>
  <c r="H31" i="156"/>
  <c r="D31" i="156"/>
  <c r="C31" i="156"/>
  <c r="B31" i="156"/>
  <c r="C5" i="156"/>
  <c r="J5" i="56" l="1"/>
  <c r="E21" i="56" s="1"/>
  <c r="J4" i="56"/>
  <c r="E20" i="56" s="1"/>
  <c r="AC33" i="161" l="1"/>
  <c r="AB33" i="161"/>
  <c r="AA33" i="161"/>
  <c r="Z33" i="161"/>
  <c r="Y33" i="161"/>
  <c r="X33" i="161"/>
  <c r="W33" i="161"/>
  <c r="V33" i="161"/>
  <c r="U33" i="161"/>
  <c r="T33" i="161"/>
  <c r="S33" i="161"/>
  <c r="R33" i="161"/>
  <c r="Q33" i="161"/>
  <c r="P33" i="161"/>
  <c r="O33" i="161"/>
  <c r="N33" i="161"/>
  <c r="K33" i="161"/>
  <c r="J33" i="161"/>
  <c r="H33" i="161"/>
  <c r="G33" i="161"/>
  <c r="F33" i="161"/>
  <c r="E33" i="161"/>
  <c r="D33" i="161"/>
  <c r="C33" i="161"/>
  <c r="B33" i="161"/>
  <c r="AC31" i="161"/>
  <c r="AB31" i="161"/>
  <c r="AA31" i="161"/>
  <c r="Z31" i="161"/>
  <c r="Y31" i="161"/>
  <c r="X31" i="161"/>
  <c r="W31" i="161"/>
  <c r="V31" i="161"/>
  <c r="U31" i="161"/>
  <c r="T31" i="161"/>
  <c r="S31" i="161"/>
  <c r="R31" i="161"/>
  <c r="Q31" i="161"/>
  <c r="P31" i="161"/>
  <c r="O31" i="161"/>
  <c r="N31" i="161"/>
  <c r="M31" i="161"/>
  <c r="L31" i="161"/>
  <c r="K31" i="161"/>
  <c r="J31" i="161"/>
  <c r="I31" i="161"/>
  <c r="H31" i="161"/>
  <c r="G31" i="161"/>
  <c r="F31" i="161"/>
  <c r="E31" i="161"/>
  <c r="D31" i="161"/>
  <c r="C31" i="161"/>
  <c r="B31" i="161"/>
  <c r="AG34" i="161"/>
  <c r="R10" i="161"/>
  <c r="B10" i="161"/>
  <c r="AC5" i="161" l="1"/>
  <c r="AB5" i="161"/>
  <c r="X5" i="161"/>
  <c r="W5" i="161"/>
  <c r="S5" i="161"/>
  <c r="R5" i="161"/>
  <c r="Q5" i="161"/>
  <c r="P5" i="161"/>
  <c r="O5" i="161"/>
  <c r="N5" i="161"/>
  <c r="E5" i="161"/>
  <c r="D5" i="161"/>
  <c r="C5" i="161"/>
  <c r="B5" i="161"/>
  <c r="S5" i="121" l="1"/>
  <c r="R5" i="121"/>
  <c r="R35" i="121" s="1"/>
  <c r="Q5" i="121"/>
  <c r="D5" i="121"/>
  <c r="B32" i="121"/>
  <c r="C32" i="121"/>
  <c r="G32" i="121"/>
  <c r="H32" i="121"/>
  <c r="I32" i="121"/>
  <c r="J32" i="121"/>
  <c r="K32" i="121"/>
  <c r="N32" i="121"/>
  <c r="O32" i="121"/>
  <c r="P32" i="121"/>
  <c r="Q32" i="121"/>
  <c r="R32" i="121"/>
  <c r="S32" i="121"/>
  <c r="T32" i="121"/>
  <c r="U32" i="121"/>
  <c r="V32" i="121"/>
  <c r="W32" i="121"/>
  <c r="X32" i="121"/>
  <c r="Y32" i="121"/>
  <c r="Z32" i="121"/>
  <c r="Z35" i="121" s="1"/>
  <c r="AB32" i="121"/>
  <c r="AC30" i="121"/>
  <c r="AB30" i="121"/>
  <c r="AA30" i="121"/>
  <c r="Z30" i="121"/>
  <c r="Y30" i="121"/>
  <c r="X30" i="121"/>
  <c r="X35" i="121" s="1"/>
  <c r="W30" i="121"/>
  <c r="W35" i="121" s="1"/>
  <c r="V30" i="121"/>
  <c r="U30" i="121"/>
  <c r="T30" i="121"/>
  <c r="T35" i="121" s="1"/>
  <c r="S30" i="121"/>
  <c r="R30" i="121"/>
  <c r="Q30" i="121"/>
  <c r="P30" i="121"/>
  <c r="P35" i="121" s="1"/>
  <c r="O30" i="121"/>
  <c r="N30" i="121"/>
  <c r="M30" i="121"/>
  <c r="L30" i="121"/>
  <c r="L35" i="121" s="1"/>
  <c r="K30" i="121"/>
  <c r="J30" i="121"/>
  <c r="I30" i="121"/>
  <c r="H30" i="121"/>
  <c r="H35" i="121" s="1"/>
  <c r="G30" i="121"/>
  <c r="F30" i="121"/>
  <c r="E30" i="121"/>
  <c r="D30" i="121"/>
  <c r="C30" i="121"/>
  <c r="B30" i="121"/>
  <c r="AC32" i="121"/>
  <c r="AA32" i="121"/>
  <c r="AA35" i="121" s="1"/>
  <c r="M32" i="121"/>
  <c r="M35" i="121" s="1"/>
  <c r="F32" i="121"/>
  <c r="E32" i="121"/>
  <c r="D32" i="121"/>
  <c r="M21" i="121"/>
  <c r="L21" i="121"/>
  <c r="K21" i="121"/>
  <c r="K35" i="121" s="1"/>
  <c r="J21" i="121"/>
  <c r="I21" i="121"/>
  <c r="I35" i="121" s="1"/>
  <c r="G21" i="121"/>
  <c r="F21" i="121"/>
  <c r="E21" i="121"/>
  <c r="B3" i="121"/>
  <c r="K10" i="121"/>
  <c r="J10" i="121"/>
  <c r="J35" i="121" s="1"/>
  <c r="C10" i="121"/>
  <c r="C35" i="121" s="1"/>
  <c r="B10" i="121"/>
  <c r="T8" i="121"/>
  <c r="S8" i="121"/>
  <c r="S35" i="121" s="1"/>
  <c r="O8" i="121"/>
  <c r="O35" i="121" s="1"/>
  <c r="L8" i="121"/>
  <c r="G8" i="121"/>
  <c r="G35" i="121" s="1"/>
  <c r="F8" i="121"/>
  <c r="E8" i="121"/>
  <c r="D8" i="121"/>
  <c r="D35" i="121" s="1"/>
  <c r="C8" i="121"/>
  <c r="B8" i="121"/>
  <c r="B35" i="121" s="1"/>
  <c r="AB14" i="121"/>
  <c r="AB35" i="121" s="1"/>
  <c r="E35" i="121"/>
  <c r="F35" i="121"/>
  <c r="N35" i="121"/>
  <c r="Q35" i="121"/>
  <c r="U35" i="121"/>
  <c r="V35" i="121"/>
  <c r="Y35" i="121"/>
  <c r="AG34" i="121"/>
  <c r="AG14" i="121"/>
  <c r="D20" i="121"/>
  <c r="C20" i="121"/>
  <c r="B20" i="121"/>
  <c r="B20" i="152" l="1"/>
  <c r="G21" i="157" l="1"/>
  <c r="D5" i="157" l="1"/>
  <c r="C5" i="157"/>
  <c r="B5" i="157"/>
  <c r="AC32" i="157"/>
  <c r="AB32" i="157"/>
  <c r="AA32" i="157"/>
  <c r="Z32" i="157"/>
  <c r="U32" i="157"/>
  <c r="T32" i="157"/>
  <c r="I30" i="157" l="1"/>
  <c r="H30" i="157"/>
  <c r="E30" i="157"/>
  <c r="B30" i="157"/>
  <c r="AF33" i="72" l="1"/>
  <c r="AE33" i="72"/>
  <c r="AD33" i="72"/>
  <c r="AC33" i="72"/>
  <c r="AB33" i="72"/>
  <c r="AA33" i="72"/>
  <c r="AA36" i="72" s="1"/>
  <c r="Z33" i="72"/>
  <c r="Y33" i="72"/>
  <c r="X33" i="72"/>
  <c r="X36" i="72" s="1"/>
  <c r="W33" i="72"/>
  <c r="V33" i="72"/>
  <c r="U33" i="72"/>
  <c r="T33" i="72"/>
  <c r="S33" i="72"/>
  <c r="S36" i="72" s="1"/>
  <c r="R33" i="72"/>
  <c r="Q33" i="72"/>
  <c r="P33" i="72"/>
  <c r="P36" i="72" s="1"/>
  <c r="O33" i="72"/>
  <c r="N33" i="72"/>
  <c r="M33" i="72"/>
  <c r="M36" i="72" s="1"/>
  <c r="L33" i="72"/>
  <c r="K33" i="72"/>
  <c r="J33" i="72"/>
  <c r="I33" i="72"/>
  <c r="H33" i="72"/>
  <c r="G33" i="72"/>
  <c r="F33" i="72"/>
  <c r="E33" i="72"/>
  <c r="D33" i="72"/>
  <c r="C33" i="72"/>
  <c r="B33" i="72"/>
  <c r="AF31" i="72"/>
  <c r="AF36" i="72" s="1"/>
  <c r="AE31" i="72"/>
  <c r="AD31" i="72"/>
  <c r="AB31" i="72"/>
  <c r="AA31" i="72"/>
  <c r="Z31" i="72"/>
  <c r="Z36" i="72" s="1"/>
  <c r="Y31" i="72"/>
  <c r="X31" i="72"/>
  <c r="W31" i="72"/>
  <c r="W36" i="72" s="1"/>
  <c r="V31" i="72"/>
  <c r="U31" i="72"/>
  <c r="T31" i="72"/>
  <c r="T36" i="72" s="1"/>
  <c r="S31" i="72"/>
  <c r="R31" i="72"/>
  <c r="R36" i="72" s="1"/>
  <c r="Q31" i="72"/>
  <c r="P31" i="72"/>
  <c r="N31" i="72"/>
  <c r="K31" i="72"/>
  <c r="K36" i="72" s="1"/>
  <c r="J31" i="72"/>
  <c r="I31" i="72"/>
  <c r="I36" i="72" s="1"/>
  <c r="H31" i="72"/>
  <c r="G31" i="72"/>
  <c r="F31" i="72"/>
  <c r="F36" i="72" s="1"/>
  <c r="E31" i="72"/>
  <c r="D31" i="72"/>
  <c r="D36" i="72" s="1"/>
  <c r="C31" i="72"/>
  <c r="C36" i="72" s="1"/>
  <c r="B31" i="72"/>
  <c r="AG26" i="72"/>
  <c r="E36" i="72"/>
  <c r="G36" i="72"/>
  <c r="H36" i="72"/>
  <c r="J36" i="72"/>
  <c r="L36" i="72"/>
  <c r="N36" i="72"/>
  <c r="O36" i="72"/>
  <c r="Q36" i="72"/>
  <c r="U36" i="72"/>
  <c r="V36" i="72"/>
  <c r="Y36" i="72"/>
  <c r="AB36" i="72"/>
  <c r="AC36" i="72"/>
  <c r="AD36" i="72"/>
  <c r="AE36" i="72"/>
  <c r="B36" i="72"/>
  <c r="AG35" i="72"/>
  <c r="AG34" i="74"/>
  <c r="AF32" i="74"/>
  <c r="AE32" i="74"/>
  <c r="AD32" i="74"/>
  <c r="AC32" i="74"/>
  <c r="AB32" i="74"/>
  <c r="AA32" i="74"/>
  <c r="Z32" i="74"/>
  <c r="Y32" i="74"/>
  <c r="X32" i="74"/>
  <c r="W32" i="74"/>
  <c r="V32" i="74"/>
  <c r="U32" i="74"/>
  <c r="T32" i="74"/>
  <c r="S32" i="74"/>
  <c r="R32" i="74"/>
  <c r="Q32" i="74"/>
  <c r="P32" i="74"/>
  <c r="O32" i="74"/>
  <c r="N32" i="74"/>
  <c r="M32" i="74"/>
  <c r="L32" i="74"/>
  <c r="K32" i="74"/>
  <c r="J32" i="74"/>
  <c r="I32" i="74"/>
  <c r="H32" i="74"/>
  <c r="G32" i="74"/>
  <c r="F32" i="74"/>
  <c r="E32" i="74"/>
  <c r="D32" i="74"/>
  <c r="C32" i="74"/>
  <c r="B32" i="74"/>
  <c r="K19" i="74"/>
  <c r="E19" i="74"/>
  <c r="D19" i="74"/>
  <c r="C19" i="74"/>
  <c r="B19" i="74"/>
  <c r="AG36" i="72" l="1"/>
  <c r="AF12" i="74"/>
  <c r="AE12" i="74"/>
  <c r="AD12" i="74"/>
  <c r="AC12" i="74"/>
  <c r="W12" i="74"/>
  <c r="V12" i="74"/>
  <c r="U12" i="74" l="1"/>
  <c r="S12" i="74"/>
  <c r="Q12" i="74"/>
  <c r="P12" i="74"/>
  <c r="O12" i="74"/>
  <c r="K12" i="74" l="1"/>
  <c r="J12" i="74"/>
  <c r="H12" i="74" l="1"/>
  <c r="G12" i="74"/>
  <c r="F12" i="74"/>
  <c r="Q8" i="74" l="1"/>
  <c r="P8" i="74"/>
  <c r="Z5" i="74"/>
  <c r="Y5" i="74"/>
  <c r="X5" i="74"/>
  <c r="W5" i="74"/>
  <c r="V5" i="74"/>
  <c r="U5" i="74"/>
  <c r="T5" i="74"/>
  <c r="R5" i="74"/>
  <c r="M5" i="74"/>
  <c r="L5" i="74"/>
  <c r="K5" i="74"/>
  <c r="F5" i="74"/>
  <c r="D5" i="74"/>
  <c r="AC16" i="74"/>
  <c r="AA16" i="74"/>
  <c r="U16" i="74"/>
  <c r="T16" i="74"/>
  <c r="S16" i="74"/>
  <c r="R16" i="74"/>
  <c r="O16" i="74"/>
  <c r="N16" i="74"/>
  <c r="M16" i="74"/>
  <c r="N35" i="74" l="1"/>
  <c r="D35" i="74"/>
  <c r="X35" i="74"/>
  <c r="L35" i="74"/>
  <c r="M35" i="74"/>
  <c r="Q35" i="74"/>
  <c r="L16" i="74"/>
  <c r="I16" i="74"/>
  <c r="H16" i="74"/>
  <c r="G16" i="74"/>
  <c r="F16" i="74"/>
  <c r="E16" i="74"/>
  <c r="D16" i="74"/>
  <c r="C16" i="74"/>
  <c r="H25" i="74"/>
  <c r="F25" i="74"/>
  <c r="AE25" i="74"/>
  <c r="AD25" i="74"/>
  <c r="AC25" i="74"/>
  <c r="Y25" i="74"/>
  <c r="X25" i="74"/>
  <c r="W25" i="74"/>
  <c r="V25" i="74"/>
  <c r="V35" i="74" s="1"/>
  <c r="R25" i="74"/>
  <c r="Q25" i="74"/>
  <c r="N25" i="74"/>
  <c r="M25" i="74"/>
  <c r="L25" i="74"/>
  <c r="K25" i="74"/>
  <c r="J25" i="74"/>
  <c r="I25" i="74"/>
  <c r="G25" i="74"/>
  <c r="E25" i="74"/>
  <c r="D25" i="74"/>
  <c r="C25" i="74"/>
  <c r="B25" i="74"/>
  <c r="AF21" i="74"/>
  <c r="AF35" i="74" s="1"/>
  <c r="AE21" i="74"/>
  <c r="AE35" i="74" s="1"/>
  <c r="AD21" i="74"/>
  <c r="AD35" i="74" s="1"/>
  <c r="AC21" i="74"/>
  <c r="AC35" i="74" s="1"/>
  <c r="AB21" i="74"/>
  <c r="AA21" i="74"/>
  <c r="AA35" i="74" s="1"/>
  <c r="Z21" i="74"/>
  <c r="Z35" i="74" s="1"/>
  <c r="Y21" i="74"/>
  <c r="Y35" i="74" s="1"/>
  <c r="X21" i="74"/>
  <c r="W21" i="74"/>
  <c r="W35" i="74" s="1"/>
  <c r="S21" i="74"/>
  <c r="S35" i="74" s="1"/>
  <c r="R21" i="74"/>
  <c r="R35" i="74" s="1"/>
  <c r="Q21" i="74"/>
  <c r="P21" i="74"/>
  <c r="P35" i="74" s="1"/>
  <c r="N21" i="74"/>
  <c r="M21" i="74"/>
  <c r="L21" i="74"/>
  <c r="K21" i="74"/>
  <c r="K35" i="74" s="1"/>
  <c r="J21" i="74"/>
  <c r="I21" i="74"/>
  <c r="C21" i="74"/>
  <c r="B21" i="74"/>
  <c r="J10" i="74"/>
  <c r="I10" i="74"/>
  <c r="H10" i="74"/>
  <c r="G10" i="74"/>
  <c r="F10" i="74"/>
  <c r="F35" i="74" s="1"/>
  <c r="E10" i="74"/>
  <c r="E35" i="74" s="1"/>
  <c r="D10" i="74"/>
  <c r="C10" i="74"/>
  <c r="B10" i="74"/>
  <c r="AF30" i="74"/>
  <c r="AE30" i="74"/>
  <c r="AD30" i="74"/>
  <c r="AB30" i="74"/>
  <c r="AA30" i="74"/>
  <c r="Z30" i="74"/>
  <c r="Y30" i="74"/>
  <c r="X30" i="74"/>
  <c r="W30" i="74"/>
  <c r="V30" i="74"/>
  <c r="U30" i="74"/>
  <c r="U35" i="74" s="1"/>
  <c r="T30" i="74"/>
  <c r="T35" i="74" s="1"/>
  <c r="S30" i="74"/>
  <c r="R30" i="74"/>
  <c r="Q30" i="74"/>
  <c r="P30" i="74"/>
  <c r="O30" i="74"/>
  <c r="O35" i="74" s="1"/>
  <c r="N30" i="74"/>
  <c r="L30" i="74"/>
  <c r="K30" i="74"/>
  <c r="J30" i="74"/>
  <c r="I30" i="74"/>
  <c r="H30" i="74"/>
  <c r="G30" i="74"/>
  <c r="F30" i="74"/>
  <c r="D30" i="74"/>
  <c r="C30" i="74"/>
  <c r="B30" i="74"/>
  <c r="C35" i="74" l="1"/>
  <c r="AB35" i="74"/>
  <c r="H35" i="74"/>
  <c r="I35" i="74"/>
  <c r="G35" i="74"/>
  <c r="B35" i="74"/>
  <c r="J35" i="74"/>
  <c r="AF20" i="73"/>
  <c r="AE20" i="73"/>
  <c r="AD20" i="73"/>
  <c r="AC20" i="73"/>
  <c r="U20" i="73"/>
  <c r="Q20" i="73"/>
  <c r="P20" i="73"/>
  <c r="N20" i="73"/>
  <c r="K20" i="73"/>
  <c r="J20" i="73"/>
  <c r="I20" i="73"/>
  <c r="H20" i="73"/>
  <c r="G20" i="73"/>
  <c r="E20" i="73"/>
  <c r="AF31" i="73"/>
  <c r="AE31" i="73"/>
  <c r="AD31" i="73"/>
  <c r="AE33" i="73" l="1"/>
  <c r="AD33" i="73"/>
  <c r="AF33" i="73"/>
  <c r="AC31" i="73"/>
  <c r="AC33" i="73" s="1"/>
  <c r="AB31" i="73"/>
  <c r="AB33" i="73" s="1"/>
  <c r="AA31" i="73"/>
  <c r="AA33" i="73" s="1"/>
  <c r="Z31" i="73"/>
  <c r="Z33" i="73" s="1"/>
  <c r="Y31" i="73"/>
  <c r="Y33" i="73" s="1"/>
  <c r="X31" i="73"/>
  <c r="X33" i="73" s="1"/>
  <c r="W31" i="73"/>
  <c r="W33" i="73" s="1"/>
  <c r="V31" i="73"/>
  <c r="V33" i="73" s="1"/>
  <c r="U31" i="73"/>
  <c r="U33" i="73" s="1"/>
  <c r="T31" i="73"/>
  <c r="T33" i="73" s="1"/>
  <c r="S31" i="73"/>
  <c r="S33" i="73" s="1"/>
  <c r="R31" i="73"/>
  <c r="R33" i="73" s="1"/>
  <c r="Q31" i="73"/>
  <c r="Q33" i="73" s="1"/>
  <c r="P31" i="73"/>
  <c r="P33" i="73" s="1"/>
  <c r="O31" i="73"/>
  <c r="O33" i="73" s="1"/>
  <c r="N31" i="73"/>
  <c r="N33" i="73" s="1"/>
  <c r="M31" i="73"/>
  <c r="M33" i="73" s="1"/>
  <c r="K31" i="73"/>
  <c r="K33" i="73" s="1"/>
  <c r="L31" i="73"/>
  <c r="L33" i="73" s="1"/>
  <c r="J31" i="73"/>
  <c r="J33" i="73" s="1"/>
  <c r="I31" i="73"/>
  <c r="I33" i="73" s="1"/>
  <c r="H31" i="73"/>
  <c r="H33" i="73" s="1"/>
  <c r="G31" i="73"/>
  <c r="G33" i="73" s="1"/>
  <c r="F31" i="73"/>
  <c r="F33" i="73" s="1"/>
  <c r="E31" i="73"/>
  <c r="E33" i="73" s="1"/>
  <c r="D31" i="73"/>
  <c r="D33" i="73" s="1"/>
  <c r="C31" i="73"/>
  <c r="C33" i="73" s="1"/>
  <c r="B31" i="73"/>
  <c r="B33" i="73" s="1"/>
  <c r="C20" i="70"/>
  <c r="B20" i="70"/>
  <c r="G5" i="70"/>
  <c r="F5" i="70"/>
  <c r="E5" i="70"/>
  <c r="AG3" i="70"/>
  <c r="B18" i="70" l="1"/>
  <c r="AG24" i="70"/>
  <c r="M10" i="70"/>
  <c r="AF31" i="70" l="1"/>
  <c r="AE31" i="70"/>
  <c r="AD31" i="70"/>
  <c r="AC31" i="70"/>
  <c r="AB31" i="70"/>
  <c r="AA31" i="70"/>
  <c r="Z31" i="70"/>
  <c r="Y31" i="70"/>
  <c r="X31" i="70"/>
  <c r="V31" i="70"/>
  <c r="R31" i="70"/>
  <c r="P31" i="70"/>
  <c r="O31" i="70"/>
  <c r="N31" i="70"/>
  <c r="M31" i="70"/>
  <c r="L31" i="70"/>
  <c r="H31" i="70"/>
  <c r="G31" i="70"/>
  <c r="F31" i="70"/>
  <c r="E31" i="70"/>
  <c r="D31" i="70"/>
  <c r="C31" i="70"/>
  <c r="B31" i="70" l="1"/>
  <c r="AG28" i="201" l="1"/>
  <c r="AG33" i="151" l="1"/>
  <c r="C34" i="151"/>
  <c r="D34" i="151"/>
  <c r="E34" i="151"/>
  <c r="F34" i="151"/>
  <c r="G34" i="151"/>
  <c r="H34" i="151"/>
  <c r="I34" i="151"/>
  <c r="J34" i="151"/>
  <c r="K34" i="151"/>
  <c r="L34" i="151"/>
  <c r="M34" i="151"/>
  <c r="N34" i="151"/>
  <c r="O34" i="151"/>
  <c r="P34" i="151"/>
  <c r="Q34" i="151"/>
  <c r="R34" i="151"/>
  <c r="S34" i="151"/>
  <c r="T34" i="151"/>
  <c r="U34" i="151"/>
  <c r="V34" i="151"/>
  <c r="W34" i="151"/>
  <c r="X34" i="151"/>
  <c r="Y34" i="151"/>
  <c r="Z34" i="151"/>
  <c r="AA34" i="151"/>
  <c r="AB34" i="151"/>
  <c r="AC34" i="151"/>
  <c r="AD34" i="151"/>
  <c r="AE34" i="151"/>
  <c r="AF34" i="151"/>
  <c r="B34" i="151"/>
  <c r="AG33" i="201"/>
  <c r="S34" i="201"/>
  <c r="T34" i="201"/>
  <c r="U34" i="201"/>
  <c r="V34" i="201"/>
  <c r="W34" i="201"/>
  <c r="X34" i="201"/>
  <c r="Y34" i="201"/>
  <c r="Z34" i="201"/>
  <c r="AA34" i="201"/>
  <c r="AB34" i="201"/>
  <c r="AC34" i="201"/>
  <c r="AD34" i="201"/>
  <c r="AE34" i="201"/>
  <c r="AF34" i="201"/>
  <c r="N34" i="201"/>
  <c r="O34" i="201"/>
  <c r="P34" i="201"/>
  <c r="Q34" i="201"/>
  <c r="R34" i="201"/>
  <c r="L34" i="201"/>
  <c r="M34" i="201"/>
  <c r="C34" i="201"/>
  <c r="D34" i="201"/>
  <c r="E34" i="201"/>
  <c r="F34" i="201"/>
  <c r="G34" i="201"/>
  <c r="H34" i="201"/>
  <c r="I34" i="201"/>
  <c r="J34" i="201"/>
  <c r="K34" i="201"/>
  <c r="B34" i="201"/>
  <c r="AG32" i="146" l="1"/>
  <c r="AF76" i="1" s="1"/>
  <c r="AF74" i="1"/>
  <c r="AC72" i="1"/>
  <c r="AB69" i="1"/>
  <c r="Y69" i="1"/>
  <c r="R66" i="1" l="1"/>
  <c r="AG20" i="220" l="1"/>
  <c r="T67" i="1" s="1"/>
  <c r="AG27" i="141" l="1"/>
  <c r="AA69" i="1" s="1"/>
  <c r="AG17" i="226" l="1"/>
  <c r="Q66" i="1" s="1"/>
  <c r="W60" i="1" l="1"/>
  <c r="AG30" i="127" l="1"/>
  <c r="AG12" i="136" l="1"/>
  <c r="L62" i="1" s="1"/>
  <c r="AG32" i="219"/>
  <c r="AF60" i="1" s="1"/>
  <c r="AG13" i="136"/>
  <c r="M62" i="1" s="1"/>
  <c r="AG14" i="136"/>
  <c r="N62" i="1" s="1"/>
  <c r="AG15" i="136"/>
  <c r="O62" i="1" s="1"/>
  <c r="AG4" i="136"/>
  <c r="D62" i="1" s="1"/>
  <c r="AG5" i="136"/>
  <c r="E62" i="1" s="1"/>
  <c r="AG6" i="136"/>
  <c r="F62" i="1" s="1"/>
  <c r="AG7" i="136"/>
  <c r="G62" i="1" s="1"/>
  <c r="AG8" i="136"/>
  <c r="H62" i="1" s="1"/>
  <c r="AG9" i="136"/>
  <c r="I62" i="1" s="1"/>
  <c r="AG10" i="136"/>
  <c r="J62" i="1" s="1"/>
  <c r="AG11" i="136"/>
  <c r="K62" i="1" s="1"/>
  <c r="AG16" i="136"/>
  <c r="P62" i="1" s="1"/>
  <c r="AG17" i="136"/>
  <c r="Q62" i="1" s="1"/>
  <c r="AG18" i="136"/>
  <c r="R62" i="1" s="1"/>
  <c r="AG19" i="136"/>
  <c r="S62" i="1" s="1"/>
  <c r="AG20" i="136"/>
  <c r="T62" i="1" s="1"/>
  <c r="AG21" i="136"/>
  <c r="U62" i="1" s="1"/>
  <c r="AG22" i="136"/>
  <c r="V62" i="1" s="1"/>
  <c r="AG23" i="136"/>
  <c r="W62" i="1" s="1"/>
  <c r="AG24" i="136"/>
  <c r="X62" i="1" s="1"/>
  <c r="AG25" i="136"/>
  <c r="Y62" i="1" s="1"/>
  <c r="AG26" i="136"/>
  <c r="Z62" i="1" s="1"/>
  <c r="AG27" i="136"/>
  <c r="AA62" i="1" s="1"/>
  <c r="AG28" i="136"/>
  <c r="AB62" i="1" s="1"/>
  <c r="AG29" i="136"/>
  <c r="AC62" i="1" s="1"/>
  <c r="AG30" i="136"/>
  <c r="AD62" i="1" s="1"/>
  <c r="AG31" i="136"/>
  <c r="AE62" i="1" s="1"/>
  <c r="AG32" i="136"/>
  <c r="AF62" i="1" s="1"/>
  <c r="AG30" i="210"/>
  <c r="AG6" i="127" l="1"/>
  <c r="AG6" i="126"/>
  <c r="AG6" i="210"/>
  <c r="AG18" i="127" l="1"/>
  <c r="AG16" i="210" l="1"/>
  <c r="AG11" i="127"/>
  <c r="AG23" i="127" l="1"/>
  <c r="K55" i="1" l="1"/>
  <c r="U54" i="1"/>
  <c r="AF47" i="1" l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AG4" i="223" l="1"/>
  <c r="D45" i="1" s="1"/>
  <c r="AG5" i="223"/>
  <c r="AG6" i="223"/>
  <c r="AG7" i="223"/>
  <c r="AG8" i="223"/>
  <c r="AG9" i="223"/>
  <c r="AG10" i="223"/>
  <c r="J45" i="1" s="1"/>
  <c r="AG11" i="223"/>
  <c r="L45" i="1" s="1"/>
  <c r="AG12" i="223"/>
  <c r="M45" i="1" s="1"/>
  <c r="AG13" i="223"/>
  <c r="N45" i="1" s="1"/>
  <c r="AG14" i="223"/>
  <c r="O45" i="1" s="1"/>
  <c r="AG15" i="223"/>
  <c r="P45" i="1" s="1"/>
  <c r="AG16" i="223"/>
  <c r="Q45" i="1" s="1"/>
  <c r="AG17" i="223"/>
  <c r="R45" i="1" s="1"/>
  <c r="AG18" i="223"/>
  <c r="S45" i="1" s="1"/>
  <c r="AG20" i="223"/>
  <c r="U45" i="1" s="1"/>
  <c r="AG21" i="223"/>
  <c r="V45" i="1" s="1"/>
  <c r="AG22" i="223"/>
  <c r="W45" i="1" s="1"/>
  <c r="AG23" i="223"/>
  <c r="X45" i="1" s="1"/>
  <c r="AG24" i="223"/>
  <c r="Y45" i="1" s="1"/>
  <c r="AG25" i="223"/>
  <c r="Z45" i="1" s="1"/>
  <c r="AG26" i="223"/>
  <c r="AA45" i="1" s="1"/>
  <c r="AG27" i="223"/>
  <c r="AB45" i="1" s="1"/>
  <c r="AG28" i="223"/>
  <c r="AG29" i="223"/>
  <c r="AG31" i="223"/>
  <c r="AG3" i="223"/>
  <c r="C45" i="1" s="1"/>
  <c r="AG19" i="223"/>
  <c r="T45" i="1" s="1"/>
  <c r="AG30" i="223"/>
  <c r="AE45" i="1" s="1"/>
  <c r="E40" i="1"/>
  <c r="AD34" i="1" l="1"/>
  <c r="C35" i="236"/>
  <c r="D35" i="236"/>
  <c r="E35" i="236"/>
  <c r="F35" i="236"/>
  <c r="G35" i="236"/>
  <c r="H35" i="236"/>
  <c r="I35" i="236"/>
  <c r="J35" i="236"/>
  <c r="K35" i="236"/>
  <c r="L35" i="236"/>
  <c r="M35" i="236"/>
  <c r="B35" i="236"/>
  <c r="O35" i="236"/>
  <c r="P35" i="236"/>
  <c r="Q35" i="236"/>
  <c r="R35" i="236"/>
  <c r="S35" i="236"/>
  <c r="T35" i="236"/>
  <c r="U35" i="236"/>
  <c r="V35" i="236"/>
  <c r="W35" i="236"/>
  <c r="X35" i="236"/>
  <c r="Y35" i="236"/>
  <c r="Z35" i="236"/>
  <c r="AA35" i="236"/>
  <c r="AB35" i="236"/>
  <c r="AC35" i="236"/>
  <c r="AD35" i="236"/>
  <c r="AE35" i="236"/>
  <c r="AF35" i="236"/>
  <c r="N35" i="236"/>
  <c r="AG7" i="236"/>
  <c r="AG8" i="236"/>
  <c r="AG9" i="236"/>
  <c r="AG10" i="236"/>
  <c r="AG11" i="236"/>
  <c r="AG12" i="236"/>
  <c r="AG13" i="236"/>
  <c r="AG14" i="236"/>
  <c r="AG15" i="236"/>
  <c r="AG16" i="236"/>
  <c r="AG17" i="236"/>
  <c r="AG18" i="236"/>
  <c r="AG19" i="236"/>
  <c r="AG20" i="236"/>
  <c r="AG21" i="236"/>
  <c r="AG22" i="236"/>
  <c r="AG23" i="236"/>
  <c r="AG24" i="236"/>
  <c r="AG25" i="236"/>
  <c r="AG26" i="236"/>
  <c r="AG27" i="236"/>
  <c r="AG28" i="236"/>
  <c r="AG29" i="236"/>
  <c r="AG30" i="236"/>
  <c r="AG31" i="236"/>
  <c r="AG32" i="236"/>
  <c r="AG33" i="236"/>
  <c r="R35" i="233"/>
  <c r="S35" i="233"/>
  <c r="T35" i="233"/>
  <c r="U35" i="233"/>
  <c r="V35" i="233"/>
  <c r="W35" i="233"/>
  <c r="X35" i="233"/>
  <c r="Y35" i="233"/>
  <c r="Z35" i="233"/>
  <c r="AA35" i="233"/>
  <c r="AB35" i="233"/>
  <c r="AC35" i="233"/>
  <c r="AD35" i="233"/>
  <c r="AE35" i="233"/>
  <c r="AF35" i="233"/>
  <c r="C35" i="233"/>
  <c r="D35" i="233"/>
  <c r="E35" i="233"/>
  <c r="F35" i="233"/>
  <c r="G35" i="233"/>
  <c r="H35" i="233"/>
  <c r="I35" i="233"/>
  <c r="J35" i="233"/>
  <c r="K35" i="233"/>
  <c r="L35" i="233"/>
  <c r="M35" i="233"/>
  <c r="N35" i="233"/>
  <c r="O35" i="233"/>
  <c r="P35" i="233"/>
  <c r="Q35" i="233"/>
  <c r="B35" i="233"/>
  <c r="AG7" i="233"/>
  <c r="AG8" i="233"/>
  <c r="AG9" i="233"/>
  <c r="AG10" i="233"/>
  <c r="AG11" i="233"/>
  <c r="AG12" i="233"/>
  <c r="AG13" i="233"/>
  <c r="AG14" i="233"/>
  <c r="AG15" i="233"/>
  <c r="AG16" i="233"/>
  <c r="AG17" i="233"/>
  <c r="AG18" i="233"/>
  <c r="AG19" i="233"/>
  <c r="AG20" i="233"/>
  <c r="AG21" i="233"/>
  <c r="AG22" i="233"/>
  <c r="AG23" i="233"/>
  <c r="AG24" i="233"/>
  <c r="AG25" i="233"/>
  <c r="AG26" i="233"/>
  <c r="AG27" i="233"/>
  <c r="AG28" i="233"/>
  <c r="AG29" i="233"/>
  <c r="AG30" i="233"/>
  <c r="AD27" i="1" s="1"/>
  <c r="AG31" i="233"/>
  <c r="AG32" i="233"/>
  <c r="AG33" i="233"/>
  <c r="AG34" i="233"/>
  <c r="P6" i="1"/>
  <c r="AG35" i="233" l="1"/>
  <c r="AG4" i="126"/>
  <c r="D48" i="1" s="1"/>
  <c r="F48" i="1"/>
  <c r="AG7" i="126"/>
  <c r="G48" i="1" s="1"/>
  <c r="AG9" i="126"/>
  <c r="I48" i="1" s="1"/>
  <c r="AG11" i="126"/>
  <c r="K48" i="1" s="1"/>
  <c r="AG13" i="126"/>
  <c r="M48" i="1" s="1"/>
  <c r="AG14" i="126"/>
  <c r="N48" i="1" s="1"/>
  <c r="AG16" i="126"/>
  <c r="P48" i="1" s="1"/>
  <c r="AG17" i="126"/>
  <c r="Q48" i="1" s="1"/>
  <c r="AG22" i="126"/>
  <c r="V48" i="1" s="1"/>
  <c r="AG23" i="126"/>
  <c r="W48" i="1" s="1"/>
  <c r="AG26" i="126"/>
  <c r="Z48" i="1" s="1"/>
  <c r="AG27" i="126"/>
  <c r="AA48" i="1" s="1"/>
  <c r="AG28" i="126"/>
  <c r="AB48" i="1" s="1"/>
  <c r="AG30" i="126"/>
  <c r="AD48" i="1" s="1"/>
  <c r="AG20" i="126" l="1"/>
  <c r="T48" i="1" s="1"/>
  <c r="AG25" i="126"/>
  <c r="Y48" i="1" s="1"/>
  <c r="AG21" i="126"/>
  <c r="U48" i="1" s="1"/>
  <c r="AG15" i="126"/>
  <c r="O48" i="1" s="1"/>
  <c r="AG18" i="126"/>
  <c r="R48" i="1" s="1"/>
  <c r="AG31" i="126" l="1"/>
  <c r="AE48" i="1" s="1"/>
  <c r="AG3" i="126"/>
  <c r="C48" i="1" s="1"/>
  <c r="AG5" i="126"/>
  <c r="E48" i="1" s="1"/>
  <c r="AG8" i="126"/>
  <c r="H48" i="1" s="1"/>
  <c r="AG19" i="126"/>
  <c r="S48" i="1" s="1"/>
  <c r="AG10" i="126"/>
  <c r="J48" i="1" s="1"/>
  <c r="AG12" i="126"/>
  <c r="L48" i="1" s="1"/>
  <c r="AG24" i="126"/>
  <c r="X48" i="1" s="1"/>
  <c r="AG29" i="126"/>
  <c r="AC48" i="1" s="1"/>
  <c r="AG22" i="125"/>
  <c r="V41" i="1" s="1"/>
  <c r="AG23" i="125"/>
  <c r="W41" i="1" s="1"/>
  <c r="AG26" i="125"/>
  <c r="Z41" i="1" s="1"/>
  <c r="AG27" i="125"/>
  <c r="AA41" i="1" s="1"/>
  <c r="AG28" i="125"/>
  <c r="AB41" i="1" s="1"/>
  <c r="AG30" i="125"/>
  <c r="AD41" i="1" s="1"/>
  <c r="AG31" i="125"/>
  <c r="AE41" i="1" s="1"/>
  <c r="AG21" i="125"/>
  <c r="U41" i="1" s="1"/>
  <c r="AG24" i="125"/>
  <c r="X41" i="1" s="1"/>
  <c r="AG25" i="125"/>
  <c r="Y41" i="1" s="1"/>
  <c r="AG29" i="125"/>
  <c r="AC41" i="1" s="1"/>
  <c r="AG6" i="125"/>
  <c r="F41" i="1" s="1"/>
  <c r="AG7" i="125"/>
  <c r="G41" i="1" s="1"/>
  <c r="AG9" i="125"/>
  <c r="I41" i="1" s="1"/>
  <c r="AG11" i="125"/>
  <c r="K41" i="1" s="1"/>
  <c r="AG13" i="125"/>
  <c r="M41" i="1" s="1"/>
  <c r="AG16" i="125"/>
  <c r="P41" i="1" s="1"/>
  <c r="AG17" i="125"/>
  <c r="Q41" i="1" s="1"/>
  <c r="AG19" i="125"/>
  <c r="S41" i="1" s="1"/>
  <c r="AG8" i="125"/>
  <c r="H41" i="1" s="1"/>
  <c r="AG10" i="125"/>
  <c r="J41" i="1" s="1"/>
  <c r="AG12" i="125"/>
  <c r="L41" i="1" s="1"/>
  <c r="AG14" i="125"/>
  <c r="N41" i="1" s="1"/>
  <c r="AG15" i="125"/>
  <c r="O41" i="1" s="1"/>
  <c r="AG18" i="125"/>
  <c r="R41" i="1" s="1"/>
  <c r="AG20" i="125"/>
  <c r="T41" i="1" s="1"/>
  <c r="AG4" i="125"/>
  <c r="D41" i="1" s="1"/>
  <c r="AG3" i="125"/>
  <c r="C41" i="1" s="1"/>
  <c r="AG23" i="124"/>
  <c r="V34" i="1" s="1"/>
  <c r="AG24" i="124"/>
  <c r="W34" i="1" s="1"/>
  <c r="X34" i="1"/>
  <c r="AG27" i="124"/>
  <c r="Z34" i="1" s="1"/>
  <c r="AG28" i="124"/>
  <c r="AA34" i="1" s="1"/>
  <c r="AG34" i="124"/>
  <c r="AF34" i="1" s="1"/>
  <c r="AG29" i="124"/>
  <c r="AB34" i="1" s="1"/>
  <c r="U34" i="1"/>
  <c r="F34" i="1"/>
  <c r="AG7" i="124"/>
  <c r="G34" i="1" s="1"/>
  <c r="AG8" i="124"/>
  <c r="H34" i="1" s="1"/>
  <c r="AG9" i="124"/>
  <c r="I34" i="1" s="1"/>
  <c r="AG11" i="124"/>
  <c r="K34" i="1" s="1"/>
  <c r="AG13" i="124"/>
  <c r="M34" i="1" s="1"/>
  <c r="AG16" i="124"/>
  <c r="P34" i="1" s="1"/>
  <c r="AG17" i="124"/>
  <c r="Q34" i="1" s="1"/>
  <c r="AG19" i="124"/>
  <c r="S34" i="1" s="1"/>
  <c r="D34" i="1"/>
  <c r="AG5" i="124"/>
  <c r="E34" i="1" s="1"/>
  <c r="AG3" i="124"/>
  <c r="C34" i="1" s="1"/>
  <c r="AG22" i="123"/>
  <c r="T27" i="1" s="1"/>
  <c r="AG6" i="123"/>
  <c r="F27" i="1" s="1"/>
  <c r="AG7" i="123"/>
  <c r="G27" i="1" s="1"/>
  <c r="AG8" i="123"/>
  <c r="H27" i="1" s="1"/>
  <c r="AG10" i="123"/>
  <c r="I27" i="1" s="1"/>
  <c r="AG12" i="123"/>
  <c r="K27" i="1" s="1"/>
  <c r="AG13" i="123"/>
  <c r="L27" i="1" s="1"/>
  <c r="AG14" i="123"/>
  <c r="M27" i="1" s="1"/>
  <c r="AG17" i="123"/>
  <c r="P27" i="1" s="1"/>
  <c r="AG18" i="123"/>
  <c r="Q27" i="1" s="1"/>
  <c r="AG20" i="123"/>
  <c r="S27" i="1" s="1"/>
  <c r="AG24" i="123"/>
  <c r="V27" i="1" s="1"/>
  <c r="AG25" i="123"/>
  <c r="W27" i="1" s="1"/>
  <c r="AG28" i="123"/>
  <c r="Z27" i="1" s="1"/>
  <c r="AG29" i="123"/>
  <c r="AA27" i="1" s="1"/>
  <c r="AG34" i="123"/>
  <c r="AF27" i="1" s="1"/>
  <c r="AG31" i="123"/>
  <c r="AC27" i="1" s="1"/>
  <c r="AG27" i="123"/>
  <c r="Y27" i="1" s="1"/>
  <c r="AG26" i="123"/>
  <c r="X27" i="1" s="1"/>
  <c r="AG11" i="123"/>
  <c r="J27" i="1" s="1"/>
  <c r="AG4" i="123"/>
  <c r="D27" i="1" s="1"/>
  <c r="AG5" i="123"/>
  <c r="E27" i="1" s="1"/>
  <c r="AG3" i="123"/>
  <c r="C27" i="1" s="1"/>
  <c r="N13" i="1"/>
  <c r="AG20" i="122"/>
  <c r="T20" i="1" s="1"/>
  <c r="AG23" i="122"/>
  <c r="W20" i="1" s="1"/>
  <c r="AG26" i="122"/>
  <c r="Z20" i="1" s="1"/>
  <c r="AG27" i="122"/>
  <c r="AA20" i="1" s="1"/>
  <c r="AG28" i="122"/>
  <c r="AB20" i="1" s="1"/>
  <c r="AG30" i="122"/>
  <c r="AD20" i="1" s="1"/>
  <c r="AG31" i="122"/>
  <c r="AE20" i="1" s="1"/>
  <c r="AG29" i="122"/>
  <c r="AC20" i="1" s="1"/>
  <c r="AG25" i="122"/>
  <c r="Y20" i="1" s="1"/>
  <c r="AG24" i="122"/>
  <c r="X20" i="1" s="1"/>
  <c r="AG13" i="122"/>
  <c r="M20" i="1" s="1"/>
  <c r="AG16" i="122"/>
  <c r="P20" i="1" s="1"/>
  <c r="AG17" i="122"/>
  <c r="Q20" i="1" s="1"/>
  <c r="AG18" i="122"/>
  <c r="R20" i="1" s="1"/>
  <c r="AG19" i="122"/>
  <c r="S20" i="1" s="1"/>
  <c r="AG22" i="122"/>
  <c r="V20" i="1" s="1"/>
  <c r="AG4" i="122"/>
  <c r="D20" i="1" s="1"/>
  <c r="AG21" i="122"/>
  <c r="U20" i="1" s="1"/>
  <c r="AG14" i="122"/>
  <c r="N20" i="1" s="1"/>
  <c r="AG15" i="122"/>
  <c r="O20" i="1" s="1"/>
  <c r="AG5" i="122"/>
  <c r="E20" i="1" s="1"/>
  <c r="AG6" i="122"/>
  <c r="F20" i="1" s="1"/>
  <c r="AG7" i="122"/>
  <c r="G20" i="1" s="1"/>
  <c r="AG8" i="122"/>
  <c r="H20" i="1" s="1"/>
  <c r="AG9" i="122"/>
  <c r="I20" i="1" s="1"/>
  <c r="AG11" i="122"/>
  <c r="K20" i="1" s="1"/>
  <c r="AG10" i="122"/>
  <c r="J20" i="1" s="1"/>
  <c r="AG12" i="122"/>
  <c r="L20" i="1" s="1"/>
  <c r="AG3" i="122"/>
  <c r="C20" i="1" s="1"/>
  <c r="AG5" i="125" l="1"/>
  <c r="E41" i="1" s="1"/>
  <c r="AG26" i="124"/>
  <c r="Y34" i="1" s="1"/>
  <c r="AG30" i="124"/>
  <c r="AC34" i="1" s="1"/>
  <c r="AG33" i="124"/>
  <c r="AE34" i="1" s="1"/>
  <c r="AG19" i="123"/>
  <c r="R27" i="1" s="1"/>
  <c r="AG23" i="123"/>
  <c r="U27" i="1" s="1"/>
  <c r="AG33" i="123"/>
  <c r="AE27" i="1" s="1"/>
  <c r="AG16" i="123"/>
  <c r="O27" i="1" s="1"/>
  <c r="AG15" i="123"/>
  <c r="N27" i="1" s="1"/>
  <c r="AG30" i="123"/>
  <c r="AB27" i="1" s="1"/>
  <c r="AG18" i="124"/>
  <c r="R34" i="1" s="1"/>
  <c r="AG15" i="124"/>
  <c r="O34" i="1" s="1"/>
  <c r="AG12" i="124"/>
  <c r="L34" i="1" s="1"/>
  <c r="AG20" i="124"/>
  <c r="T34" i="1" s="1"/>
  <c r="AG14" i="124"/>
  <c r="N34" i="1" s="1"/>
  <c r="AG10" i="124"/>
  <c r="AG4" i="74"/>
  <c r="AG32" i="74"/>
  <c r="AE6" i="1" s="1"/>
  <c r="AG33" i="74"/>
  <c r="AF6" i="1" s="1"/>
  <c r="AG28" i="74"/>
  <c r="AA6" i="1" s="1"/>
  <c r="AG29" i="74"/>
  <c r="AB6" i="1" s="1"/>
  <c r="AG30" i="74"/>
  <c r="AC6" i="1" s="1"/>
  <c r="AG25" i="74"/>
  <c r="X6" i="1" s="1"/>
  <c r="AG26" i="74"/>
  <c r="Y6" i="1" s="1"/>
  <c r="AG27" i="74"/>
  <c r="Z6" i="1" s="1"/>
  <c r="AG22" i="74"/>
  <c r="U6" i="1" s="1"/>
  <c r="AG23" i="74"/>
  <c r="V6" i="1" s="1"/>
  <c r="AG24" i="74"/>
  <c r="W6" i="1" s="1"/>
  <c r="AG21" i="74"/>
  <c r="T6" i="1" s="1"/>
  <c r="AG13" i="74"/>
  <c r="AG20" i="74"/>
  <c r="S6" i="1" s="1"/>
  <c r="AG18" i="74"/>
  <c r="Q6" i="1" s="1"/>
  <c r="AG19" i="74"/>
  <c r="R6" i="1" s="1"/>
  <c r="AG16" i="74"/>
  <c r="O6" i="1" s="1"/>
  <c r="AG15" i="74"/>
  <c r="N6" i="1" s="1"/>
  <c r="AG14" i="74"/>
  <c r="AG12" i="74"/>
  <c r="AG11" i="74"/>
  <c r="AG10" i="74"/>
  <c r="AG7" i="74"/>
  <c r="AG8" i="74"/>
  <c r="AG9" i="74"/>
  <c r="AG5" i="74"/>
  <c r="E6" i="1" s="1"/>
  <c r="AG6" i="74"/>
  <c r="F6" i="1" s="1"/>
  <c r="AG31" i="74"/>
  <c r="AD6" i="1" s="1"/>
  <c r="AG3" i="74"/>
  <c r="AG36" i="124" l="1"/>
  <c r="J34" i="1"/>
  <c r="AG36" i="123"/>
  <c r="M6" i="1"/>
  <c r="AG36" i="74"/>
  <c r="AG11" i="217"/>
  <c r="K46" i="1" s="1"/>
  <c r="AG15" i="217" l="1"/>
  <c r="N46" i="1" s="1"/>
  <c r="AG31" i="249"/>
  <c r="AE44" i="1" s="1"/>
  <c r="AF33" i="249" l="1"/>
  <c r="AA33" i="249"/>
  <c r="Z33" i="249"/>
  <c r="C33" i="249"/>
  <c r="AG32" i="249"/>
  <c r="AF44" i="1" s="1"/>
  <c r="AE33" i="249"/>
  <c r="AD33" i="249"/>
  <c r="AC33" i="249"/>
  <c r="AB33" i="249"/>
  <c r="X33" i="249"/>
  <c r="W33" i="249"/>
  <c r="U33" i="249"/>
  <c r="T33" i="249"/>
  <c r="S33" i="249"/>
  <c r="R33" i="249"/>
  <c r="Q33" i="249"/>
  <c r="P33" i="249"/>
  <c r="O33" i="249"/>
  <c r="N33" i="249"/>
  <c r="M33" i="249"/>
  <c r="L33" i="249"/>
  <c r="K33" i="249"/>
  <c r="J33" i="249"/>
  <c r="I33" i="249"/>
  <c r="H33" i="249"/>
  <c r="G33" i="249"/>
  <c r="F33" i="249"/>
  <c r="E33" i="249"/>
  <c r="D33" i="249"/>
  <c r="B33" i="249"/>
  <c r="AG30" i="249"/>
  <c r="AD44" i="1" s="1"/>
  <c r="AG29" i="249"/>
  <c r="AC44" i="1" s="1"/>
  <c r="Y33" i="249"/>
  <c r="AG28" i="249"/>
  <c r="AB44" i="1" s="1"/>
  <c r="AG27" i="249"/>
  <c r="AA44" i="1" s="1"/>
  <c r="AG26" i="249"/>
  <c r="Z44" i="1" s="1"/>
  <c r="AG25" i="249"/>
  <c r="Y44" i="1" s="1"/>
  <c r="AG24" i="249"/>
  <c r="X44" i="1" s="1"/>
  <c r="AG23" i="249"/>
  <c r="W44" i="1" s="1"/>
  <c r="AG22" i="249"/>
  <c r="V44" i="1" s="1"/>
  <c r="AG21" i="249"/>
  <c r="U44" i="1" s="1"/>
  <c r="AG20" i="249"/>
  <c r="T44" i="1" s="1"/>
  <c r="AG19" i="249"/>
  <c r="S44" i="1" s="1"/>
  <c r="AG18" i="249"/>
  <c r="R44" i="1" s="1"/>
  <c r="AG17" i="249"/>
  <c r="Q44" i="1" s="1"/>
  <c r="AG16" i="249"/>
  <c r="P44" i="1" s="1"/>
  <c r="AG15" i="249"/>
  <c r="O44" i="1" s="1"/>
  <c r="AG14" i="249"/>
  <c r="N44" i="1" s="1"/>
  <c r="AG13" i="249"/>
  <c r="M44" i="1" s="1"/>
  <c r="AG12" i="249"/>
  <c r="L44" i="1" s="1"/>
  <c r="AG11" i="249"/>
  <c r="K44" i="1" s="1"/>
  <c r="AG10" i="249"/>
  <c r="J44" i="1" s="1"/>
  <c r="AG9" i="249"/>
  <c r="I44" i="1" s="1"/>
  <c r="AG8" i="249"/>
  <c r="H44" i="1" s="1"/>
  <c r="AG7" i="249"/>
  <c r="G44" i="1" s="1"/>
  <c r="AG6" i="249"/>
  <c r="F44" i="1" s="1"/>
  <c r="V33" i="249"/>
  <c r="AG4" i="249"/>
  <c r="D44" i="1" s="1"/>
  <c r="AG3" i="249"/>
  <c r="C44" i="1" s="1"/>
  <c r="AG33" i="249" l="1"/>
  <c r="AG5" i="249"/>
  <c r="E44" i="1" s="1"/>
  <c r="AG44" i="1" s="1"/>
  <c r="AG34" i="249" l="1"/>
  <c r="AF4" i="1" l="1"/>
  <c r="AG22" i="246" l="1"/>
  <c r="T39" i="1" s="1"/>
  <c r="AG5" i="238" l="1"/>
  <c r="AG5" i="246"/>
  <c r="E39" i="1" s="1"/>
  <c r="AE34" i="248"/>
  <c r="AD34" i="248"/>
  <c r="Z34" i="248"/>
  <c r="X34" i="248"/>
  <c r="V34" i="248"/>
  <c r="R34" i="248"/>
  <c r="J34" i="248"/>
  <c r="H34" i="248"/>
  <c r="F34" i="248"/>
  <c r="D34" i="248"/>
  <c r="B34" i="248"/>
  <c r="Z37" i="246"/>
  <c r="O37" i="246"/>
  <c r="AG31" i="246"/>
  <c r="AC39" i="1" s="1"/>
  <c r="R33" i="244"/>
  <c r="AA34" i="248"/>
  <c r="W34" i="248"/>
  <c r="K34" i="248"/>
  <c r="C34" i="248"/>
  <c r="Y37" i="246"/>
  <c r="AF34" i="248"/>
  <c r="AG33" i="248"/>
  <c r="AF40" i="1" s="1"/>
  <c r="AE40" i="1"/>
  <c r="AG31" i="248"/>
  <c r="AD40" i="1" s="1"/>
  <c r="AB40" i="1"/>
  <c r="AA40" i="1"/>
  <c r="Z40" i="1"/>
  <c r="Y40" i="1"/>
  <c r="X40" i="1"/>
  <c r="W40" i="1"/>
  <c r="V40" i="1"/>
  <c r="U40" i="1"/>
  <c r="T40" i="1"/>
  <c r="S40" i="1"/>
  <c r="AB34" i="248"/>
  <c r="Y34" i="248"/>
  <c r="U34" i="248"/>
  <c r="Q34" i="248"/>
  <c r="P34" i="248"/>
  <c r="N34" i="248"/>
  <c r="M34" i="248"/>
  <c r="I34" i="248"/>
  <c r="E34" i="248"/>
  <c r="Q40" i="1"/>
  <c r="P40" i="1"/>
  <c r="L34" i="248"/>
  <c r="S34" i="248"/>
  <c r="M40" i="1"/>
  <c r="L40" i="1"/>
  <c r="K40" i="1"/>
  <c r="T34" i="248"/>
  <c r="I40" i="1"/>
  <c r="H40" i="1"/>
  <c r="G40" i="1"/>
  <c r="AG6" i="248"/>
  <c r="D40" i="1"/>
  <c r="C40" i="1"/>
  <c r="AF37" i="246"/>
  <c r="AG34" i="246"/>
  <c r="AF39" i="1" s="1"/>
  <c r="AG33" i="246"/>
  <c r="AE39" i="1" s="1"/>
  <c r="AG32" i="246"/>
  <c r="AD39" i="1" s="1"/>
  <c r="AG30" i="246"/>
  <c r="AB39" i="1" s="1"/>
  <c r="AG29" i="246"/>
  <c r="AA39" i="1" s="1"/>
  <c r="AG28" i="246"/>
  <c r="Z39" i="1" s="1"/>
  <c r="AG27" i="246"/>
  <c r="Y39" i="1" s="1"/>
  <c r="AG26" i="246"/>
  <c r="X39" i="1" s="1"/>
  <c r="AG25" i="246"/>
  <c r="W39" i="1" s="1"/>
  <c r="AG24" i="246"/>
  <c r="V39" i="1" s="1"/>
  <c r="AG23" i="246"/>
  <c r="U39" i="1" s="1"/>
  <c r="AA37" i="246"/>
  <c r="X37" i="246"/>
  <c r="S37" i="246"/>
  <c r="R37" i="246"/>
  <c r="Q37" i="246"/>
  <c r="P37" i="246"/>
  <c r="M37" i="246"/>
  <c r="L37" i="246"/>
  <c r="I37" i="246"/>
  <c r="C37" i="246"/>
  <c r="AG21" i="246"/>
  <c r="S39" i="1" s="1"/>
  <c r="AD37" i="246"/>
  <c r="AC37" i="246"/>
  <c r="AB37" i="246"/>
  <c r="V37" i="246"/>
  <c r="H37" i="246"/>
  <c r="G37" i="246"/>
  <c r="E37" i="246"/>
  <c r="D37" i="246"/>
  <c r="AG19" i="246"/>
  <c r="Q39" i="1" s="1"/>
  <c r="AG18" i="246"/>
  <c r="P39" i="1" s="1"/>
  <c r="AE37" i="246"/>
  <c r="W37" i="246"/>
  <c r="U37" i="246"/>
  <c r="T37" i="246"/>
  <c r="J37" i="246"/>
  <c r="B37" i="246"/>
  <c r="AG16" i="246"/>
  <c r="N39" i="1" s="1"/>
  <c r="AG15" i="246"/>
  <c r="M39" i="1" s="1"/>
  <c r="AG14" i="246"/>
  <c r="AG13" i="246"/>
  <c r="L39" i="1" s="1"/>
  <c r="AG12" i="246"/>
  <c r="AG11" i="246"/>
  <c r="K39" i="1" s="1"/>
  <c r="AG10" i="246"/>
  <c r="J39" i="1" s="1"/>
  <c r="AG9" i="246"/>
  <c r="I39" i="1" s="1"/>
  <c r="AG8" i="246"/>
  <c r="H39" i="1" s="1"/>
  <c r="AG7" i="246"/>
  <c r="G39" i="1" s="1"/>
  <c r="AG6" i="246"/>
  <c r="F39" i="1" s="1"/>
  <c r="N37" i="246"/>
  <c r="AG4" i="246"/>
  <c r="D39" i="1" s="1"/>
  <c r="AG3" i="246"/>
  <c r="C39" i="1" s="1"/>
  <c r="AD33" i="244"/>
  <c r="AB33" i="244"/>
  <c r="O33" i="244"/>
  <c r="K33" i="244"/>
  <c r="G33" i="244"/>
  <c r="C33" i="244"/>
  <c r="AG20" i="244"/>
  <c r="T38" i="1" s="1"/>
  <c r="AF33" i="244"/>
  <c r="AE33" i="244"/>
  <c r="AC33" i="244"/>
  <c r="AA33" i="244"/>
  <c r="Z33" i="244"/>
  <c r="Y33" i="244"/>
  <c r="X33" i="244"/>
  <c r="W33" i="244"/>
  <c r="V33" i="244"/>
  <c r="U33" i="244"/>
  <c r="T33" i="244"/>
  <c r="S33" i="244"/>
  <c r="Q33" i="244"/>
  <c r="P33" i="244"/>
  <c r="M33" i="244"/>
  <c r="L33" i="244"/>
  <c r="J33" i="244"/>
  <c r="I33" i="244"/>
  <c r="H33" i="244"/>
  <c r="F33" i="244"/>
  <c r="E33" i="244"/>
  <c r="D33" i="244"/>
  <c r="AG32" i="244"/>
  <c r="AF38" i="1" s="1"/>
  <c r="AG30" i="244"/>
  <c r="AD38" i="1" s="1"/>
  <c r="AG28" i="244"/>
  <c r="AB38" i="1" s="1"/>
  <c r="AG27" i="244"/>
  <c r="AA38" i="1" s="1"/>
  <c r="AG26" i="244"/>
  <c r="Z38" i="1" s="1"/>
  <c r="AG25" i="244"/>
  <c r="Y38" i="1" s="1"/>
  <c r="AG24" i="244"/>
  <c r="X38" i="1" s="1"/>
  <c r="AG23" i="244"/>
  <c r="W38" i="1" s="1"/>
  <c r="AG22" i="244"/>
  <c r="V38" i="1" s="1"/>
  <c r="AG21" i="244"/>
  <c r="U38" i="1" s="1"/>
  <c r="N33" i="244"/>
  <c r="B33" i="244"/>
  <c r="AG19" i="244"/>
  <c r="S38" i="1" s="1"/>
  <c r="AG18" i="244"/>
  <c r="R38" i="1" s="1"/>
  <c r="AG17" i="244"/>
  <c r="Q38" i="1" s="1"/>
  <c r="AG16" i="244"/>
  <c r="P38" i="1" s="1"/>
  <c r="AG15" i="244"/>
  <c r="O38" i="1" s="1"/>
  <c r="AG14" i="244"/>
  <c r="N38" i="1" s="1"/>
  <c r="AG13" i="244"/>
  <c r="M38" i="1" s="1"/>
  <c r="AG12" i="244"/>
  <c r="L38" i="1" s="1"/>
  <c r="AG11" i="244"/>
  <c r="K38" i="1" s="1"/>
  <c r="AG10" i="244"/>
  <c r="J38" i="1" s="1"/>
  <c r="AG9" i="244"/>
  <c r="I38" i="1" s="1"/>
  <c r="AG8" i="244"/>
  <c r="H38" i="1" s="1"/>
  <c r="AG7" i="244"/>
  <c r="G38" i="1" s="1"/>
  <c r="AG6" i="244"/>
  <c r="F38" i="1" s="1"/>
  <c r="AG5" i="244"/>
  <c r="E38" i="1" s="1"/>
  <c r="AG4" i="244"/>
  <c r="D38" i="1" s="1"/>
  <c r="AG3" i="244"/>
  <c r="C38" i="1" s="1"/>
  <c r="AC33" i="242"/>
  <c r="W33" i="242"/>
  <c r="S33" i="242"/>
  <c r="O33" i="242"/>
  <c r="M33" i="242"/>
  <c r="K33" i="242"/>
  <c r="I33" i="242"/>
  <c r="F33" i="242"/>
  <c r="E33" i="242"/>
  <c r="B33" i="242"/>
  <c r="AG20" i="242"/>
  <c r="T37" i="1" s="1"/>
  <c r="AG5" i="242"/>
  <c r="E37" i="1" s="1"/>
  <c r="AF33" i="242"/>
  <c r="AE33" i="242"/>
  <c r="AD33" i="242"/>
  <c r="AB33" i="242"/>
  <c r="Z33" i="242"/>
  <c r="X33" i="242"/>
  <c r="U33" i="242"/>
  <c r="T33" i="242"/>
  <c r="R33" i="242"/>
  <c r="P33" i="242"/>
  <c r="N33" i="242"/>
  <c r="L33" i="242"/>
  <c r="J33" i="242"/>
  <c r="H33" i="242"/>
  <c r="G33" i="242"/>
  <c r="D33" i="242"/>
  <c r="C33" i="242"/>
  <c r="AG32" i="242"/>
  <c r="AF37" i="1" s="1"/>
  <c r="AG30" i="242"/>
  <c r="AD37" i="1" s="1"/>
  <c r="AG29" i="242"/>
  <c r="AC37" i="1" s="1"/>
  <c r="AG28" i="242"/>
  <c r="AB37" i="1" s="1"/>
  <c r="AG27" i="242"/>
  <c r="AA37" i="1" s="1"/>
  <c r="AG26" i="242"/>
  <c r="Z37" i="1" s="1"/>
  <c r="AG25" i="242"/>
  <c r="Y37" i="1" s="1"/>
  <c r="AG24" i="242"/>
  <c r="X37" i="1" s="1"/>
  <c r="AG23" i="242"/>
  <c r="W37" i="1" s="1"/>
  <c r="AG22" i="242"/>
  <c r="V37" i="1" s="1"/>
  <c r="AG21" i="242"/>
  <c r="U37" i="1" s="1"/>
  <c r="Q33" i="242"/>
  <c r="AG19" i="242"/>
  <c r="S37" i="1" s="1"/>
  <c r="AG18" i="242"/>
  <c r="R37" i="1" s="1"/>
  <c r="AG17" i="242"/>
  <c r="Q37" i="1" s="1"/>
  <c r="AG16" i="242"/>
  <c r="P37" i="1" s="1"/>
  <c r="AG15" i="242"/>
  <c r="O37" i="1" s="1"/>
  <c r="AG14" i="242"/>
  <c r="N37" i="1" s="1"/>
  <c r="AG13" i="242"/>
  <c r="M37" i="1" s="1"/>
  <c r="AG12" i="242"/>
  <c r="L37" i="1" s="1"/>
  <c r="AG11" i="242"/>
  <c r="K37" i="1" s="1"/>
  <c r="AG10" i="242"/>
  <c r="J37" i="1" s="1"/>
  <c r="AA33" i="242"/>
  <c r="AG8" i="242"/>
  <c r="H37" i="1" s="1"/>
  <c r="AG7" i="242"/>
  <c r="G37" i="1" s="1"/>
  <c r="AG6" i="242"/>
  <c r="F37" i="1" s="1"/>
  <c r="AG4" i="242"/>
  <c r="D37" i="1" s="1"/>
  <c r="AG3" i="242"/>
  <c r="C37" i="1" s="1"/>
  <c r="F40" i="1" l="1"/>
  <c r="AG35" i="248"/>
  <c r="V33" i="242"/>
  <c r="F37" i="246"/>
  <c r="O40" i="1"/>
  <c r="AG29" i="244"/>
  <c r="AC38" i="1" s="1"/>
  <c r="AG20" i="246"/>
  <c r="R39" i="1" s="1"/>
  <c r="AC34" i="248"/>
  <c r="Y33" i="242"/>
  <c r="AC40" i="1"/>
  <c r="O34" i="248"/>
  <c r="R40" i="1"/>
  <c r="G34" i="248"/>
  <c r="J40" i="1"/>
  <c r="N40" i="1"/>
  <c r="K37" i="246"/>
  <c r="AG37" i="246" s="1"/>
  <c r="AG17" i="246"/>
  <c r="AG31" i="244"/>
  <c r="AE38" i="1" s="1"/>
  <c r="AG33" i="244"/>
  <c r="AG31" i="242"/>
  <c r="AE37" i="1" s="1"/>
  <c r="AG33" i="242"/>
  <c r="AG9" i="242"/>
  <c r="I37" i="1" s="1"/>
  <c r="AG24" i="238"/>
  <c r="AG29" i="238"/>
  <c r="Y32" i="1" s="1"/>
  <c r="AG38" i="246" l="1"/>
  <c r="O39" i="1"/>
  <c r="AG34" i="244"/>
  <c r="AG34" i="248"/>
  <c r="AG34" i="242"/>
  <c r="AG25" i="235" l="1"/>
  <c r="Y30" i="1" s="1"/>
  <c r="AG30" i="239" l="1"/>
  <c r="AC24" i="1" s="1"/>
  <c r="AF33" i="240" l="1"/>
  <c r="AE33" i="240"/>
  <c r="AC33" i="240"/>
  <c r="AA33" i="240"/>
  <c r="Y33" i="240"/>
  <c r="X33" i="240"/>
  <c r="W33" i="240"/>
  <c r="V33" i="240"/>
  <c r="T33" i="240"/>
  <c r="S33" i="240"/>
  <c r="Q33" i="240"/>
  <c r="P33" i="240"/>
  <c r="L33" i="240"/>
  <c r="I33" i="240"/>
  <c r="AG32" i="240"/>
  <c r="AF31" i="1" s="1"/>
  <c r="R33" i="240"/>
  <c r="K33" i="240"/>
  <c r="H33" i="240"/>
  <c r="G33" i="240"/>
  <c r="AG31" i="240"/>
  <c r="AE31" i="1" s="1"/>
  <c r="AG30" i="240"/>
  <c r="AD31" i="1" s="1"/>
  <c r="N33" i="240"/>
  <c r="M33" i="240"/>
  <c r="F33" i="240"/>
  <c r="AG28" i="240"/>
  <c r="AB31" i="1" s="1"/>
  <c r="AG27" i="240"/>
  <c r="AA31" i="1" s="1"/>
  <c r="AG26" i="240"/>
  <c r="Z31" i="1" s="1"/>
  <c r="AG25" i="240"/>
  <c r="Y31" i="1" s="1"/>
  <c r="AG24" i="240"/>
  <c r="X31" i="1" s="1"/>
  <c r="AG23" i="240"/>
  <c r="W31" i="1" s="1"/>
  <c r="AG22" i="240"/>
  <c r="V31" i="1" s="1"/>
  <c r="AG21" i="240"/>
  <c r="U31" i="1" s="1"/>
  <c r="AD33" i="240"/>
  <c r="AB33" i="240"/>
  <c r="Z33" i="240"/>
  <c r="U33" i="240"/>
  <c r="O33" i="240"/>
  <c r="J33" i="240"/>
  <c r="AG20" i="240"/>
  <c r="T31" i="1" s="1"/>
  <c r="AG19" i="240"/>
  <c r="S31" i="1" s="1"/>
  <c r="AG18" i="240"/>
  <c r="R31" i="1" s="1"/>
  <c r="AG17" i="240"/>
  <c r="Q31" i="1" s="1"/>
  <c r="AG16" i="240"/>
  <c r="P31" i="1" s="1"/>
  <c r="D33" i="240"/>
  <c r="C33" i="240"/>
  <c r="B33" i="240"/>
  <c r="AG14" i="240"/>
  <c r="N31" i="1" s="1"/>
  <c r="AG13" i="240"/>
  <c r="M31" i="1" s="1"/>
  <c r="AG12" i="240"/>
  <c r="L31" i="1" s="1"/>
  <c r="AG11" i="240"/>
  <c r="K31" i="1" s="1"/>
  <c r="AG10" i="240"/>
  <c r="J31" i="1" s="1"/>
  <c r="AG9" i="240"/>
  <c r="I31" i="1" s="1"/>
  <c r="AG8" i="240"/>
  <c r="H31" i="1" s="1"/>
  <c r="AG7" i="240"/>
  <c r="G31" i="1" s="1"/>
  <c r="AG6" i="240"/>
  <c r="F31" i="1" s="1"/>
  <c r="AG5" i="240"/>
  <c r="E31" i="1" s="1"/>
  <c r="AG4" i="240"/>
  <c r="D31" i="1" s="1"/>
  <c r="AG3" i="240"/>
  <c r="C31" i="1" s="1"/>
  <c r="AF34" i="239"/>
  <c r="AE34" i="239"/>
  <c r="AC34" i="239"/>
  <c r="AA34" i="239"/>
  <c r="Y34" i="239"/>
  <c r="X34" i="239"/>
  <c r="W34" i="239"/>
  <c r="V34" i="239"/>
  <c r="T34" i="239"/>
  <c r="S34" i="239"/>
  <c r="Q34" i="239"/>
  <c r="P34" i="239"/>
  <c r="L34" i="239"/>
  <c r="I34" i="239"/>
  <c r="AG33" i="239"/>
  <c r="AF24" i="1" s="1"/>
  <c r="R34" i="239"/>
  <c r="K34" i="239"/>
  <c r="H34" i="239"/>
  <c r="G34" i="239"/>
  <c r="AG32" i="239"/>
  <c r="AE24" i="1" s="1"/>
  <c r="AG31" i="239"/>
  <c r="AD24" i="1" s="1"/>
  <c r="N34" i="239"/>
  <c r="M34" i="239"/>
  <c r="F34" i="239"/>
  <c r="AG29" i="239"/>
  <c r="AB24" i="1" s="1"/>
  <c r="AG28" i="239"/>
  <c r="AA24" i="1" s="1"/>
  <c r="AG27" i="239"/>
  <c r="Z24" i="1" s="1"/>
  <c r="AG26" i="239"/>
  <c r="Y24" i="1" s="1"/>
  <c r="AG25" i="239"/>
  <c r="X24" i="1" s="1"/>
  <c r="AG24" i="239"/>
  <c r="W24" i="1" s="1"/>
  <c r="AG23" i="239"/>
  <c r="V24" i="1" s="1"/>
  <c r="AG22" i="239"/>
  <c r="U24" i="1" s="1"/>
  <c r="AD34" i="239"/>
  <c r="AB34" i="239"/>
  <c r="Z34" i="239"/>
  <c r="U34" i="239"/>
  <c r="O34" i="239"/>
  <c r="J34" i="239"/>
  <c r="AG21" i="239"/>
  <c r="T24" i="1" s="1"/>
  <c r="AG19" i="239"/>
  <c r="S24" i="1" s="1"/>
  <c r="AG18" i="239"/>
  <c r="R24" i="1" s="1"/>
  <c r="AG17" i="239"/>
  <c r="Q24" i="1" s="1"/>
  <c r="AG16" i="239"/>
  <c r="P24" i="1" s="1"/>
  <c r="D34" i="239"/>
  <c r="C34" i="239"/>
  <c r="B34" i="239"/>
  <c r="AG14" i="239"/>
  <c r="N24" i="1" s="1"/>
  <c r="AG13" i="239"/>
  <c r="M24" i="1" s="1"/>
  <c r="AG12" i="239"/>
  <c r="L24" i="1" s="1"/>
  <c r="AG11" i="239"/>
  <c r="K24" i="1" s="1"/>
  <c r="AG10" i="239"/>
  <c r="J24" i="1" s="1"/>
  <c r="AG9" i="239"/>
  <c r="I24" i="1" s="1"/>
  <c r="AG8" i="239"/>
  <c r="H24" i="1" s="1"/>
  <c r="AG7" i="239"/>
  <c r="G24" i="1" s="1"/>
  <c r="AG6" i="239"/>
  <c r="F24" i="1" s="1"/>
  <c r="AG5" i="239"/>
  <c r="E24" i="1" s="1"/>
  <c r="AG4" i="239"/>
  <c r="D24" i="1" s="1"/>
  <c r="AG3" i="239"/>
  <c r="C24" i="1" s="1"/>
  <c r="AG37" i="238"/>
  <c r="AF32" i="1" s="1"/>
  <c r="AG36" i="238"/>
  <c r="AE32" i="1" s="1"/>
  <c r="AG35" i="238"/>
  <c r="AD32" i="1" s="1"/>
  <c r="AG34" i="238"/>
  <c r="AC32" i="1" s="1"/>
  <c r="AG32" i="238"/>
  <c r="AB32" i="1" s="1"/>
  <c r="AG31" i="238"/>
  <c r="AA32" i="1" s="1"/>
  <c r="AG30" i="238"/>
  <c r="Z32" i="1" s="1"/>
  <c r="AG28" i="238"/>
  <c r="X32" i="1" s="1"/>
  <c r="AG27" i="238"/>
  <c r="W32" i="1" s="1"/>
  <c r="V32" i="1"/>
  <c r="AG25" i="238"/>
  <c r="U32" i="1" s="1"/>
  <c r="V40" i="238"/>
  <c r="AG23" i="238"/>
  <c r="T32" i="1" s="1"/>
  <c r="AG22" i="238"/>
  <c r="S32" i="1" s="1"/>
  <c r="AG21" i="238"/>
  <c r="R32" i="1" s="1"/>
  <c r="AG20" i="238"/>
  <c r="Q32" i="1" s="1"/>
  <c r="AG19" i="238"/>
  <c r="P32" i="1" s="1"/>
  <c r="AE40" i="238"/>
  <c r="AD40" i="238"/>
  <c r="AC40" i="238"/>
  <c r="AB40" i="238"/>
  <c r="AA40" i="238"/>
  <c r="Z40" i="238"/>
  <c r="Y40" i="238"/>
  <c r="X40" i="238"/>
  <c r="W40" i="238"/>
  <c r="U40" i="238"/>
  <c r="T40" i="238"/>
  <c r="S40" i="238"/>
  <c r="R40" i="238"/>
  <c r="P40" i="238"/>
  <c r="O40" i="238"/>
  <c r="N40" i="238"/>
  <c r="L40" i="238"/>
  <c r="K40" i="238"/>
  <c r="J40" i="238"/>
  <c r="I40" i="238"/>
  <c r="H40" i="238"/>
  <c r="G40" i="238"/>
  <c r="F40" i="238"/>
  <c r="E40" i="238"/>
  <c r="D40" i="238"/>
  <c r="C40" i="238"/>
  <c r="AG18" i="238"/>
  <c r="O32" i="1" s="1"/>
  <c r="AF40" i="238"/>
  <c r="Q40" i="238"/>
  <c r="M40" i="238"/>
  <c r="B40" i="238"/>
  <c r="AG16" i="238"/>
  <c r="M32" i="1" s="1"/>
  <c r="AG15" i="238"/>
  <c r="AG14" i="238"/>
  <c r="L32" i="1" s="1"/>
  <c r="AG13" i="238"/>
  <c r="AG12" i="238"/>
  <c r="K32" i="1" s="1"/>
  <c r="AG11" i="238"/>
  <c r="J32" i="1" s="1"/>
  <c r="AG9" i="238"/>
  <c r="I32" i="1" s="1"/>
  <c r="AG8" i="238"/>
  <c r="H32" i="1" s="1"/>
  <c r="G32" i="1"/>
  <c r="AG6" i="238"/>
  <c r="F32" i="1" s="1"/>
  <c r="E32" i="1"/>
  <c r="AG4" i="238"/>
  <c r="D32" i="1" s="1"/>
  <c r="AG3" i="238"/>
  <c r="C32" i="1" s="1"/>
  <c r="AG34" i="237"/>
  <c r="AF25" i="1" s="1"/>
  <c r="AG33" i="237"/>
  <c r="AE25" i="1" s="1"/>
  <c r="AG32" i="237"/>
  <c r="AD25" i="1" s="1"/>
  <c r="AG31" i="237"/>
  <c r="AC25" i="1" s="1"/>
  <c r="AG30" i="237"/>
  <c r="AB25" i="1" s="1"/>
  <c r="AG29" i="237"/>
  <c r="AA25" i="1" s="1"/>
  <c r="AG28" i="237"/>
  <c r="Z25" i="1" s="1"/>
  <c r="AG27" i="237"/>
  <c r="Y25" i="1" s="1"/>
  <c r="AG26" i="237"/>
  <c r="X25" i="1" s="1"/>
  <c r="AG25" i="237"/>
  <c r="W25" i="1" s="1"/>
  <c r="AG24" i="237"/>
  <c r="V25" i="1" s="1"/>
  <c r="AG23" i="237"/>
  <c r="U25" i="1" s="1"/>
  <c r="V37" i="237"/>
  <c r="AG22" i="237"/>
  <c r="T25" i="1" s="1"/>
  <c r="AG21" i="237"/>
  <c r="S25" i="1" s="1"/>
  <c r="AG20" i="237"/>
  <c r="R25" i="1" s="1"/>
  <c r="AG19" i="237"/>
  <c r="Q25" i="1" s="1"/>
  <c r="AG18" i="237"/>
  <c r="P25" i="1" s="1"/>
  <c r="AE37" i="237"/>
  <c r="AD37" i="237"/>
  <c r="AC37" i="237"/>
  <c r="AB37" i="237"/>
  <c r="AA37" i="237"/>
  <c r="Z37" i="237"/>
  <c r="Y37" i="237"/>
  <c r="X37" i="237"/>
  <c r="W37" i="237"/>
  <c r="U37" i="237"/>
  <c r="T37" i="237"/>
  <c r="S37" i="237"/>
  <c r="R37" i="237"/>
  <c r="P37" i="237"/>
  <c r="O37" i="237"/>
  <c r="N37" i="237"/>
  <c r="L37" i="237"/>
  <c r="K37" i="237"/>
  <c r="J37" i="237"/>
  <c r="I37" i="237"/>
  <c r="H37" i="237"/>
  <c r="G37" i="237"/>
  <c r="F37" i="237"/>
  <c r="E37" i="237"/>
  <c r="D37" i="237"/>
  <c r="C37" i="237"/>
  <c r="AG17" i="237"/>
  <c r="O25" i="1" s="1"/>
  <c r="AF37" i="237"/>
  <c r="Q37" i="237"/>
  <c r="M37" i="237"/>
  <c r="B37" i="237"/>
  <c r="AG15" i="237"/>
  <c r="M25" i="1" s="1"/>
  <c r="AG14" i="237"/>
  <c r="AG13" i="237"/>
  <c r="L25" i="1" s="1"/>
  <c r="AG12" i="237"/>
  <c r="AG11" i="237"/>
  <c r="K25" i="1" s="1"/>
  <c r="AG10" i="237"/>
  <c r="J25" i="1" s="1"/>
  <c r="AG9" i="237"/>
  <c r="I25" i="1" s="1"/>
  <c r="AG8" i="237"/>
  <c r="H25" i="1" s="1"/>
  <c r="AG7" i="237"/>
  <c r="G25" i="1" s="1"/>
  <c r="AG6" i="237"/>
  <c r="F25" i="1" s="1"/>
  <c r="AG5" i="237"/>
  <c r="E25" i="1" s="1"/>
  <c r="AG4" i="237"/>
  <c r="D25" i="1" s="1"/>
  <c r="AG3" i="237"/>
  <c r="C25" i="1" s="1"/>
  <c r="AF33" i="1"/>
  <c r="AE33" i="1"/>
  <c r="AD33" i="1"/>
  <c r="AC33" i="1"/>
  <c r="AB33" i="1"/>
  <c r="AA33" i="1"/>
  <c r="Z33" i="1"/>
  <c r="Y33" i="1"/>
  <c r="X33" i="1"/>
  <c r="W33" i="1"/>
  <c r="V33" i="1"/>
  <c r="U33" i="1"/>
  <c r="S33" i="1"/>
  <c r="R33" i="1"/>
  <c r="Q33" i="1"/>
  <c r="P33" i="1"/>
  <c r="O33" i="1"/>
  <c r="N33" i="1"/>
  <c r="M33" i="1"/>
  <c r="K33" i="1"/>
  <c r="J33" i="1"/>
  <c r="I33" i="1"/>
  <c r="H33" i="1"/>
  <c r="G33" i="1"/>
  <c r="AG6" i="236"/>
  <c r="E33" i="1"/>
  <c r="D33" i="1"/>
  <c r="C33" i="1"/>
  <c r="AG39" i="235"/>
  <c r="AF33" i="235"/>
  <c r="AE33" i="235"/>
  <c r="AD33" i="235"/>
  <c r="AC33" i="235"/>
  <c r="AB33" i="235"/>
  <c r="AA33" i="235"/>
  <c r="X33" i="235"/>
  <c r="W33" i="235"/>
  <c r="V33" i="235"/>
  <c r="U33" i="235"/>
  <c r="T33" i="235"/>
  <c r="S33" i="235"/>
  <c r="P33" i="235"/>
  <c r="N33" i="235"/>
  <c r="I33" i="235"/>
  <c r="H33" i="235"/>
  <c r="G33" i="235"/>
  <c r="D33" i="235"/>
  <c r="B33" i="235"/>
  <c r="AG32" i="235"/>
  <c r="AF30" i="1" s="1"/>
  <c r="Z33" i="235"/>
  <c r="Y33" i="235"/>
  <c r="R33" i="235"/>
  <c r="O33" i="235"/>
  <c r="M33" i="235"/>
  <c r="L33" i="235"/>
  <c r="K33" i="235"/>
  <c r="J33" i="235"/>
  <c r="F33" i="235"/>
  <c r="E33" i="235"/>
  <c r="C33" i="235"/>
  <c r="AG30" i="235"/>
  <c r="AD30" i="1" s="1"/>
  <c r="AG29" i="235"/>
  <c r="AC30" i="1" s="1"/>
  <c r="AG28" i="235"/>
  <c r="AB30" i="1" s="1"/>
  <c r="AG27" i="235"/>
  <c r="AA30" i="1" s="1"/>
  <c r="AG26" i="235"/>
  <c r="Z30" i="1" s="1"/>
  <c r="AG24" i="235"/>
  <c r="X30" i="1" s="1"/>
  <c r="AG23" i="235"/>
  <c r="W30" i="1" s="1"/>
  <c r="AG22" i="235"/>
  <c r="V30" i="1" s="1"/>
  <c r="AG21" i="235"/>
  <c r="U30" i="1" s="1"/>
  <c r="Q33" i="235"/>
  <c r="AG20" i="235"/>
  <c r="T30" i="1" s="1"/>
  <c r="AG19" i="235"/>
  <c r="S30" i="1" s="1"/>
  <c r="AG18" i="235"/>
  <c r="R30" i="1" s="1"/>
  <c r="AG17" i="235"/>
  <c r="Q30" i="1" s="1"/>
  <c r="AG16" i="235"/>
  <c r="P30" i="1" s="1"/>
  <c r="AG15" i="235"/>
  <c r="O30" i="1" s="1"/>
  <c r="AG14" i="235"/>
  <c r="N30" i="1" s="1"/>
  <c r="AG13" i="235"/>
  <c r="M30" i="1" s="1"/>
  <c r="AG12" i="235"/>
  <c r="L30" i="1" s="1"/>
  <c r="AG11" i="235"/>
  <c r="K30" i="1" s="1"/>
  <c r="AG10" i="235"/>
  <c r="J30" i="1" s="1"/>
  <c r="AG9" i="235"/>
  <c r="I30" i="1" s="1"/>
  <c r="AG8" i="235"/>
  <c r="H30" i="1" s="1"/>
  <c r="AG7" i="235"/>
  <c r="G30" i="1" s="1"/>
  <c r="AG6" i="235"/>
  <c r="F30" i="1" s="1"/>
  <c r="AG5" i="235"/>
  <c r="E30" i="1" s="1"/>
  <c r="AG4" i="235"/>
  <c r="D30" i="1" s="1"/>
  <c r="AG3" i="235"/>
  <c r="C30" i="1" s="1"/>
  <c r="AG41" i="234"/>
  <c r="AF35" i="234"/>
  <c r="AE35" i="234"/>
  <c r="AD35" i="234"/>
  <c r="AC35" i="234"/>
  <c r="AB35" i="234"/>
  <c r="AA35" i="234"/>
  <c r="X35" i="234"/>
  <c r="W35" i="234"/>
  <c r="V35" i="234"/>
  <c r="U35" i="234"/>
  <c r="T35" i="234"/>
  <c r="S35" i="234"/>
  <c r="P35" i="234"/>
  <c r="N35" i="234"/>
  <c r="I35" i="234"/>
  <c r="H35" i="234"/>
  <c r="G35" i="234"/>
  <c r="D35" i="234"/>
  <c r="B35" i="234"/>
  <c r="AG34" i="234"/>
  <c r="AF23" i="1" s="1"/>
  <c r="Z35" i="234"/>
  <c r="Y35" i="234"/>
  <c r="R35" i="234"/>
  <c r="O35" i="234"/>
  <c r="M35" i="234"/>
  <c r="L35" i="234"/>
  <c r="K35" i="234"/>
  <c r="J35" i="234"/>
  <c r="F35" i="234"/>
  <c r="E35" i="234"/>
  <c r="C35" i="234"/>
  <c r="AG32" i="234"/>
  <c r="AD23" i="1" s="1"/>
  <c r="AG31" i="234"/>
  <c r="AC23" i="1" s="1"/>
  <c r="AG30" i="234"/>
  <c r="AB23" i="1" s="1"/>
  <c r="AG29" i="234"/>
  <c r="AA23" i="1" s="1"/>
  <c r="AG28" i="234"/>
  <c r="Z23" i="1" s="1"/>
  <c r="AG27" i="234"/>
  <c r="Y23" i="1" s="1"/>
  <c r="AG26" i="234"/>
  <c r="X23" i="1" s="1"/>
  <c r="AG25" i="234"/>
  <c r="W23" i="1" s="1"/>
  <c r="AG24" i="234"/>
  <c r="V23" i="1" s="1"/>
  <c r="AG23" i="234"/>
  <c r="U23" i="1" s="1"/>
  <c r="Q35" i="234"/>
  <c r="AG22" i="234"/>
  <c r="T23" i="1" s="1"/>
  <c r="AG20" i="234"/>
  <c r="S23" i="1" s="1"/>
  <c r="AG19" i="234"/>
  <c r="R23" i="1" s="1"/>
  <c r="AG18" i="234"/>
  <c r="Q23" i="1" s="1"/>
  <c r="AG17" i="234"/>
  <c r="P23" i="1" s="1"/>
  <c r="AG16" i="234"/>
  <c r="O23" i="1" s="1"/>
  <c r="AG15" i="234"/>
  <c r="N23" i="1" s="1"/>
  <c r="AG14" i="234"/>
  <c r="M23" i="1" s="1"/>
  <c r="AG13" i="234"/>
  <c r="L23" i="1" s="1"/>
  <c r="AG12" i="234"/>
  <c r="K23" i="1" s="1"/>
  <c r="AG11" i="234"/>
  <c r="J23" i="1" s="1"/>
  <c r="AG10" i="234"/>
  <c r="I23" i="1" s="1"/>
  <c r="AG8" i="234"/>
  <c r="H23" i="1" s="1"/>
  <c r="AG7" i="234"/>
  <c r="G23" i="1" s="1"/>
  <c r="AG6" i="234"/>
  <c r="F23" i="1" s="1"/>
  <c r="AG5" i="234"/>
  <c r="E23" i="1" s="1"/>
  <c r="AG4" i="234"/>
  <c r="D23" i="1" s="1"/>
  <c r="AG3" i="234"/>
  <c r="C23" i="1" s="1"/>
  <c r="AF26" i="1"/>
  <c r="AE26" i="1"/>
  <c r="AC26" i="1"/>
  <c r="AB26" i="1"/>
  <c r="AA26" i="1"/>
  <c r="Z26" i="1"/>
  <c r="Y26" i="1"/>
  <c r="X26" i="1"/>
  <c r="W26" i="1"/>
  <c r="V26" i="1"/>
  <c r="U26" i="1"/>
  <c r="S26" i="1"/>
  <c r="R26" i="1"/>
  <c r="Q26" i="1"/>
  <c r="P26" i="1"/>
  <c r="O26" i="1"/>
  <c r="N26" i="1"/>
  <c r="M26" i="1"/>
  <c r="K26" i="1"/>
  <c r="J26" i="1"/>
  <c r="I26" i="1"/>
  <c r="H26" i="1"/>
  <c r="G26" i="1"/>
  <c r="AG6" i="233"/>
  <c r="E26" i="1"/>
  <c r="D26" i="1"/>
  <c r="C26" i="1"/>
  <c r="F33" i="1" l="1"/>
  <c r="AG36" i="236"/>
  <c r="F26" i="1"/>
  <c r="AG36" i="233"/>
  <c r="T26" i="1"/>
  <c r="T33" i="1"/>
  <c r="AG40" i="238"/>
  <c r="AG37" i="237"/>
  <c r="AG15" i="240"/>
  <c r="O31" i="1" s="1"/>
  <c r="AC31" i="1"/>
  <c r="E33" i="240"/>
  <c r="AG33" i="240" s="1"/>
  <c r="AG15" i="239"/>
  <c r="O24" i="1" s="1"/>
  <c r="E34" i="239"/>
  <c r="AG34" i="239" s="1"/>
  <c r="AG17" i="238"/>
  <c r="N32" i="1" s="1"/>
  <c r="AG16" i="237"/>
  <c r="AG33" i="235"/>
  <c r="AG31" i="235"/>
  <c r="AG35" i="234"/>
  <c r="AG33" i="234"/>
  <c r="AG36" i="234" l="1"/>
  <c r="AE23" i="1"/>
  <c r="L26" i="1"/>
  <c r="AG38" i="237"/>
  <c r="N25" i="1"/>
  <c r="AG41" i="238"/>
  <c r="L33" i="1"/>
  <c r="AG34" i="240"/>
  <c r="AG34" i="235"/>
  <c r="AE30" i="1"/>
  <c r="AG35" i="239"/>
  <c r="AG32" i="160" l="1"/>
  <c r="AG34" i="160"/>
  <c r="AE19" i="1"/>
  <c r="AD19" i="1"/>
  <c r="AG33" i="160"/>
  <c r="AF12" i="1" l="1"/>
  <c r="AG5" i="70"/>
  <c r="AG30" i="213" l="1"/>
  <c r="AD68" i="1" s="1"/>
  <c r="AG31" i="213"/>
  <c r="AE68" i="1" s="1"/>
  <c r="AG10" i="203" l="1"/>
  <c r="AF33" i="227" l="1"/>
  <c r="AE33" i="227"/>
  <c r="AD33" i="227"/>
  <c r="AC33" i="227"/>
  <c r="AB33" i="227"/>
  <c r="AA33" i="227"/>
  <c r="Z33" i="227"/>
  <c r="Y33" i="227"/>
  <c r="X33" i="227"/>
  <c r="W33" i="227"/>
  <c r="V33" i="227"/>
  <c r="U33" i="227"/>
  <c r="T33" i="227"/>
  <c r="S33" i="227"/>
  <c r="R33" i="227"/>
  <c r="Q33" i="227"/>
  <c r="P33" i="227"/>
  <c r="O33" i="227"/>
  <c r="N33" i="227"/>
  <c r="M33" i="227"/>
  <c r="L33" i="227"/>
  <c r="K33" i="227"/>
  <c r="J33" i="227"/>
  <c r="I33" i="227"/>
  <c r="H33" i="227"/>
  <c r="G33" i="227"/>
  <c r="F33" i="227"/>
  <c r="E33" i="227"/>
  <c r="D33" i="227"/>
  <c r="C33" i="227"/>
  <c r="B33" i="227"/>
  <c r="AG32" i="227"/>
  <c r="AF73" i="1" s="1"/>
  <c r="AG31" i="227"/>
  <c r="AE73" i="1" s="1"/>
  <c r="AG30" i="227"/>
  <c r="AD73" i="1" s="1"/>
  <c r="AG29" i="227"/>
  <c r="AC73" i="1" s="1"/>
  <c r="AG28" i="227"/>
  <c r="AB73" i="1" s="1"/>
  <c r="AG27" i="227"/>
  <c r="AA73" i="1" s="1"/>
  <c r="AG26" i="227"/>
  <c r="Z73" i="1" s="1"/>
  <c r="AG25" i="227"/>
  <c r="Y73" i="1" s="1"/>
  <c r="AG24" i="227"/>
  <c r="X73" i="1" s="1"/>
  <c r="AG23" i="227"/>
  <c r="W73" i="1" s="1"/>
  <c r="AG22" i="227"/>
  <c r="V73" i="1" s="1"/>
  <c r="AG21" i="227"/>
  <c r="U73" i="1" s="1"/>
  <c r="AG20" i="227"/>
  <c r="T73" i="1" s="1"/>
  <c r="AG19" i="227"/>
  <c r="S73" i="1" s="1"/>
  <c r="AG18" i="227"/>
  <c r="R73" i="1" s="1"/>
  <c r="AG17" i="227"/>
  <c r="Q73" i="1" s="1"/>
  <c r="AG16" i="227"/>
  <c r="P73" i="1" s="1"/>
  <c r="AG15" i="227"/>
  <c r="O73" i="1" s="1"/>
  <c r="AG14" i="227"/>
  <c r="N73" i="1" s="1"/>
  <c r="AG13" i="227"/>
  <c r="M73" i="1" s="1"/>
  <c r="AG12" i="227"/>
  <c r="L73" i="1" s="1"/>
  <c r="AG11" i="227"/>
  <c r="K73" i="1" s="1"/>
  <c r="AG10" i="227"/>
  <c r="J73" i="1" s="1"/>
  <c r="AG9" i="227"/>
  <c r="I73" i="1" s="1"/>
  <c r="AG8" i="227"/>
  <c r="H73" i="1" s="1"/>
  <c r="AG7" i="227"/>
  <c r="G73" i="1" s="1"/>
  <c r="AG6" i="227"/>
  <c r="F73" i="1" s="1"/>
  <c r="AG5" i="227"/>
  <c r="E73" i="1" s="1"/>
  <c r="AG4" i="227"/>
  <c r="D73" i="1" s="1"/>
  <c r="AG3" i="227"/>
  <c r="C73" i="1" s="1"/>
  <c r="AF33" i="226"/>
  <c r="AE33" i="226"/>
  <c r="AD33" i="226"/>
  <c r="AC33" i="226"/>
  <c r="AB33" i="226"/>
  <c r="AA33" i="226"/>
  <c r="Z33" i="226"/>
  <c r="Y33" i="226"/>
  <c r="X33" i="226"/>
  <c r="W33" i="226"/>
  <c r="V33" i="226"/>
  <c r="U33" i="226"/>
  <c r="T33" i="226"/>
  <c r="S33" i="226"/>
  <c r="R33" i="226"/>
  <c r="Q33" i="226"/>
  <c r="P33" i="226"/>
  <c r="O33" i="226"/>
  <c r="N33" i="226"/>
  <c r="M33" i="226"/>
  <c r="L33" i="226"/>
  <c r="K33" i="226"/>
  <c r="J33" i="226"/>
  <c r="I33" i="226"/>
  <c r="H33" i="226"/>
  <c r="G33" i="226"/>
  <c r="F33" i="226"/>
  <c r="E33" i="226"/>
  <c r="D33" i="226"/>
  <c r="C33" i="226"/>
  <c r="B33" i="226"/>
  <c r="AG32" i="226"/>
  <c r="AF66" i="1" s="1"/>
  <c r="AG31" i="226"/>
  <c r="AE66" i="1" s="1"/>
  <c r="AG30" i="226"/>
  <c r="AD66" i="1" s="1"/>
  <c r="AG29" i="226"/>
  <c r="AC66" i="1" s="1"/>
  <c r="AG28" i="226"/>
  <c r="AB66" i="1" s="1"/>
  <c r="AG27" i="226"/>
  <c r="AA66" i="1" s="1"/>
  <c r="AG26" i="226"/>
  <c r="Z66" i="1" s="1"/>
  <c r="AG25" i="226"/>
  <c r="Y66" i="1" s="1"/>
  <c r="AG24" i="226"/>
  <c r="X66" i="1" s="1"/>
  <c r="AG23" i="226"/>
  <c r="W66" i="1" s="1"/>
  <c r="AG22" i="226"/>
  <c r="V66" i="1" s="1"/>
  <c r="AG21" i="226"/>
  <c r="U66" i="1" s="1"/>
  <c r="AG20" i="226"/>
  <c r="T66" i="1" s="1"/>
  <c r="AG19" i="226"/>
  <c r="S66" i="1" s="1"/>
  <c r="AG16" i="226"/>
  <c r="P66" i="1" s="1"/>
  <c r="AG15" i="226"/>
  <c r="O66" i="1" s="1"/>
  <c r="AG14" i="226"/>
  <c r="N66" i="1" s="1"/>
  <c r="AG13" i="226"/>
  <c r="M66" i="1" s="1"/>
  <c r="AG12" i="226"/>
  <c r="L66" i="1" s="1"/>
  <c r="AG11" i="226"/>
  <c r="K66" i="1" s="1"/>
  <c r="AG10" i="226"/>
  <c r="J66" i="1" s="1"/>
  <c r="AG9" i="226"/>
  <c r="I66" i="1" s="1"/>
  <c r="AG8" i="226"/>
  <c r="H66" i="1" s="1"/>
  <c r="AG7" i="226"/>
  <c r="G66" i="1" s="1"/>
  <c r="AG6" i="226"/>
  <c r="F66" i="1" s="1"/>
  <c r="AG5" i="226"/>
  <c r="E66" i="1" s="1"/>
  <c r="AG4" i="226"/>
  <c r="D66" i="1" s="1"/>
  <c r="AG3" i="226"/>
  <c r="C66" i="1" s="1"/>
  <c r="AF33" i="225"/>
  <c r="AE33" i="225"/>
  <c r="AD33" i="225"/>
  <c r="AC33" i="225"/>
  <c r="AB33" i="225"/>
  <c r="AA33" i="225"/>
  <c r="Z33" i="225"/>
  <c r="Y33" i="225"/>
  <c r="X33" i="225"/>
  <c r="W33" i="225"/>
  <c r="V33" i="225"/>
  <c r="U33" i="225"/>
  <c r="T33" i="225"/>
  <c r="S33" i="225"/>
  <c r="R33" i="225"/>
  <c r="Q33" i="225"/>
  <c r="P33" i="225"/>
  <c r="O33" i="225"/>
  <c r="N33" i="225"/>
  <c r="M33" i="225"/>
  <c r="L33" i="225"/>
  <c r="K33" i="225"/>
  <c r="J33" i="225"/>
  <c r="I33" i="225"/>
  <c r="H33" i="225"/>
  <c r="G33" i="225"/>
  <c r="F33" i="225"/>
  <c r="E33" i="225"/>
  <c r="D33" i="225"/>
  <c r="C33" i="225"/>
  <c r="B33" i="225"/>
  <c r="AG32" i="225"/>
  <c r="AF59" i="1" s="1"/>
  <c r="AG31" i="225"/>
  <c r="AE59" i="1" s="1"/>
  <c r="AG30" i="225"/>
  <c r="AD59" i="1" s="1"/>
  <c r="AG29" i="225"/>
  <c r="AC59" i="1" s="1"/>
  <c r="AG28" i="225"/>
  <c r="AB59" i="1" s="1"/>
  <c r="AG27" i="225"/>
  <c r="AA59" i="1" s="1"/>
  <c r="AG26" i="225"/>
  <c r="Z59" i="1" s="1"/>
  <c r="AG25" i="225"/>
  <c r="Y59" i="1" s="1"/>
  <c r="AG24" i="225"/>
  <c r="X59" i="1" s="1"/>
  <c r="AG23" i="225"/>
  <c r="W59" i="1" s="1"/>
  <c r="AG22" i="225"/>
  <c r="V59" i="1" s="1"/>
  <c r="AG21" i="225"/>
  <c r="U59" i="1" s="1"/>
  <c r="AG20" i="225"/>
  <c r="T59" i="1" s="1"/>
  <c r="AG19" i="225"/>
  <c r="S59" i="1" s="1"/>
  <c r="AG18" i="225"/>
  <c r="R59" i="1" s="1"/>
  <c r="AG17" i="225"/>
  <c r="Q59" i="1" s="1"/>
  <c r="AG16" i="225"/>
  <c r="P59" i="1" s="1"/>
  <c r="AG15" i="225"/>
  <c r="O59" i="1" s="1"/>
  <c r="AG14" i="225"/>
  <c r="N59" i="1" s="1"/>
  <c r="AG13" i="225"/>
  <c r="M59" i="1" s="1"/>
  <c r="AG12" i="225"/>
  <c r="L59" i="1" s="1"/>
  <c r="AG11" i="225"/>
  <c r="K59" i="1" s="1"/>
  <c r="AG10" i="225"/>
  <c r="J59" i="1" s="1"/>
  <c r="AG9" i="225"/>
  <c r="I59" i="1" s="1"/>
  <c r="AG8" i="225"/>
  <c r="H59" i="1" s="1"/>
  <c r="AG7" i="225"/>
  <c r="G59" i="1" s="1"/>
  <c r="AG6" i="225"/>
  <c r="F59" i="1" s="1"/>
  <c r="AG5" i="225"/>
  <c r="E59" i="1" s="1"/>
  <c r="AG4" i="225"/>
  <c r="D59" i="1" s="1"/>
  <c r="AG3" i="225"/>
  <c r="C59" i="1" s="1"/>
  <c r="AF33" i="224"/>
  <c r="AE33" i="224"/>
  <c r="AD33" i="224"/>
  <c r="AC33" i="224"/>
  <c r="AB33" i="224"/>
  <c r="AA33" i="224"/>
  <c r="Z33" i="224"/>
  <c r="Y33" i="224"/>
  <c r="X33" i="224"/>
  <c r="W33" i="224"/>
  <c r="V33" i="224"/>
  <c r="U33" i="224"/>
  <c r="T33" i="224"/>
  <c r="S33" i="224"/>
  <c r="R33" i="224"/>
  <c r="Q33" i="224"/>
  <c r="P33" i="224"/>
  <c r="O33" i="224"/>
  <c r="N33" i="224"/>
  <c r="M33" i="224"/>
  <c r="L33" i="224"/>
  <c r="K33" i="224"/>
  <c r="J33" i="224"/>
  <c r="I33" i="224"/>
  <c r="H33" i="224"/>
  <c r="G33" i="224"/>
  <c r="F33" i="224"/>
  <c r="E33" i="224"/>
  <c r="D33" i="224"/>
  <c r="C33" i="224"/>
  <c r="B33" i="224"/>
  <c r="AG32" i="224"/>
  <c r="AG31" i="224"/>
  <c r="AG30" i="224"/>
  <c r="AG29" i="224"/>
  <c r="AG28" i="224"/>
  <c r="AG27" i="224"/>
  <c r="AG26" i="224"/>
  <c r="AG25" i="224"/>
  <c r="AG24" i="224"/>
  <c r="AG23" i="224"/>
  <c r="AG22" i="224"/>
  <c r="AG21" i="224"/>
  <c r="AG20" i="224"/>
  <c r="AG19" i="224"/>
  <c r="AG18" i="224"/>
  <c r="AG17" i="224"/>
  <c r="AG16" i="224"/>
  <c r="AG15" i="224"/>
  <c r="AG14" i="224"/>
  <c r="AG13" i="224"/>
  <c r="AG12" i="224"/>
  <c r="AG11" i="224"/>
  <c r="AG10" i="224"/>
  <c r="AG9" i="224"/>
  <c r="AG8" i="224"/>
  <c r="AG7" i="224"/>
  <c r="AG6" i="224"/>
  <c r="AG5" i="224"/>
  <c r="AG4" i="224"/>
  <c r="AG3" i="224"/>
  <c r="AF34" i="223"/>
  <c r="AE34" i="223"/>
  <c r="AD34" i="223"/>
  <c r="AC34" i="223"/>
  <c r="AB34" i="223"/>
  <c r="AA34" i="223"/>
  <c r="Z34" i="223"/>
  <c r="Y34" i="223"/>
  <c r="X34" i="223"/>
  <c r="W34" i="223"/>
  <c r="V34" i="223"/>
  <c r="U34" i="223"/>
  <c r="T34" i="223"/>
  <c r="S34" i="223"/>
  <c r="R34" i="223"/>
  <c r="Q34" i="223"/>
  <c r="P34" i="223"/>
  <c r="O34" i="223"/>
  <c r="N34" i="223"/>
  <c r="M34" i="223"/>
  <c r="L34" i="223"/>
  <c r="K34" i="223"/>
  <c r="J34" i="223"/>
  <c r="I34" i="223"/>
  <c r="H34" i="223"/>
  <c r="G34" i="223"/>
  <c r="F34" i="223"/>
  <c r="E34" i="223"/>
  <c r="D34" i="223"/>
  <c r="C34" i="223"/>
  <c r="B34" i="223"/>
  <c r="AG33" i="223"/>
  <c r="AG32" i="223"/>
  <c r="AF45" i="1"/>
  <c r="AC45" i="1"/>
  <c r="K45" i="1"/>
  <c r="I45" i="1"/>
  <c r="H45" i="1"/>
  <c r="G45" i="1"/>
  <c r="F45" i="1"/>
  <c r="E45" i="1"/>
  <c r="AF33" i="222"/>
  <c r="AE33" i="222"/>
  <c r="AD33" i="222"/>
  <c r="AC33" i="222"/>
  <c r="AB33" i="222"/>
  <c r="AA33" i="222"/>
  <c r="Z33" i="222"/>
  <c r="Y33" i="222"/>
  <c r="X33" i="222"/>
  <c r="W33" i="222"/>
  <c r="V33" i="222"/>
  <c r="U33" i="222"/>
  <c r="T33" i="222"/>
  <c r="S33" i="222"/>
  <c r="R33" i="222"/>
  <c r="Q33" i="222"/>
  <c r="P33" i="222"/>
  <c r="O33" i="222"/>
  <c r="N33" i="222"/>
  <c r="M33" i="222"/>
  <c r="L33" i="222"/>
  <c r="K33" i="222"/>
  <c r="J33" i="222"/>
  <c r="I33" i="222"/>
  <c r="H33" i="222"/>
  <c r="G33" i="222"/>
  <c r="F33" i="222"/>
  <c r="E33" i="222"/>
  <c r="D33" i="222"/>
  <c r="C33" i="222"/>
  <c r="B33" i="222"/>
  <c r="AG32" i="222"/>
  <c r="AG31" i="222"/>
  <c r="AG30" i="222"/>
  <c r="AG29" i="222"/>
  <c r="AG28" i="222"/>
  <c r="AG27" i="222"/>
  <c r="AG26" i="222"/>
  <c r="AG25" i="222"/>
  <c r="AG24" i="222"/>
  <c r="AG23" i="222"/>
  <c r="AG22" i="222"/>
  <c r="AG21" i="222"/>
  <c r="AG20" i="222"/>
  <c r="AG19" i="222"/>
  <c r="AG18" i="222"/>
  <c r="AG17" i="222"/>
  <c r="AG16" i="222"/>
  <c r="AG15" i="222"/>
  <c r="AG14" i="222"/>
  <c r="AG13" i="222"/>
  <c r="AG12" i="222"/>
  <c r="AG11" i="222"/>
  <c r="AG10" i="222"/>
  <c r="AG9" i="222"/>
  <c r="AG8" i="222"/>
  <c r="AG7" i="222"/>
  <c r="AG6" i="222"/>
  <c r="AG5" i="222"/>
  <c r="AG4" i="222"/>
  <c r="AG3" i="222"/>
  <c r="AE34" i="221"/>
  <c r="AD34" i="221"/>
  <c r="AC34" i="221"/>
  <c r="AB34" i="221"/>
  <c r="AA34" i="221"/>
  <c r="Z34" i="221"/>
  <c r="Y34" i="221"/>
  <c r="X34" i="221"/>
  <c r="W34" i="221"/>
  <c r="V34" i="221"/>
  <c r="U34" i="221"/>
  <c r="T34" i="221"/>
  <c r="S34" i="221"/>
  <c r="R34" i="221"/>
  <c r="Q34" i="221"/>
  <c r="P34" i="221"/>
  <c r="O34" i="221"/>
  <c r="N34" i="221"/>
  <c r="M34" i="221"/>
  <c r="L34" i="221"/>
  <c r="K34" i="221"/>
  <c r="J34" i="221"/>
  <c r="I34" i="221"/>
  <c r="H34" i="221"/>
  <c r="G34" i="221"/>
  <c r="F34" i="221"/>
  <c r="E34" i="221"/>
  <c r="D34" i="221"/>
  <c r="C34" i="221"/>
  <c r="B34" i="221"/>
  <c r="AG33" i="221"/>
  <c r="AG31" i="221"/>
  <c r="AE74" i="1" s="1"/>
  <c r="AG30" i="221"/>
  <c r="AD74" i="1" s="1"/>
  <c r="AG29" i="221"/>
  <c r="AC74" i="1" s="1"/>
  <c r="AG28" i="221"/>
  <c r="AB74" i="1" s="1"/>
  <c r="AG27" i="221"/>
  <c r="AA74" i="1" s="1"/>
  <c r="AG26" i="221"/>
  <c r="Z74" i="1" s="1"/>
  <c r="AG25" i="221"/>
  <c r="Y74" i="1" s="1"/>
  <c r="AG24" i="221"/>
  <c r="X74" i="1" s="1"/>
  <c r="AG23" i="221"/>
  <c r="W74" i="1" s="1"/>
  <c r="AG22" i="221"/>
  <c r="V74" i="1" s="1"/>
  <c r="AG21" i="221"/>
  <c r="U74" i="1" s="1"/>
  <c r="AG20" i="221"/>
  <c r="T74" i="1" s="1"/>
  <c r="AG19" i="221"/>
  <c r="S74" i="1" s="1"/>
  <c r="AG18" i="221"/>
  <c r="R74" i="1" s="1"/>
  <c r="AG17" i="221"/>
  <c r="Q74" i="1" s="1"/>
  <c r="AG16" i="221"/>
  <c r="P74" i="1" s="1"/>
  <c r="AG15" i="221"/>
  <c r="O74" i="1" s="1"/>
  <c r="AG14" i="221"/>
  <c r="N74" i="1" s="1"/>
  <c r="AG13" i="221"/>
  <c r="M74" i="1" s="1"/>
  <c r="AG12" i="221"/>
  <c r="L74" i="1" s="1"/>
  <c r="AG11" i="221"/>
  <c r="K74" i="1" s="1"/>
  <c r="AG10" i="221"/>
  <c r="J74" i="1" s="1"/>
  <c r="AG9" i="221"/>
  <c r="I74" i="1" s="1"/>
  <c r="AG8" i="221"/>
  <c r="H74" i="1" s="1"/>
  <c r="AG7" i="221"/>
  <c r="G74" i="1" s="1"/>
  <c r="AG6" i="221"/>
  <c r="F74" i="1" s="1"/>
  <c r="AG5" i="221"/>
  <c r="E74" i="1" s="1"/>
  <c r="AG4" i="221"/>
  <c r="D74" i="1" s="1"/>
  <c r="AG3" i="221"/>
  <c r="C74" i="1" s="1"/>
  <c r="AF33" i="220"/>
  <c r="AE33" i="220"/>
  <c r="AD33" i="220"/>
  <c r="AC33" i="220"/>
  <c r="AB33" i="220"/>
  <c r="AA33" i="220"/>
  <c r="Z33" i="220"/>
  <c r="Y33" i="220"/>
  <c r="X33" i="220"/>
  <c r="W33" i="220"/>
  <c r="V33" i="220"/>
  <c r="U33" i="220"/>
  <c r="T33" i="220"/>
  <c r="S33" i="220"/>
  <c r="R33" i="220"/>
  <c r="Q33" i="220"/>
  <c r="P33" i="220"/>
  <c r="O33" i="220"/>
  <c r="N33" i="220"/>
  <c r="M33" i="220"/>
  <c r="L33" i="220"/>
  <c r="K33" i="220"/>
  <c r="J33" i="220"/>
  <c r="I33" i="220"/>
  <c r="H33" i="220"/>
  <c r="G33" i="220"/>
  <c r="F33" i="220"/>
  <c r="E33" i="220"/>
  <c r="D33" i="220"/>
  <c r="C33" i="220"/>
  <c r="B33" i="220"/>
  <c r="AG32" i="220"/>
  <c r="AF67" i="1" s="1"/>
  <c r="AG31" i="220"/>
  <c r="AE67" i="1" s="1"/>
  <c r="AG30" i="220"/>
  <c r="AD67" i="1" s="1"/>
  <c r="AG29" i="220"/>
  <c r="AC67" i="1" s="1"/>
  <c r="AG28" i="220"/>
  <c r="AB67" i="1" s="1"/>
  <c r="AG27" i="220"/>
  <c r="AA67" i="1" s="1"/>
  <c r="AG26" i="220"/>
  <c r="Z67" i="1" s="1"/>
  <c r="AG25" i="220"/>
  <c r="Y67" i="1" s="1"/>
  <c r="AG24" i="220"/>
  <c r="X67" i="1" s="1"/>
  <c r="AG23" i="220"/>
  <c r="W67" i="1" s="1"/>
  <c r="AG22" i="220"/>
  <c r="V67" i="1" s="1"/>
  <c r="AG21" i="220"/>
  <c r="U67" i="1" s="1"/>
  <c r="AG19" i="220"/>
  <c r="S67" i="1" s="1"/>
  <c r="AG18" i="220"/>
  <c r="R67" i="1" s="1"/>
  <c r="AG17" i="220"/>
  <c r="Q67" i="1" s="1"/>
  <c r="AG16" i="220"/>
  <c r="P67" i="1" s="1"/>
  <c r="AG15" i="220"/>
  <c r="O67" i="1" s="1"/>
  <c r="AG14" i="220"/>
  <c r="N67" i="1" s="1"/>
  <c r="AG13" i="220"/>
  <c r="M67" i="1" s="1"/>
  <c r="AG12" i="220"/>
  <c r="L67" i="1" s="1"/>
  <c r="AG11" i="220"/>
  <c r="K67" i="1" s="1"/>
  <c r="AG10" i="220"/>
  <c r="J67" i="1" s="1"/>
  <c r="AG9" i="220"/>
  <c r="I67" i="1" s="1"/>
  <c r="AG8" i="220"/>
  <c r="H67" i="1" s="1"/>
  <c r="AG7" i="220"/>
  <c r="G67" i="1" s="1"/>
  <c r="AG6" i="220"/>
  <c r="F67" i="1" s="1"/>
  <c r="AG5" i="220"/>
  <c r="E67" i="1" s="1"/>
  <c r="AG4" i="220"/>
  <c r="D67" i="1" s="1"/>
  <c r="AG3" i="220"/>
  <c r="C67" i="1" s="1"/>
  <c r="AF33" i="219"/>
  <c r="AE33" i="219"/>
  <c r="AD33" i="219"/>
  <c r="AC33" i="219"/>
  <c r="AB33" i="219"/>
  <c r="AA33" i="219"/>
  <c r="Z33" i="219"/>
  <c r="Y33" i="219"/>
  <c r="X33" i="219"/>
  <c r="W33" i="219"/>
  <c r="V33" i="219"/>
  <c r="U33" i="219"/>
  <c r="T33" i="219"/>
  <c r="S33" i="219"/>
  <c r="R33" i="219"/>
  <c r="Q33" i="219"/>
  <c r="P33" i="219"/>
  <c r="O33" i="219"/>
  <c r="N33" i="219"/>
  <c r="M33" i="219"/>
  <c r="L33" i="219"/>
  <c r="K33" i="219"/>
  <c r="J33" i="219"/>
  <c r="I33" i="219"/>
  <c r="H33" i="219"/>
  <c r="G33" i="219"/>
  <c r="F33" i="219"/>
  <c r="E33" i="219"/>
  <c r="D33" i="219"/>
  <c r="C33" i="219"/>
  <c r="B33" i="219"/>
  <c r="AG31" i="219"/>
  <c r="AE60" i="1" s="1"/>
  <c r="AG30" i="219"/>
  <c r="AD60" i="1" s="1"/>
  <c r="AG29" i="219"/>
  <c r="AC60" i="1" s="1"/>
  <c r="AG28" i="219"/>
  <c r="AB60" i="1" s="1"/>
  <c r="AG27" i="219"/>
  <c r="AA60" i="1" s="1"/>
  <c r="AG26" i="219"/>
  <c r="Z60" i="1" s="1"/>
  <c r="AG25" i="219"/>
  <c r="Y60" i="1" s="1"/>
  <c r="AG24" i="219"/>
  <c r="X60" i="1" s="1"/>
  <c r="AG22" i="219"/>
  <c r="V60" i="1" s="1"/>
  <c r="AG21" i="219"/>
  <c r="U60" i="1" s="1"/>
  <c r="AG20" i="219"/>
  <c r="T60" i="1" s="1"/>
  <c r="AG19" i="219"/>
  <c r="S60" i="1" s="1"/>
  <c r="AG18" i="219"/>
  <c r="R60" i="1" s="1"/>
  <c r="AG17" i="219"/>
  <c r="Q60" i="1" s="1"/>
  <c r="AG16" i="219"/>
  <c r="P60" i="1" s="1"/>
  <c r="AG15" i="219"/>
  <c r="O60" i="1" s="1"/>
  <c r="AG14" i="219"/>
  <c r="N60" i="1" s="1"/>
  <c r="AG13" i="219"/>
  <c r="M60" i="1" s="1"/>
  <c r="AG12" i="219"/>
  <c r="L60" i="1" s="1"/>
  <c r="AG11" i="219"/>
  <c r="K60" i="1" s="1"/>
  <c r="AG10" i="219"/>
  <c r="J60" i="1" s="1"/>
  <c r="AG9" i="219"/>
  <c r="I60" i="1" s="1"/>
  <c r="AG8" i="219"/>
  <c r="H60" i="1" s="1"/>
  <c r="AG7" i="219"/>
  <c r="G60" i="1" s="1"/>
  <c r="AG6" i="219"/>
  <c r="F60" i="1" s="1"/>
  <c r="AG5" i="219"/>
  <c r="E60" i="1" s="1"/>
  <c r="AG4" i="219"/>
  <c r="D60" i="1" s="1"/>
  <c r="AG3" i="219"/>
  <c r="C60" i="1" s="1"/>
  <c r="AF33" i="218"/>
  <c r="AE33" i="218"/>
  <c r="AD33" i="218"/>
  <c r="AC33" i="218"/>
  <c r="AB33" i="218"/>
  <c r="AA33" i="218"/>
  <c r="Z33" i="218"/>
  <c r="Y33" i="218"/>
  <c r="X33" i="218"/>
  <c r="W33" i="218"/>
  <c r="V33" i="218"/>
  <c r="U33" i="218"/>
  <c r="T33" i="218"/>
  <c r="S33" i="218"/>
  <c r="R33" i="218"/>
  <c r="Q33" i="218"/>
  <c r="P33" i="218"/>
  <c r="O33" i="218"/>
  <c r="N33" i="218"/>
  <c r="M33" i="218"/>
  <c r="L33" i="218"/>
  <c r="K33" i="218"/>
  <c r="J33" i="218"/>
  <c r="I33" i="218"/>
  <c r="H33" i="218"/>
  <c r="G33" i="218"/>
  <c r="F33" i="218"/>
  <c r="E33" i="218"/>
  <c r="D33" i="218"/>
  <c r="C33" i="218"/>
  <c r="B33" i="218"/>
  <c r="AG32" i="218"/>
  <c r="AF53" i="1" s="1"/>
  <c r="AG31" i="218"/>
  <c r="AE53" i="1" s="1"/>
  <c r="AG30" i="218"/>
  <c r="AD53" i="1" s="1"/>
  <c r="AG29" i="218"/>
  <c r="AC53" i="1" s="1"/>
  <c r="AG28" i="218"/>
  <c r="AB53" i="1" s="1"/>
  <c r="AG27" i="218"/>
  <c r="AA53" i="1" s="1"/>
  <c r="AG26" i="218"/>
  <c r="Z53" i="1" s="1"/>
  <c r="AG25" i="218"/>
  <c r="Y53" i="1" s="1"/>
  <c r="AG24" i="218"/>
  <c r="X53" i="1" s="1"/>
  <c r="AG23" i="218"/>
  <c r="W53" i="1" s="1"/>
  <c r="AG22" i="218"/>
  <c r="V53" i="1" s="1"/>
  <c r="AG21" i="218"/>
  <c r="U53" i="1" s="1"/>
  <c r="AG20" i="218"/>
  <c r="T53" i="1" s="1"/>
  <c r="AG19" i="218"/>
  <c r="S53" i="1" s="1"/>
  <c r="AG18" i="218"/>
  <c r="R53" i="1" s="1"/>
  <c r="AG17" i="218"/>
  <c r="Q53" i="1" s="1"/>
  <c r="AG16" i="218"/>
  <c r="P53" i="1" s="1"/>
  <c r="AG15" i="218"/>
  <c r="O53" i="1" s="1"/>
  <c r="AG14" i="218"/>
  <c r="N53" i="1" s="1"/>
  <c r="AG13" i="218"/>
  <c r="M53" i="1" s="1"/>
  <c r="AG12" i="218"/>
  <c r="L53" i="1" s="1"/>
  <c r="AG11" i="218"/>
  <c r="K53" i="1" s="1"/>
  <c r="AG10" i="218"/>
  <c r="J53" i="1" s="1"/>
  <c r="AG9" i="218"/>
  <c r="I53" i="1" s="1"/>
  <c r="AG8" i="218"/>
  <c r="H53" i="1" s="1"/>
  <c r="AG7" i="218"/>
  <c r="G53" i="1" s="1"/>
  <c r="AG6" i="218"/>
  <c r="F53" i="1" s="1"/>
  <c r="AG5" i="218"/>
  <c r="E53" i="1" s="1"/>
  <c r="AG4" i="218"/>
  <c r="D53" i="1" s="1"/>
  <c r="AG3" i="218"/>
  <c r="C53" i="1" s="1"/>
  <c r="AF34" i="217"/>
  <c r="AE34" i="217"/>
  <c r="AD34" i="217"/>
  <c r="AC34" i="217"/>
  <c r="AB34" i="217"/>
  <c r="AA34" i="217"/>
  <c r="Z34" i="217"/>
  <c r="Y34" i="217"/>
  <c r="X34" i="217"/>
  <c r="W34" i="217"/>
  <c r="V34" i="217"/>
  <c r="U34" i="217"/>
  <c r="T34" i="217"/>
  <c r="S34" i="217"/>
  <c r="R34" i="217"/>
  <c r="Q34" i="217"/>
  <c r="P34" i="217"/>
  <c r="O34" i="217"/>
  <c r="N34" i="217"/>
  <c r="M34" i="217"/>
  <c r="L34" i="217"/>
  <c r="K34" i="217"/>
  <c r="J34" i="217"/>
  <c r="I34" i="217"/>
  <c r="H34" i="217"/>
  <c r="G34" i="217"/>
  <c r="F34" i="217"/>
  <c r="E34" i="217"/>
  <c r="D34" i="217"/>
  <c r="C34" i="217"/>
  <c r="B34" i="217"/>
  <c r="AG33" i="217"/>
  <c r="AF46" i="1" s="1"/>
  <c r="AG32" i="217"/>
  <c r="AE46" i="1" s="1"/>
  <c r="AG31" i="217"/>
  <c r="AD46" i="1" s="1"/>
  <c r="AG30" i="217"/>
  <c r="AC46" i="1" s="1"/>
  <c r="AG29" i="217"/>
  <c r="AB46" i="1" s="1"/>
  <c r="AG28" i="217"/>
  <c r="AA46" i="1" s="1"/>
  <c r="AG27" i="217"/>
  <c r="Z46" i="1" s="1"/>
  <c r="AG26" i="217"/>
  <c r="Y46" i="1" s="1"/>
  <c r="AG25" i="217"/>
  <c r="X46" i="1" s="1"/>
  <c r="AG24" i="217"/>
  <c r="W46" i="1" s="1"/>
  <c r="AG23" i="217"/>
  <c r="V46" i="1" s="1"/>
  <c r="AG22" i="217"/>
  <c r="U46" i="1" s="1"/>
  <c r="AG21" i="217"/>
  <c r="T46" i="1" s="1"/>
  <c r="AG20" i="217"/>
  <c r="S46" i="1" s="1"/>
  <c r="AG19" i="217"/>
  <c r="R46" i="1" s="1"/>
  <c r="AG18" i="217"/>
  <c r="Q46" i="1" s="1"/>
  <c r="AG17" i="217"/>
  <c r="P46" i="1" s="1"/>
  <c r="AG16" i="217"/>
  <c r="O46" i="1" s="1"/>
  <c r="AG14" i="217"/>
  <c r="M46" i="1" s="1"/>
  <c r="AG13" i="217"/>
  <c r="AG12" i="217"/>
  <c r="L46" i="1" s="1"/>
  <c r="AG10" i="217"/>
  <c r="J46" i="1" s="1"/>
  <c r="AG9" i="217"/>
  <c r="I46" i="1" s="1"/>
  <c r="AG8" i="217"/>
  <c r="H46" i="1" s="1"/>
  <c r="AG7" i="217"/>
  <c r="G46" i="1" s="1"/>
  <c r="AG6" i="217"/>
  <c r="F46" i="1" s="1"/>
  <c r="AG5" i="217"/>
  <c r="E46" i="1" s="1"/>
  <c r="AG4" i="217"/>
  <c r="D46" i="1" s="1"/>
  <c r="AG3" i="217"/>
  <c r="C46" i="1" s="1"/>
  <c r="AF35" i="216"/>
  <c r="AE35" i="216"/>
  <c r="AD35" i="216"/>
  <c r="AC35" i="216"/>
  <c r="AB35" i="216"/>
  <c r="AA35" i="216"/>
  <c r="Z35" i="216"/>
  <c r="Y35" i="216"/>
  <c r="X35" i="216"/>
  <c r="W35" i="216"/>
  <c r="V35" i="216"/>
  <c r="U35" i="216"/>
  <c r="T35" i="216"/>
  <c r="S35" i="216"/>
  <c r="R35" i="216"/>
  <c r="Q35" i="216"/>
  <c r="P35" i="216"/>
  <c r="O35" i="216"/>
  <c r="N35" i="216"/>
  <c r="M35" i="216"/>
  <c r="L35" i="216"/>
  <c r="K35" i="216"/>
  <c r="J35" i="216"/>
  <c r="I35" i="216"/>
  <c r="H35" i="216"/>
  <c r="G35" i="216"/>
  <c r="F35" i="216"/>
  <c r="E35" i="216"/>
  <c r="D35" i="216"/>
  <c r="C35" i="216"/>
  <c r="B35" i="216"/>
  <c r="AG34" i="216"/>
  <c r="AG33" i="216"/>
  <c r="AG32" i="216"/>
  <c r="AG31" i="216"/>
  <c r="AG30" i="216"/>
  <c r="AG29" i="216"/>
  <c r="AG28" i="216"/>
  <c r="AG27" i="216"/>
  <c r="AG26" i="216"/>
  <c r="AG25" i="216"/>
  <c r="AG24" i="216"/>
  <c r="AG23" i="216"/>
  <c r="AG22" i="216"/>
  <c r="AG21" i="216"/>
  <c r="AG20" i="216"/>
  <c r="AG19" i="216"/>
  <c r="AG18" i="216"/>
  <c r="AG17" i="216"/>
  <c r="AG16" i="216"/>
  <c r="AG15" i="216"/>
  <c r="AG14" i="216"/>
  <c r="AG13" i="216"/>
  <c r="AG12" i="216"/>
  <c r="AG11" i="216"/>
  <c r="AG10" i="216"/>
  <c r="AG9" i="216"/>
  <c r="AG8" i="216"/>
  <c r="AG7" i="216"/>
  <c r="AG6" i="216"/>
  <c r="AG5" i="216"/>
  <c r="AG4" i="216"/>
  <c r="AG3" i="216"/>
  <c r="AF35" i="215"/>
  <c r="AE35" i="215"/>
  <c r="AD35" i="215"/>
  <c r="AC35" i="215"/>
  <c r="AB35" i="215"/>
  <c r="AA35" i="215"/>
  <c r="Z35" i="215"/>
  <c r="Y35" i="215"/>
  <c r="X35" i="215"/>
  <c r="W35" i="215"/>
  <c r="V35" i="215"/>
  <c r="U35" i="215"/>
  <c r="T35" i="215"/>
  <c r="S35" i="215"/>
  <c r="R35" i="215"/>
  <c r="Q35" i="215"/>
  <c r="P35" i="215"/>
  <c r="O35" i="215"/>
  <c r="N35" i="215"/>
  <c r="M35" i="215"/>
  <c r="L35" i="215"/>
  <c r="K35" i="215"/>
  <c r="J35" i="215"/>
  <c r="I35" i="215"/>
  <c r="H35" i="215"/>
  <c r="G35" i="215"/>
  <c r="F35" i="215"/>
  <c r="E35" i="215"/>
  <c r="D35" i="215"/>
  <c r="C35" i="215"/>
  <c r="B35" i="215"/>
  <c r="AG34" i="215"/>
  <c r="AG33" i="215"/>
  <c r="AG32" i="215"/>
  <c r="AG31" i="215"/>
  <c r="AG30" i="215"/>
  <c r="AG29" i="215"/>
  <c r="AG28" i="215"/>
  <c r="AG27" i="215"/>
  <c r="AG26" i="215"/>
  <c r="AG25" i="215"/>
  <c r="AG24" i="215"/>
  <c r="AG23" i="215"/>
  <c r="AG22" i="215"/>
  <c r="AG21" i="215"/>
  <c r="AG20" i="215"/>
  <c r="AG19" i="215"/>
  <c r="AG18" i="215"/>
  <c r="AG17" i="215"/>
  <c r="AG16" i="215"/>
  <c r="AG15" i="215"/>
  <c r="AG14" i="215"/>
  <c r="AG13" i="215"/>
  <c r="AG12" i="215"/>
  <c r="AG11" i="215"/>
  <c r="AG10" i="215"/>
  <c r="AG9" i="215"/>
  <c r="AG8" i="215"/>
  <c r="AG7" i="215"/>
  <c r="AG6" i="215"/>
  <c r="AG5" i="215"/>
  <c r="AG4" i="215"/>
  <c r="AG3" i="215"/>
  <c r="AF33" i="214"/>
  <c r="AE33" i="214"/>
  <c r="AD33" i="214"/>
  <c r="AC33" i="214"/>
  <c r="AB33" i="214"/>
  <c r="AA33" i="214"/>
  <c r="Z33" i="214"/>
  <c r="Y33" i="214"/>
  <c r="X33" i="214"/>
  <c r="W33" i="214"/>
  <c r="V33" i="214"/>
  <c r="U33" i="214"/>
  <c r="T33" i="214"/>
  <c r="S33" i="214"/>
  <c r="R33" i="214"/>
  <c r="Q33" i="214"/>
  <c r="P33" i="214"/>
  <c r="O33" i="214"/>
  <c r="N33" i="214"/>
  <c r="M33" i="214"/>
  <c r="L33" i="214"/>
  <c r="K33" i="214"/>
  <c r="J33" i="214"/>
  <c r="I33" i="214"/>
  <c r="H33" i="214"/>
  <c r="G33" i="214"/>
  <c r="F33" i="214"/>
  <c r="E33" i="214"/>
  <c r="D33" i="214"/>
  <c r="C33" i="214"/>
  <c r="B33" i="214"/>
  <c r="AG32" i="214"/>
  <c r="AF75" i="1" s="1"/>
  <c r="AG31" i="214"/>
  <c r="AE75" i="1" s="1"/>
  <c r="AG30" i="214"/>
  <c r="AD75" i="1" s="1"/>
  <c r="AG29" i="214"/>
  <c r="AC75" i="1" s="1"/>
  <c r="AG28" i="214"/>
  <c r="AB75" i="1" s="1"/>
  <c r="AG27" i="214"/>
  <c r="AA75" i="1" s="1"/>
  <c r="AG26" i="214"/>
  <c r="Z75" i="1" s="1"/>
  <c r="AG25" i="214"/>
  <c r="Y75" i="1" s="1"/>
  <c r="AG24" i="214"/>
  <c r="X75" i="1" s="1"/>
  <c r="AG23" i="214"/>
  <c r="W75" i="1" s="1"/>
  <c r="AG22" i="214"/>
  <c r="V75" i="1" s="1"/>
  <c r="AG21" i="214"/>
  <c r="U75" i="1" s="1"/>
  <c r="AG20" i="214"/>
  <c r="T75" i="1" s="1"/>
  <c r="AG19" i="214"/>
  <c r="S75" i="1" s="1"/>
  <c r="AG18" i="214"/>
  <c r="R75" i="1" s="1"/>
  <c r="AG17" i="214"/>
  <c r="Q75" i="1" s="1"/>
  <c r="AG16" i="214"/>
  <c r="P75" i="1" s="1"/>
  <c r="AG15" i="214"/>
  <c r="O75" i="1" s="1"/>
  <c r="AG14" i="214"/>
  <c r="N75" i="1" s="1"/>
  <c r="AG13" i="214"/>
  <c r="M75" i="1" s="1"/>
  <c r="AG12" i="214"/>
  <c r="L75" i="1" s="1"/>
  <c r="AG11" i="214"/>
  <c r="K75" i="1" s="1"/>
  <c r="AG10" i="214"/>
  <c r="J75" i="1" s="1"/>
  <c r="AG9" i="214"/>
  <c r="I75" i="1" s="1"/>
  <c r="AG8" i="214"/>
  <c r="H75" i="1" s="1"/>
  <c r="AG7" i="214"/>
  <c r="G75" i="1" s="1"/>
  <c r="AG6" i="214"/>
  <c r="F75" i="1" s="1"/>
  <c r="AG5" i="214"/>
  <c r="E75" i="1" s="1"/>
  <c r="AG4" i="214"/>
  <c r="D75" i="1" s="1"/>
  <c r="AG3" i="214"/>
  <c r="AF33" i="213"/>
  <c r="AE33" i="213"/>
  <c r="AD33" i="213"/>
  <c r="AC33" i="213"/>
  <c r="AB33" i="213"/>
  <c r="AA33" i="213"/>
  <c r="Z33" i="213"/>
  <c r="Y33" i="213"/>
  <c r="X33" i="213"/>
  <c r="W33" i="213"/>
  <c r="V33" i="213"/>
  <c r="U33" i="213"/>
  <c r="T33" i="213"/>
  <c r="S33" i="213"/>
  <c r="R33" i="213"/>
  <c r="Q33" i="213"/>
  <c r="P33" i="213"/>
  <c r="O33" i="213"/>
  <c r="N33" i="213"/>
  <c r="M33" i="213"/>
  <c r="L33" i="213"/>
  <c r="K33" i="213"/>
  <c r="J33" i="213"/>
  <c r="I33" i="213"/>
  <c r="H33" i="213"/>
  <c r="G33" i="213"/>
  <c r="F33" i="213"/>
  <c r="E33" i="213"/>
  <c r="D33" i="213"/>
  <c r="C33" i="213"/>
  <c r="B33" i="213"/>
  <c r="AG32" i="213"/>
  <c r="AF68" i="1" s="1"/>
  <c r="AG29" i="213"/>
  <c r="AC68" i="1" s="1"/>
  <c r="AG28" i="213"/>
  <c r="AB68" i="1" s="1"/>
  <c r="AG27" i="213"/>
  <c r="AA68" i="1" s="1"/>
  <c r="AG26" i="213"/>
  <c r="Z68" i="1" s="1"/>
  <c r="AG25" i="213"/>
  <c r="Y68" i="1" s="1"/>
  <c r="AG24" i="213"/>
  <c r="X68" i="1" s="1"/>
  <c r="AG23" i="213"/>
  <c r="W68" i="1" s="1"/>
  <c r="AG22" i="213"/>
  <c r="V68" i="1" s="1"/>
  <c r="AG21" i="213"/>
  <c r="U68" i="1" s="1"/>
  <c r="AG20" i="213"/>
  <c r="T68" i="1" s="1"/>
  <c r="AG19" i="213"/>
  <c r="S68" i="1" s="1"/>
  <c r="AG18" i="213"/>
  <c r="R68" i="1" s="1"/>
  <c r="AG17" i="213"/>
  <c r="Q68" i="1" s="1"/>
  <c r="AG16" i="213"/>
  <c r="P68" i="1" s="1"/>
  <c r="AG15" i="213"/>
  <c r="AG14" i="213"/>
  <c r="N68" i="1" s="1"/>
  <c r="AG13" i="213"/>
  <c r="M68" i="1" s="1"/>
  <c r="AG12" i="213"/>
  <c r="L68" i="1" s="1"/>
  <c r="AG11" i="213"/>
  <c r="K68" i="1" s="1"/>
  <c r="AG10" i="213"/>
  <c r="J68" i="1" s="1"/>
  <c r="AG9" i="213"/>
  <c r="I68" i="1" s="1"/>
  <c r="AG8" i="213"/>
  <c r="H68" i="1" s="1"/>
  <c r="AG7" i="213"/>
  <c r="G68" i="1" s="1"/>
  <c r="AG6" i="213"/>
  <c r="F68" i="1" s="1"/>
  <c r="AG5" i="213"/>
  <c r="E68" i="1" s="1"/>
  <c r="AG4" i="213"/>
  <c r="D68" i="1" s="1"/>
  <c r="AG3" i="213"/>
  <c r="AF33" i="212"/>
  <c r="AE33" i="212"/>
  <c r="AD33" i="212"/>
  <c r="AC33" i="212"/>
  <c r="AB33" i="212"/>
  <c r="AA33" i="212"/>
  <c r="Z33" i="212"/>
  <c r="Y33" i="212"/>
  <c r="X33" i="212"/>
  <c r="W33" i="212"/>
  <c r="V33" i="212"/>
  <c r="U33" i="212"/>
  <c r="T33" i="212"/>
  <c r="S33" i="212"/>
  <c r="R33" i="212"/>
  <c r="Q33" i="212"/>
  <c r="P33" i="212"/>
  <c r="O33" i="212"/>
  <c r="N33" i="212"/>
  <c r="M33" i="212"/>
  <c r="L33" i="212"/>
  <c r="K33" i="212"/>
  <c r="J33" i="212"/>
  <c r="I33" i="212"/>
  <c r="H33" i="212"/>
  <c r="G33" i="212"/>
  <c r="F33" i="212"/>
  <c r="E33" i="212"/>
  <c r="D33" i="212"/>
  <c r="C33" i="212"/>
  <c r="B33" i="212"/>
  <c r="AG32" i="212"/>
  <c r="AF61" i="1" s="1"/>
  <c r="AG31" i="212"/>
  <c r="AE61" i="1" s="1"/>
  <c r="AG30" i="212"/>
  <c r="AD61" i="1" s="1"/>
  <c r="AG29" i="212"/>
  <c r="AC61" i="1" s="1"/>
  <c r="AG28" i="212"/>
  <c r="AB61" i="1" s="1"/>
  <c r="AG27" i="212"/>
  <c r="AA61" i="1" s="1"/>
  <c r="AG26" i="212"/>
  <c r="Z61" i="1" s="1"/>
  <c r="AG25" i="212"/>
  <c r="Y61" i="1" s="1"/>
  <c r="AG24" i="212"/>
  <c r="X61" i="1" s="1"/>
  <c r="AG23" i="212"/>
  <c r="W61" i="1" s="1"/>
  <c r="AG22" i="212"/>
  <c r="V61" i="1" s="1"/>
  <c r="AG21" i="212"/>
  <c r="U61" i="1" s="1"/>
  <c r="AG20" i="212"/>
  <c r="T61" i="1" s="1"/>
  <c r="AG19" i="212"/>
  <c r="S61" i="1" s="1"/>
  <c r="AG18" i="212"/>
  <c r="R61" i="1" s="1"/>
  <c r="AG17" i="212"/>
  <c r="Q61" i="1" s="1"/>
  <c r="AG16" i="212"/>
  <c r="P61" i="1" s="1"/>
  <c r="AG15" i="212"/>
  <c r="O61" i="1" s="1"/>
  <c r="AG14" i="212"/>
  <c r="N61" i="1" s="1"/>
  <c r="AG13" i="212"/>
  <c r="M61" i="1" s="1"/>
  <c r="AG12" i="212"/>
  <c r="L61" i="1" s="1"/>
  <c r="AG11" i="212"/>
  <c r="K61" i="1" s="1"/>
  <c r="AG10" i="212"/>
  <c r="J61" i="1" s="1"/>
  <c r="AG9" i="212"/>
  <c r="I61" i="1" s="1"/>
  <c r="AG8" i="212"/>
  <c r="H61" i="1" s="1"/>
  <c r="AG7" i="212"/>
  <c r="G61" i="1" s="1"/>
  <c r="AG6" i="212"/>
  <c r="F61" i="1" s="1"/>
  <c r="AG5" i="212"/>
  <c r="E61" i="1" s="1"/>
  <c r="AG4" i="212"/>
  <c r="D61" i="1" s="1"/>
  <c r="AG3" i="212"/>
  <c r="C61" i="1" s="1"/>
  <c r="AF33" i="211"/>
  <c r="AE33" i="211"/>
  <c r="AD33" i="211"/>
  <c r="AC33" i="211"/>
  <c r="AB33" i="211"/>
  <c r="AA33" i="211"/>
  <c r="Z33" i="211"/>
  <c r="Y33" i="211"/>
  <c r="X33" i="211"/>
  <c r="W33" i="211"/>
  <c r="V33" i="211"/>
  <c r="U33" i="211"/>
  <c r="T33" i="211"/>
  <c r="S33" i="211"/>
  <c r="R33" i="211"/>
  <c r="Q33" i="211"/>
  <c r="P33" i="211"/>
  <c r="O33" i="211"/>
  <c r="N33" i="211"/>
  <c r="M33" i="211"/>
  <c r="L33" i="211"/>
  <c r="K33" i="211"/>
  <c r="J33" i="211"/>
  <c r="I33" i="211"/>
  <c r="H33" i="211"/>
  <c r="G33" i="211"/>
  <c r="F33" i="211"/>
  <c r="E33" i="211"/>
  <c r="D33" i="211"/>
  <c r="C33" i="211"/>
  <c r="B33" i="211"/>
  <c r="AG32" i="211"/>
  <c r="AF54" i="1" s="1"/>
  <c r="AG31" i="211"/>
  <c r="AE54" i="1" s="1"/>
  <c r="AG30" i="211"/>
  <c r="AD54" i="1" s="1"/>
  <c r="AG29" i="211"/>
  <c r="AC54" i="1" s="1"/>
  <c r="AG28" i="211"/>
  <c r="AB54" i="1" s="1"/>
  <c r="AG27" i="211"/>
  <c r="AA54" i="1" s="1"/>
  <c r="AG26" i="211"/>
  <c r="Z54" i="1" s="1"/>
  <c r="AG25" i="211"/>
  <c r="Y54" i="1" s="1"/>
  <c r="AG24" i="211"/>
  <c r="X54" i="1" s="1"/>
  <c r="AG23" i="211"/>
  <c r="W54" i="1" s="1"/>
  <c r="AG22" i="211"/>
  <c r="V54" i="1" s="1"/>
  <c r="AG21" i="211"/>
  <c r="AG20" i="211"/>
  <c r="T54" i="1" s="1"/>
  <c r="AG19" i="211"/>
  <c r="S54" i="1" s="1"/>
  <c r="AG18" i="211"/>
  <c r="R54" i="1" s="1"/>
  <c r="AG17" i="211"/>
  <c r="Q54" i="1" s="1"/>
  <c r="AG16" i="211"/>
  <c r="P54" i="1" s="1"/>
  <c r="AG15" i="211"/>
  <c r="O54" i="1" s="1"/>
  <c r="AG14" i="211"/>
  <c r="N54" i="1" s="1"/>
  <c r="AG13" i="211"/>
  <c r="M54" i="1" s="1"/>
  <c r="AG12" i="211"/>
  <c r="L54" i="1" s="1"/>
  <c r="AG11" i="211"/>
  <c r="K54" i="1" s="1"/>
  <c r="AG10" i="211"/>
  <c r="J54" i="1" s="1"/>
  <c r="AG9" i="211"/>
  <c r="I54" i="1" s="1"/>
  <c r="AG8" i="211"/>
  <c r="H54" i="1" s="1"/>
  <c r="AG7" i="211"/>
  <c r="G54" i="1" s="1"/>
  <c r="AG6" i="211"/>
  <c r="F54" i="1" s="1"/>
  <c r="AG5" i="211"/>
  <c r="E54" i="1" s="1"/>
  <c r="AG4" i="211"/>
  <c r="D54" i="1" s="1"/>
  <c r="AG3" i="211"/>
  <c r="C54" i="1" s="1"/>
  <c r="AF33" i="210"/>
  <c r="AE33" i="210"/>
  <c r="AD33" i="210"/>
  <c r="AC33" i="210"/>
  <c r="AB33" i="210"/>
  <c r="AA33" i="210"/>
  <c r="Z33" i="210"/>
  <c r="Y33" i="210"/>
  <c r="X33" i="210"/>
  <c r="W33" i="210"/>
  <c r="V33" i="210"/>
  <c r="U33" i="210"/>
  <c r="T33" i="210"/>
  <c r="S33" i="210"/>
  <c r="R33" i="210"/>
  <c r="Q33" i="210"/>
  <c r="P33" i="210"/>
  <c r="O33" i="210"/>
  <c r="N33" i="210"/>
  <c r="M33" i="210"/>
  <c r="L33" i="210"/>
  <c r="K33" i="210"/>
  <c r="J33" i="210"/>
  <c r="I33" i="210"/>
  <c r="H33" i="210"/>
  <c r="G33" i="210"/>
  <c r="F33" i="210"/>
  <c r="E33" i="210"/>
  <c r="D33" i="210"/>
  <c r="C33" i="210"/>
  <c r="B33" i="210"/>
  <c r="AF33" i="209"/>
  <c r="AE33" i="209"/>
  <c r="AD33" i="209"/>
  <c r="AC33" i="209"/>
  <c r="AB33" i="209"/>
  <c r="AA33" i="209"/>
  <c r="Z33" i="209"/>
  <c r="Y33" i="209"/>
  <c r="X33" i="209"/>
  <c r="W33" i="209"/>
  <c r="V33" i="209"/>
  <c r="U33" i="209"/>
  <c r="T33" i="209"/>
  <c r="S33" i="209"/>
  <c r="R33" i="209"/>
  <c r="Q33" i="209"/>
  <c r="P33" i="209"/>
  <c r="O33" i="209"/>
  <c r="N33" i="209"/>
  <c r="M33" i="209"/>
  <c r="L33" i="209"/>
  <c r="K33" i="209"/>
  <c r="J33" i="209"/>
  <c r="I33" i="209"/>
  <c r="H33" i="209"/>
  <c r="G33" i="209"/>
  <c r="F33" i="209"/>
  <c r="E33" i="209"/>
  <c r="D33" i="209"/>
  <c r="C33" i="209"/>
  <c r="B33" i="209"/>
  <c r="AG32" i="209"/>
  <c r="AG31" i="209"/>
  <c r="AG30" i="209"/>
  <c r="AG29" i="209"/>
  <c r="AG28" i="209"/>
  <c r="AG27" i="209"/>
  <c r="AG26" i="209"/>
  <c r="AG25" i="209"/>
  <c r="AG24" i="209"/>
  <c r="AG23" i="209"/>
  <c r="AG22" i="209"/>
  <c r="AG21" i="209"/>
  <c r="AG20" i="209"/>
  <c r="AG19" i="209"/>
  <c r="AG18" i="209"/>
  <c r="AG17" i="209"/>
  <c r="AG16" i="209"/>
  <c r="AG15" i="209"/>
  <c r="AG14" i="209"/>
  <c r="AG13" i="209"/>
  <c r="AG12" i="209"/>
  <c r="AG11" i="209"/>
  <c r="AG10" i="209"/>
  <c r="AG9" i="209"/>
  <c r="AG8" i="209"/>
  <c r="AG7" i="209"/>
  <c r="AG6" i="209"/>
  <c r="AG5" i="209"/>
  <c r="AG4" i="209"/>
  <c r="AG3" i="209"/>
  <c r="AF33" i="208"/>
  <c r="AE33" i="208"/>
  <c r="AD33" i="208"/>
  <c r="AC33" i="208"/>
  <c r="AB33" i="208"/>
  <c r="AA33" i="208"/>
  <c r="Z33" i="208"/>
  <c r="Y33" i="208"/>
  <c r="X33" i="208"/>
  <c r="W33" i="208"/>
  <c r="V33" i="208"/>
  <c r="U33" i="208"/>
  <c r="T33" i="208"/>
  <c r="S33" i="208"/>
  <c r="R33" i="208"/>
  <c r="Q33" i="208"/>
  <c r="P33" i="208"/>
  <c r="O33" i="208"/>
  <c r="N33" i="208"/>
  <c r="M33" i="208"/>
  <c r="L33" i="208"/>
  <c r="K33" i="208"/>
  <c r="J33" i="208"/>
  <c r="I33" i="208"/>
  <c r="H33" i="208"/>
  <c r="G33" i="208"/>
  <c r="F33" i="208"/>
  <c r="E33" i="208"/>
  <c r="D33" i="208"/>
  <c r="C33" i="208"/>
  <c r="B33" i="208"/>
  <c r="AG32" i="208"/>
  <c r="AG31" i="208"/>
  <c r="AG30" i="208"/>
  <c r="AG29" i="208"/>
  <c r="AG28" i="208"/>
  <c r="AG27" i="208"/>
  <c r="AG26" i="208"/>
  <c r="AG25" i="208"/>
  <c r="AG24" i="208"/>
  <c r="AG23" i="208"/>
  <c r="AG22" i="208"/>
  <c r="AG21" i="208"/>
  <c r="AG20" i="208"/>
  <c r="AG19" i="208"/>
  <c r="AG18" i="208"/>
  <c r="AG17" i="208"/>
  <c r="AG16" i="208"/>
  <c r="AG15" i="208"/>
  <c r="AG14" i="208"/>
  <c r="AG13" i="208"/>
  <c r="AG12" i="208"/>
  <c r="AG11" i="208"/>
  <c r="AG10" i="208"/>
  <c r="AG9" i="208"/>
  <c r="AG8" i="208"/>
  <c r="AG7" i="208"/>
  <c r="AG6" i="208"/>
  <c r="AG5" i="208"/>
  <c r="AG4" i="208"/>
  <c r="AG3" i="208"/>
  <c r="AF33" i="207"/>
  <c r="AE33" i="207"/>
  <c r="AD33" i="207"/>
  <c r="AC33" i="207"/>
  <c r="AB33" i="207"/>
  <c r="AA33" i="207"/>
  <c r="Z33" i="207"/>
  <c r="Y33" i="207"/>
  <c r="X33" i="207"/>
  <c r="W33" i="207"/>
  <c r="V33" i="207"/>
  <c r="U33" i="207"/>
  <c r="T33" i="207"/>
  <c r="S33" i="207"/>
  <c r="R33" i="207"/>
  <c r="Q33" i="207"/>
  <c r="P33" i="207"/>
  <c r="O33" i="207"/>
  <c r="N33" i="207"/>
  <c r="M33" i="207"/>
  <c r="L33" i="207"/>
  <c r="K33" i="207"/>
  <c r="J33" i="207"/>
  <c r="I33" i="207"/>
  <c r="H33" i="207"/>
  <c r="G33" i="207"/>
  <c r="F33" i="207"/>
  <c r="E33" i="207"/>
  <c r="D33" i="207"/>
  <c r="C33" i="207"/>
  <c r="B33" i="207"/>
  <c r="AG32" i="207"/>
  <c r="AF72" i="1" s="1"/>
  <c r="AG31" i="207"/>
  <c r="AE72" i="1" s="1"/>
  <c r="AG30" i="207"/>
  <c r="AD72" i="1" s="1"/>
  <c r="AG28" i="207"/>
  <c r="AB72" i="1" s="1"/>
  <c r="AG27" i="207"/>
  <c r="AA72" i="1" s="1"/>
  <c r="AG26" i="207"/>
  <c r="Z72" i="1" s="1"/>
  <c r="AG25" i="207"/>
  <c r="Y72" i="1" s="1"/>
  <c r="AG24" i="207"/>
  <c r="X72" i="1" s="1"/>
  <c r="AG23" i="207"/>
  <c r="W72" i="1" s="1"/>
  <c r="AG22" i="207"/>
  <c r="V72" i="1" s="1"/>
  <c r="AG21" i="207"/>
  <c r="U72" i="1" s="1"/>
  <c r="AG20" i="207"/>
  <c r="T72" i="1" s="1"/>
  <c r="AG19" i="207"/>
  <c r="S72" i="1" s="1"/>
  <c r="AG18" i="207"/>
  <c r="R72" i="1" s="1"/>
  <c r="AG17" i="207"/>
  <c r="Q72" i="1" s="1"/>
  <c r="AG16" i="207"/>
  <c r="P72" i="1" s="1"/>
  <c r="AG15" i="207"/>
  <c r="O72" i="1" s="1"/>
  <c r="AG14" i="207"/>
  <c r="N72" i="1" s="1"/>
  <c r="AG13" i="207"/>
  <c r="M72" i="1" s="1"/>
  <c r="AG12" i="207"/>
  <c r="L72" i="1" s="1"/>
  <c r="AG11" i="207"/>
  <c r="K72" i="1" s="1"/>
  <c r="AG10" i="207"/>
  <c r="J72" i="1" s="1"/>
  <c r="AG9" i="207"/>
  <c r="I72" i="1" s="1"/>
  <c r="AG8" i="207"/>
  <c r="H72" i="1" s="1"/>
  <c r="AG7" i="207"/>
  <c r="G72" i="1" s="1"/>
  <c r="AG6" i="207"/>
  <c r="F72" i="1" s="1"/>
  <c r="AG5" i="207"/>
  <c r="E72" i="1" s="1"/>
  <c r="AG4" i="207"/>
  <c r="D72" i="1" s="1"/>
  <c r="AG3" i="207"/>
  <c r="C72" i="1" s="1"/>
  <c r="AF33" i="206"/>
  <c r="AE33" i="206"/>
  <c r="AD33" i="206"/>
  <c r="AC33" i="206"/>
  <c r="AB33" i="206"/>
  <c r="AA33" i="206"/>
  <c r="Z33" i="206"/>
  <c r="Y33" i="206"/>
  <c r="X33" i="206"/>
  <c r="W33" i="206"/>
  <c r="V33" i="206"/>
  <c r="U33" i="206"/>
  <c r="T33" i="206"/>
  <c r="S33" i="206"/>
  <c r="R33" i="206"/>
  <c r="Q33" i="206"/>
  <c r="P33" i="206"/>
  <c r="O33" i="206"/>
  <c r="N33" i="206"/>
  <c r="M33" i="206"/>
  <c r="L33" i="206"/>
  <c r="K33" i="206"/>
  <c r="J33" i="206"/>
  <c r="I33" i="206"/>
  <c r="H33" i="206"/>
  <c r="G33" i="206"/>
  <c r="F33" i="206"/>
  <c r="E33" i="206"/>
  <c r="D33" i="206"/>
  <c r="C33" i="206"/>
  <c r="B33" i="206"/>
  <c r="AG32" i="206"/>
  <c r="AF65" i="1" s="1"/>
  <c r="AG31" i="206"/>
  <c r="AE65" i="1" s="1"/>
  <c r="AG30" i="206"/>
  <c r="AD65" i="1" s="1"/>
  <c r="AG29" i="206"/>
  <c r="AC65" i="1" s="1"/>
  <c r="AG28" i="206"/>
  <c r="AB65" i="1" s="1"/>
  <c r="AB71" i="1" s="1"/>
  <c r="AG27" i="206"/>
  <c r="AA65" i="1" s="1"/>
  <c r="AG26" i="206"/>
  <c r="Z65" i="1" s="1"/>
  <c r="AG25" i="206"/>
  <c r="Y65" i="1" s="1"/>
  <c r="AG24" i="206"/>
  <c r="X65" i="1" s="1"/>
  <c r="AG23" i="206"/>
  <c r="W65" i="1" s="1"/>
  <c r="AG22" i="206"/>
  <c r="V65" i="1" s="1"/>
  <c r="AG21" i="206"/>
  <c r="U65" i="1" s="1"/>
  <c r="AG20" i="206"/>
  <c r="T65" i="1" s="1"/>
  <c r="AG19" i="206"/>
  <c r="S65" i="1" s="1"/>
  <c r="AG18" i="206"/>
  <c r="R65" i="1" s="1"/>
  <c r="AG17" i="206"/>
  <c r="Q65" i="1" s="1"/>
  <c r="AG16" i="206"/>
  <c r="P65" i="1" s="1"/>
  <c r="AG15" i="206"/>
  <c r="O65" i="1" s="1"/>
  <c r="AG14" i="206"/>
  <c r="N65" i="1" s="1"/>
  <c r="AG13" i="206"/>
  <c r="M65" i="1" s="1"/>
  <c r="AG12" i="206"/>
  <c r="L65" i="1" s="1"/>
  <c r="AG11" i="206"/>
  <c r="K65" i="1" s="1"/>
  <c r="AG10" i="206"/>
  <c r="J65" i="1" s="1"/>
  <c r="AG9" i="206"/>
  <c r="I65" i="1" s="1"/>
  <c r="AG8" i="206"/>
  <c r="H65" i="1" s="1"/>
  <c r="AG7" i="206"/>
  <c r="G65" i="1" s="1"/>
  <c r="AG6" i="206"/>
  <c r="F65" i="1" s="1"/>
  <c r="AG5" i="206"/>
  <c r="E65" i="1" s="1"/>
  <c r="AG4" i="206"/>
  <c r="D65" i="1" s="1"/>
  <c r="AG3" i="206"/>
  <c r="C65" i="1" s="1"/>
  <c r="AF33" i="205"/>
  <c r="AE33" i="205"/>
  <c r="AD33" i="205"/>
  <c r="AC33" i="205"/>
  <c r="AB33" i="205"/>
  <c r="AA33" i="205"/>
  <c r="Z33" i="205"/>
  <c r="Y33" i="205"/>
  <c r="X33" i="205"/>
  <c r="W33" i="205"/>
  <c r="V33" i="205"/>
  <c r="U33" i="205"/>
  <c r="T33" i="205"/>
  <c r="S33" i="205"/>
  <c r="R33" i="205"/>
  <c r="Q33" i="205"/>
  <c r="P33" i="205"/>
  <c r="O33" i="205"/>
  <c r="N33" i="205"/>
  <c r="M33" i="205"/>
  <c r="L33" i="205"/>
  <c r="K33" i="205"/>
  <c r="J33" i="205"/>
  <c r="I33" i="205"/>
  <c r="H33" i="205"/>
  <c r="G33" i="205"/>
  <c r="F33" i="205"/>
  <c r="E33" i="205"/>
  <c r="D33" i="205"/>
  <c r="C33" i="205"/>
  <c r="B33" i="205"/>
  <c r="AG32" i="205"/>
  <c r="AF58" i="1" s="1"/>
  <c r="AF64" i="1" s="1"/>
  <c r="AG31" i="205"/>
  <c r="AE58" i="1" s="1"/>
  <c r="AG30" i="205"/>
  <c r="AD58" i="1" s="1"/>
  <c r="AG29" i="205"/>
  <c r="AC58" i="1" s="1"/>
  <c r="AG28" i="205"/>
  <c r="AB58" i="1" s="1"/>
  <c r="AG27" i="205"/>
  <c r="AA58" i="1" s="1"/>
  <c r="AG26" i="205"/>
  <c r="Z58" i="1" s="1"/>
  <c r="AG25" i="205"/>
  <c r="Y58" i="1" s="1"/>
  <c r="AG24" i="205"/>
  <c r="X58" i="1" s="1"/>
  <c r="X64" i="1" s="1"/>
  <c r="AG23" i="205"/>
  <c r="W58" i="1" s="1"/>
  <c r="AG22" i="205"/>
  <c r="V58" i="1" s="1"/>
  <c r="V64" i="1" s="1"/>
  <c r="AG21" i="205"/>
  <c r="U58" i="1" s="1"/>
  <c r="AG20" i="205"/>
  <c r="T58" i="1" s="1"/>
  <c r="AG19" i="205"/>
  <c r="S58" i="1" s="1"/>
  <c r="AG18" i="205"/>
  <c r="R58" i="1" s="1"/>
  <c r="AG17" i="205"/>
  <c r="Q58" i="1" s="1"/>
  <c r="Q64" i="1" s="1"/>
  <c r="AG16" i="205"/>
  <c r="P58" i="1" s="1"/>
  <c r="P64" i="1" s="1"/>
  <c r="AG15" i="205"/>
  <c r="O58" i="1" s="1"/>
  <c r="AG14" i="205"/>
  <c r="N58" i="1" s="1"/>
  <c r="AG13" i="205"/>
  <c r="M58" i="1" s="1"/>
  <c r="AG12" i="205"/>
  <c r="L58" i="1" s="1"/>
  <c r="AG11" i="205"/>
  <c r="K58" i="1" s="1"/>
  <c r="AG10" i="205"/>
  <c r="J58" i="1" s="1"/>
  <c r="AG9" i="205"/>
  <c r="I58" i="1" s="1"/>
  <c r="I64" i="1" s="1"/>
  <c r="AG8" i="205"/>
  <c r="H58" i="1" s="1"/>
  <c r="AG7" i="205"/>
  <c r="G58" i="1" s="1"/>
  <c r="AG6" i="205"/>
  <c r="F58" i="1" s="1"/>
  <c r="AG5" i="205"/>
  <c r="E58" i="1" s="1"/>
  <c r="AG4" i="205"/>
  <c r="D58" i="1" s="1"/>
  <c r="AG3" i="205"/>
  <c r="C58" i="1" s="1"/>
  <c r="AF33" i="204"/>
  <c r="AE33" i="204"/>
  <c r="AD33" i="204"/>
  <c r="AC33" i="204"/>
  <c r="AB33" i="204"/>
  <c r="AA33" i="204"/>
  <c r="Z33" i="204"/>
  <c r="Y33" i="204"/>
  <c r="X33" i="204"/>
  <c r="W33" i="204"/>
  <c r="V33" i="204"/>
  <c r="U33" i="204"/>
  <c r="T33" i="204"/>
  <c r="S33" i="204"/>
  <c r="R33" i="204"/>
  <c r="Q33" i="204"/>
  <c r="P33" i="204"/>
  <c r="O33" i="204"/>
  <c r="N33" i="204"/>
  <c r="M33" i="204"/>
  <c r="L33" i="204"/>
  <c r="K33" i="204"/>
  <c r="J33" i="204"/>
  <c r="I33" i="204"/>
  <c r="H33" i="204"/>
  <c r="G33" i="204"/>
  <c r="F33" i="204"/>
  <c r="E33" i="204"/>
  <c r="D33" i="204"/>
  <c r="C33" i="204"/>
  <c r="B33" i="204"/>
  <c r="AG32" i="204"/>
  <c r="AF51" i="1" s="1"/>
  <c r="AG31" i="204"/>
  <c r="AE51" i="1" s="1"/>
  <c r="AG30" i="204"/>
  <c r="AD51" i="1" s="1"/>
  <c r="AG29" i="204"/>
  <c r="AC51" i="1" s="1"/>
  <c r="AG28" i="204"/>
  <c r="AB51" i="1" s="1"/>
  <c r="AG27" i="204"/>
  <c r="AA51" i="1" s="1"/>
  <c r="AG26" i="204"/>
  <c r="Z51" i="1" s="1"/>
  <c r="AG25" i="204"/>
  <c r="Y51" i="1" s="1"/>
  <c r="AG24" i="204"/>
  <c r="X51" i="1" s="1"/>
  <c r="AG23" i="204"/>
  <c r="W51" i="1" s="1"/>
  <c r="AG22" i="204"/>
  <c r="V51" i="1" s="1"/>
  <c r="AG21" i="204"/>
  <c r="U51" i="1" s="1"/>
  <c r="AG20" i="204"/>
  <c r="T51" i="1" s="1"/>
  <c r="AG19" i="204"/>
  <c r="S51" i="1" s="1"/>
  <c r="AG18" i="204"/>
  <c r="R51" i="1" s="1"/>
  <c r="AG17" i="204"/>
  <c r="Q51" i="1" s="1"/>
  <c r="AG16" i="204"/>
  <c r="P51" i="1" s="1"/>
  <c r="AG15" i="204"/>
  <c r="O51" i="1" s="1"/>
  <c r="AG14" i="204"/>
  <c r="N51" i="1" s="1"/>
  <c r="AG13" i="204"/>
  <c r="M51" i="1" s="1"/>
  <c r="AG12" i="204"/>
  <c r="L51" i="1" s="1"/>
  <c r="AG11" i="204"/>
  <c r="K51" i="1" s="1"/>
  <c r="AG10" i="204"/>
  <c r="J51" i="1" s="1"/>
  <c r="AG9" i="204"/>
  <c r="I51" i="1" s="1"/>
  <c r="AG8" i="204"/>
  <c r="H51" i="1" s="1"/>
  <c r="AG7" i="204"/>
  <c r="G51" i="1" s="1"/>
  <c r="AG6" i="204"/>
  <c r="F51" i="1" s="1"/>
  <c r="AG5" i="204"/>
  <c r="E51" i="1" s="1"/>
  <c r="AG4" i="204"/>
  <c r="D51" i="1" s="1"/>
  <c r="AG3" i="204"/>
  <c r="C51" i="1" s="1"/>
  <c r="AF35" i="203"/>
  <c r="AE35" i="203"/>
  <c r="AD35" i="203"/>
  <c r="AC35" i="203"/>
  <c r="AB35" i="203"/>
  <c r="AA35" i="203"/>
  <c r="Z35" i="203"/>
  <c r="Y35" i="203"/>
  <c r="X35" i="203"/>
  <c r="W35" i="203"/>
  <c r="V35" i="203"/>
  <c r="U35" i="203"/>
  <c r="T35" i="203"/>
  <c r="S35" i="203"/>
  <c r="R35" i="203"/>
  <c r="Q35" i="203"/>
  <c r="P35" i="203"/>
  <c r="O35" i="203"/>
  <c r="N35" i="203"/>
  <c r="M35" i="203"/>
  <c r="L35" i="203"/>
  <c r="K35" i="203"/>
  <c r="J35" i="203"/>
  <c r="I35" i="203"/>
  <c r="H35" i="203"/>
  <c r="G35" i="203"/>
  <c r="F35" i="203"/>
  <c r="E35" i="203"/>
  <c r="D35" i="203"/>
  <c r="C35" i="203"/>
  <c r="B35" i="203"/>
  <c r="AG34" i="203"/>
  <c r="AG33" i="203"/>
  <c r="AG32" i="203"/>
  <c r="AG31" i="203"/>
  <c r="AG30" i="203"/>
  <c r="AG29" i="203"/>
  <c r="AG28" i="203"/>
  <c r="AG27" i="203"/>
  <c r="AG26" i="203"/>
  <c r="AG25" i="203"/>
  <c r="AG24" i="203"/>
  <c r="AG23" i="203"/>
  <c r="AG21" i="203"/>
  <c r="AG20" i="203"/>
  <c r="AG19" i="203"/>
  <c r="AG18" i="203"/>
  <c r="AG17" i="203"/>
  <c r="AG16" i="203"/>
  <c r="AG15" i="203"/>
  <c r="AG14" i="203"/>
  <c r="AG13" i="203"/>
  <c r="AG12" i="203"/>
  <c r="AG11" i="203"/>
  <c r="AG9" i="203"/>
  <c r="AG8" i="203"/>
  <c r="AG7" i="203"/>
  <c r="AG6" i="203"/>
  <c r="AG5" i="203"/>
  <c r="AG4" i="203"/>
  <c r="AG3" i="203"/>
  <c r="AF33" i="202"/>
  <c r="AE33" i="202"/>
  <c r="AD33" i="202"/>
  <c r="AC33" i="202"/>
  <c r="AB33" i="202"/>
  <c r="AA33" i="202"/>
  <c r="Z33" i="202"/>
  <c r="Y33" i="202"/>
  <c r="X33" i="202"/>
  <c r="W33" i="202"/>
  <c r="V33" i="202"/>
  <c r="U33" i="202"/>
  <c r="T33" i="202"/>
  <c r="S33" i="202"/>
  <c r="R33" i="202"/>
  <c r="Q33" i="202"/>
  <c r="P33" i="202"/>
  <c r="O33" i="202"/>
  <c r="N33" i="202"/>
  <c r="M33" i="202"/>
  <c r="L33" i="202"/>
  <c r="K33" i="202"/>
  <c r="J33" i="202"/>
  <c r="I33" i="202"/>
  <c r="H33" i="202"/>
  <c r="G33" i="202"/>
  <c r="F33" i="202"/>
  <c r="E33" i="202"/>
  <c r="D33" i="202"/>
  <c r="C33" i="202"/>
  <c r="B33" i="202"/>
  <c r="AG32" i="202"/>
  <c r="AG31" i="202"/>
  <c r="AG30" i="202"/>
  <c r="AG29" i="202"/>
  <c r="AG28" i="202"/>
  <c r="AG27" i="202"/>
  <c r="AG26" i="202"/>
  <c r="AG25" i="202"/>
  <c r="AG24" i="202"/>
  <c r="AG23" i="202"/>
  <c r="AG22" i="202"/>
  <c r="AG21" i="202"/>
  <c r="AG20" i="202"/>
  <c r="AG19" i="202"/>
  <c r="AG18" i="202"/>
  <c r="AG17" i="202"/>
  <c r="AG16" i="202"/>
  <c r="AG15" i="202"/>
  <c r="AG14" i="202"/>
  <c r="AG13" i="202"/>
  <c r="AG12" i="202"/>
  <c r="AG11" i="202"/>
  <c r="AG10" i="202"/>
  <c r="AG9" i="202"/>
  <c r="AG8" i="202"/>
  <c r="AG7" i="202"/>
  <c r="AG6" i="202"/>
  <c r="AG5" i="202"/>
  <c r="AG4" i="202"/>
  <c r="AG3" i="202"/>
  <c r="J64" i="1" l="1"/>
  <c r="K64" i="1"/>
  <c r="S64" i="1"/>
  <c r="Y64" i="1"/>
  <c r="Z64" i="1"/>
  <c r="T64" i="1"/>
  <c r="R64" i="1"/>
  <c r="E64" i="1"/>
  <c r="AC64" i="1"/>
  <c r="O68" i="1"/>
  <c r="AE64" i="1"/>
  <c r="AG33" i="204"/>
  <c r="C75" i="1"/>
  <c r="C68" i="1"/>
  <c r="AG68" i="1" s="1"/>
  <c r="AD45" i="1"/>
  <c r="AG45" i="1" s="1"/>
  <c r="C47" i="1"/>
  <c r="AG34" i="209"/>
  <c r="AG34" i="220"/>
  <c r="AG33" i="211"/>
  <c r="AG33" i="205"/>
  <c r="AG34" i="219"/>
  <c r="AG33" i="220"/>
  <c r="AG33" i="202"/>
  <c r="AG34" i="208"/>
  <c r="AG33" i="213"/>
  <c r="AG34" i="218"/>
  <c r="AG33" i="218"/>
  <c r="AG34" i="202"/>
  <c r="AG34" i="210"/>
  <c r="AG33" i="212"/>
  <c r="AG36" i="216"/>
  <c r="AG35" i="216"/>
  <c r="AG33" i="222"/>
  <c r="AG34" i="225"/>
  <c r="AG34" i="206"/>
  <c r="AG34" i="211"/>
  <c r="AG33" i="209"/>
  <c r="AG34" i="204"/>
  <c r="AG33" i="206"/>
  <c r="AG34" i="212"/>
  <c r="AG34" i="222"/>
  <c r="AG33" i="224"/>
  <c r="AG34" i="224"/>
  <c r="AG33" i="226"/>
  <c r="AG34" i="223"/>
  <c r="AG34" i="226"/>
  <c r="AG35" i="203"/>
  <c r="AG33" i="208"/>
  <c r="AG36" i="203"/>
  <c r="AG33" i="210"/>
  <c r="AG33" i="219"/>
  <c r="AG34" i="205"/>
  <c r="AG35" i="217"/>
  <c r="AG34" i="217"/>
  <c r="AG35" i="223"/>
  <c r="AG33" i="225"/>
  <c r="AG34" i="221"/>
  <c r="AG35" i="221"/>
  <c r="AG34" i="213"/>
  <c r="AG34" i="214"/>
  <c r="AG33" i="214"/>
  <c r="AG34" i="207"/>
  <c r="AG33" i="207"/>
  <c r="AG34" i="227"/>
  <c r="AG33" i="227"/>
  <c r="AG36" i="215"/>
  <c r="AG35" i="215"/>
  <c r="AG32" i="201"/>
  <c r="AF81" i="1" s="1"/>
  <c r="AG31" i="201"/>
  <c r="AE81" i="1" s="1"/>
  <c r="AG30" i="201"/>
  <c r="AD81" i="1" s="1"/>
  <c r="AG29" i="201"/>
  <c r="AC81" i="1" s="1"/>
  <c r="AB81" i="1"/>
  <c r="AG27" i="201"/>
  <c r="AA81" i="1" s="1"/>
  <c r="AG26" i="201"/>
  <c r="Z81" i="1" s="1"/>
  <c r="AG25" i="201"/>
  <c r="Y81" i="1" s="1"/>
  <c r="AG24" i="201"/>
  <c r="X81" i="1" s="1"/>
  <c r="AG23" i="201"/>
  <c r="W81" i="1" s="1"/>
  <c r="AG22" i="201"/>
  <c r="V81" i="1" s="1"/>
  <c r="AG21" i="201"/>
  <c r="U81" i="1" s="1"/>
  <c r="AG20" i="201"/>
  <c r="T81" i="1" s="1"/>
  <c r="AG19" i="201"/>
  <c r="S81" i="1" s="1"/>
  <c r="AG18" i="201"/>
  <c r="R81" i="1" s="1"/>
  <c r="AG17" i="201"/>
  <c r="Q81" i="1" s="1"/>
  <c r="AG16" i="201"/>
  <c r="P81" i="1" s="1"/>
  <c r="AG15" i="201"/>
  <c r="O81" i="1" s="1"/>
  <c r="AG14" i="201"/>
  <c r="N81" i="1" s="1"/>
  <c r="AG13" i="201"/>
  <c r="M81" i="1" s="1"/>
  <c r="AG12" i="201"/>
  <c r="L81" i="1" s="1"/>
  <c r="AG11" i="201"/>
  <c r="K81" i="1" s="1"/>
  <c r="AG10" i="201"/>
  <c r="J81" i="1" s="1"/>
  <c r="AG9" i="201"/>
  <c r="I81" i="1" s="1"/>
  <c r="AG8" i="201"/>
  <c r="H81" i="1" s="1"/>
  <c r="AG7" i="201"/>
  <c r="G81" i="1" s="1"/>
  <c r="AG6" i="201"/>
  <c r="F81" i="1" s="1"/>
  <c r="AG5" i="201"/>
  <c r="AG4" i="201"/>
  <c r="D81" i="1" s="1"/>
  <c r="AG3" i="201"/>
  <c r="C81" i="1" s="1"/>
  <c r="E81" i="1" l="1"/>
  <c r="AG35" i="201"/>
  <c r="AG34" i="201"/>
  <c r="AG22" i="199" l="1"/>
  <c r="V82" i="1" s="1"/>
  <c r="AF33" i="199" l="1"/>
  <c r="AE33" i="199"/>
  <c r="AD33" i="199"/>
  <c r="AC33" i="199"/>
  <c r="AB33" i="199"/>
  <c r="AA33" i="199"/>
  <c r="Z33" i="199"/>
  <c r="Y33" i="199"/>
  <c r="X33" i="199"/>
  <c r="W33" i="199"/>
  <c r="V33" i="199"/>
  <c r="U33" i="199"/>
  <c r="T33" i="199"/>
  <c r="S33" i="199"/>
  <c r="R33" i="199"/>
  <c r="Q33" i="199"/>
  <c r="P33" i="199"/>
  <c r="O33" i="199"/>
  <c r="N33" i="199"/>
  <c r="M33" i="199"/>
  <c r="L33" i="199"/>
  <c r="K33" i="199"/>
  <c r="J33" i="199"/>
  <c r="I33" i="199"/>
  <c r="H33" i="199"/>
  <c r="G33" i="199"/>
  <c r="F33" i="199"/>
  <c r="E33" i="199"/>
  <c r="D33" i="199"/>
  <c r="C33" i="199"/>
  <c r="B33" i="199"/>
  <c r="AG32" i="199"/>
  <c r="AF82" i="1" s="1"/>
  <c r="AG31" i="199"/>
  <c r="AE82" i="1" s="1"/>
  <c r="AG30" i="199"/>
  <c r="AD82" i="1" s="1"/>
  <c r="AG29" i="199"/>
  <c r="AC82" i="1" s="1"/>
  <c r="AG28" i="199"/>
  <c r="AB82" i="1" s="1"/>
  <c r="AG27" i="199"/>
  <c r="AA82" i="1" s="1"/>
  <c r="AG26" i="199"/>
  <c r="Z82" i="1" s="1"/>
  <c r="AG25" i="199"/>
  <c r="Y82" i="1" s="1"/>
  <c r="AG24" i="199"/>
  <c r="X82" i="1" s="1"/>
  <c r="AG23" i="199"/>
  <c r="W82" i="1" s="1"/>
  <c r="AG21" i="199"/>
  <c r="U82" i="1" s="1"/>
  <c r="AG20" i="199"/>
  <c r="T82" i="1" s="1"/>
  <c r="AG19" i="199"/>
  <c r="S82" i="1" s="1"/>
  <c r="AG18" i="199"/>
  <c r="R82" i="1" s="1"/>
  <c r="AG17" i="199"/>
  <c r="Q82" i="1" s="1"/>
  <c r="AG16" i="199"/>
  <c r="P82" i="1" s="1"/>
  <c r="AG15" i="199"/>
  <c r="O82" i="1" s="1"/>
  <c r="AG14" i="199"/>
  <c r="N82" i="1" s="1"/>
  <c r="AG13" i="199"/>
  <c r="M82" i="1" s="1"/>
  <c r="AG12" i="199"/>
  <c r="L82" i="1" s="1"/>
  <c r="AG11" i="199"/>
  <c r="K82" i="1" s="1"/>
  <c r="AG10" i="199"/>
  <c r="J82" i="1" s="1"/>
  <c r="AG9" i="199"/>
  <c r="I82" i="1" s="1"/>
  <c r="AG8" i="199"/>
  <c r="H82" i="1" s="1"/>
  <c r="AG7" i="199"/>
  <c r="G82" i="1" s="1"/>
  <c r="AG6" i="199"/>
  <c r="F82" i="1" s="1"/>
  <c r="AG5" i="199"/>
  <c r="E82" i="1" s="1"/>
  <c r="AG4" i="199"/>
  <c r="D82" i="1" s="1"/>
  <c r="AG3" i="199"/>
  <c r="C82" i="1" s="1"/>
  <c r="AG32" i="198"/>
  <c r="AF80" i="1" s="1"/>
  <c r="AF33" i="198"/>
  <c r="AE33" i="198"/>
  <c r="AD33" i="198"/>
  <c r="AC33" i="198"/>
  <c r="AB33" i="198"/>
  <c r="AA33" i="198"/>
  <c r="Z33" i="198"/>
  <c r="Y33" i="198"/>
  <c r="X33" i="198"/>
  <c r="W33" i="198"/>
  <c r="V33" i="198"/>
  <c r="U33" i="198"/>
  <c r="T33" i="198"/>
  <c r="S33" i="198"/>
  <c r="R33" i="198"/>
  <c r="Q33" i="198"/>
  <c r="P33" i="198"/>
  <c r="O33" i="198"/>
  <c r="N33" i="198"/>
  <c r="M33" i="198"/>
  <c r="L33" i="198"/>
  <c r="K33" i="198"/>
  <c r="J33" i="198"/>
  <c r="I33" i="198"/>
  <c r="H33" i="198"/>
  <c r="G33" i="198"/>
  <c r="F33" i="198"/>
  <c r="E33" i="198"/>
  <c r="D33" i="198"/>
  <c r="C33" i="198"/>
  <c r="B33" i="198"/>
  <c r="AG31" i="198"/>
  <c r="AE80" i="1" s="1"/>
  <c r="AG30" i="198"/>
  <c r="AD80" i="1" s="1"/>
  <c r="AG29" i="198"/>
  <c r="AC80" i="1" s="1"/>
  <c r="AG28" i="198"/>
  <c r="AB80" i="1" s="1"/>
  <c r="AG27" i="198"/>
  <c r="AA80" i="1" s="1"/>
  <c r="AG26" i="198"/>
  <c r="Z80" i="1" s="1"/>
  <c r="AG25" i="198"/>
  <c r="Y80" i="1" s="1"/>
  <c r="AG24" i="198"/>
  <c r="X80" i="1" s="1"/>
  <c r="AG23" i="198"/>
  <c r="W80" i="1" s="1"/>
  <c r="AG22" i="198"/>
  <c r="V80" i="1" s="1"/>
  <c r="AG21" i="198"/>
  <c r="U80" i="1" s="1"/>
  <c r="AG20" i="198"/>
  <c r="T80" i="1" s="1"/>
  <c r="AG19" i="198"/>
  <c r="S80" i="1" s="1"/>
  <c r="AG18" i="198"/>
  <c r="R80" i="1" s="1"/>
  <c r="AG17" i="198"/>
  <c r="Q80" i="1" s="1"/>
  <c r="AG16" i="198"/>
  <c r="P80" i="1" s="1"/>
  <c r="AG15" i="198"/>
  <c r="O80" i="1" s="1"/>
  <c r="AG14" i="198"/>
  <c r="N80" i="1" s="1"/>
  <c r="AG13" i="198"/>
  <c r="M80" i="1" s="1"/>
  <c r="AG12" i="198"/>
  <c r="L80" i="1" s="1"/>
  <c r="AG11" i="198"/>
  <c r="K80" i="1" s="1"/>
  <c r="AG10" i="198"/>
  <c r="J80" i="1" s="1"/>
  <c r="AG9" i="198"/>
  <c r="I80" i="1" s="1"/>
  <c r="AG8" i="198"/>
  <c r="H80" i="1" s="1"/>
  <c r="AG7" i="198"/>
  <c r="G80" i="1" s="1"/>
  <c r="AG6" i="198"/>
  <c r="F80" i="1" s="1"/>
  <c r="AG5" i="198"/>
  <c r="E80" i="1" s="1"/>
  <c r="AG4" i="198"/>
  <c r="D80" i="1" s="1"/>
  <c r="AG3" i="198"/>
  <c r="C80" i="1" s="1"/>
  <c r="AG22" i="197"/>
  <c r="V79" i="1" s="1"/>
  <c r="AF33" i="197"/>
  <c r="AE33" i="197"/>
  <c r="AD33" i="197"/>
  <c r="AC33" i="197"/>
  <c r="AB33" i="197"/>
  <c r="AA33" i="197"/>
  <c r="Z33" i="197"/>
  <c r="Y33" i="197"/>
  <c r="X33" i="197"/>
  <c r="W33" i="197"/>
  <c r="V33" i="197"/>
  <c r="U33" i="197"/>
  <c r="T33" i="197"/>
  <c r="S33" i="197"/>
  <c r="R33" i="197"/>
  <c r="Q33" i="197"/>
  <c r="P33" i="197"/>
  <c r="O33" i="197"/>
  <c r="N33" i="197"/>
  <c r="M33" i="197"/>
  <c r="L33" i="197"/>
  <c r="K33" i="197"/>
  <c r="J33" i="197"/>
  <c r="I33" i="197"/>
  <c r="H33" i="197"/>
  <c r="G33" i="197"/>
  <c r="F33" i="197"/>
  <c r="E33" i="197"/>
  <c r="D33" i="197"/>
  <c r="C33" i="197"/>
  <c r="B33" i="197"/>
  <c r="AG32" i="197"/>
  <c r="AF79" i="1" s="1"/>
  <c r="AG31" i="197"/>
  <c r="AE79" i="1" s="1"/>
  <c r="AG30" i="197"/>
  <c r="AD79" i="1" s="1"/>
  <c r="AG29" i="197"/>
  <c r="AC79" i="1" s="1"/>
  <c r="AG28" i="197"/>
  <c r="AB79" i="1" s="1"/>
  <c r="AG27" i="197"/>
  <c r="AA79" i="1" s="1"/>
  <c r="AG26" i="197"/>
  <c r="Z79" i="1" s="1"/>
  <c r="AG25" i="197"/>
  <c r="Y79" i="1" s="1"/>
  <c r="AG24" i="197"/>
  <c r="X79" i="1" s="1"/>
  <c r="AG23" i="197"/>
  <c r="W79" i="1" s="1"/>
  <c r="AG21" i="197"/>
  <c r="U79" i="1" s="1"/>
  <c r="AG20" i="197"/>
  <c r="T79" i="1" s="1"/>
  <c r="AG19" i="197"/>
  <c r="S79" i="1" s="1"/>
  <c r="AG18" i="197"/>
  <c r="R79" i="1" s="1"/>
  <c r="AG17" i="197"/>
  <c r="Q79" i="1" s="1"/>
  <c r="AG16" i="197"/>
  <c r="P79" i="1" s="1"/>
  <c r="AG15" i="197"/>
  <c r="O79" i="1" s="1"/>
  <c r="AG14" i="197"/>
  <c r="N79" i="1" s="1"/>
  <c r="AG13" i="197"/>
  <c r="M79" i="1" s="1"/>
  <c r="AG12" i="197"/>
  <c r="L79" i="1" s="1"/>
  <c r="AG11" i="197"/>
  <c r="K79" i="1" s="1"/>
  <c r="AG10" i="197"/>
  <c r="J79" i="1" s="1"/>
  <c r="AG9" i="197"/>
  <c r="I79" i="1" s="1"/>
  <c r="AG8" i="197"/>
  <c r="H79" i="1" s="1"/>
  <c r="AG7" i="197"/>
  <c r="G79" i="1" s="1"/>
  <c r="AG6" i="197"/>
  <c r="F79" i="1" s="1"/>
  <c r="AG5" i="197"/>
  <c r="E79" i="1" s="1"/>
  <c r="AG4" i="197"/>
  <c r="D79" i="1" s="1"/>
  <c r="AG3" i="197"/>
  <c r="C79" i="1" s="1"/>
  <c r="AG34" i="199" l="1"/>
  <c r="AG33" i="199"/>
  <c r="AG34" i="198"/>
  <c r="AG33" i="198"/>
  <c r="AG33" i="197"/>
  <c r="AG34" i="197"/>
  <c r="AG39" i="156"/>
  <c r="AG38" i="70"/>
  <c r="M49" i="161" l="1"/>
  <c r="AG13" i="70" l="1"/>
  <c r="AF35" i="165" l="1"/>
  <c r="AE35" i="165"/>
  <c r="AD35" i="165"/>
  <c r="AC35" i="165"/>
  <c r="AB35" i="165"/>
  <c r="AA35" i="165"/>
  <c r="Z35" i="165"/>
  <c r="Y35" i="165"/>
  <c r="X35" i="165"/>
  <c r="W35" i="165"/>
  <c r="V35" i="165"/>
  <c r="U35" i="165"/>
  <c r="T35" i="165"/>
  <c r="S35" i="165"/>
  <c r="R35" i="165"/>
  <c r="Q35" i="165"/>
  <c r="P35" i="165"/>
  <c r="O35" i="165"/>
  <c r="N35" i="165"/>
  <c r="M35" i="165"/>
  <c r="L35" i="165"/>
  <c r="K35" i="165"/>
  <c r="J35" i="165"/>
  <c r="I35" i="165"/>
  <c r="H35" i="165"/>
  <c r="G35" i="165"/>
  <c r="F35" i="165"/>
  <c r="E35" i="165"/>
  <c r="D35" i="165"/>
  <c r="C35" i="165"/>
  <c r="B35" i="165"/>
  <c r="AG34" i="165"/>
  <c r="AG33" i="165"/>
  <c r="AG32" i="165"/>
  <c r="AG31" i="165"/>
  <c r="AG30" i="165"/>
  <c r="AG29" i="165"/>
  <c r="AG28" i="165"/>
  <c r="AG27" i="165"/>
  <c r="AG26" i="165"/>
  <c r="AG25" i="165"/>
  <c r="AG24" i="165"/>
  <c r="AG23" i="165"/>
  <c r="AG22" i="165"/>
  <c r="AG21" i="165"/>
  <c r="AG20" i="165"/>
  <c r="AG19" i="165"/>
  <c r="AG18" i="165"/>
  <c r="AG17" i="165"/>
  <c r="AG16" i="165"/>
  <c r="AG15" i="165"/>
  <c r="AG14" i="165"/>
  <c r="AG13" i="165"/>
  <c r="AG12" i="165"/>
  <c r="AG11" i="165"/>
  <c r="AG10" i="165"/>
  <c r="AG9" i="165"/>
  <c r="AG8" i="165"/>
  <c r="AG7" i="165"/>
  <c r="AG6" i="165"/>
  <c r="AG5" i="165"/>
  <c r="AG4" i="165"/>
  <c r="AG3" i="165"/>
  <c r="AF33" i="164"/>
  <c r="AE33" i="164"/>
  <c r="AD33" i="164"/>
  <c r="AC33" i="164"/>
  <c r="AB33" i="164"/>
  <c r="AA33" i="164"/>
  <c r="Z33" i="164"/>
  <c r="Y33" i="164"/>
  <c r="X33" i="164"/>
  <c r="W33" i="164"/>
  <c r="V33" i="164"/>
  <c r="U33" i="164"/>
  <c r="T33" i="164"/>
  <c r="S33" i="164"/>
  <c r="R33" i="164"/>
  <c r="Q33" i="164"/>
  <c r="P33" i="164"/>
  <c r="O33" i="164"/>
  <c r="N33" i="164"/>
  <c r="M33" i="164"/>
  <c r="L33" i="164"/>
  <c r="K33" i="164"/>
  <c r="J33" i="164"/>
  <c r="I33" i="164"/>
  <c r="H33" i="164"/>
  <c r="G33" i="164"/>
  <c r="F33" i="164"/>
  <c r="E33" i="164"/>
  <c r="D33" i="164"/>
  <c r="C33" i="164"/>
  <c r="B33" i="164"/>
  <c r="AG32" i="164"/>
  <c r="AG31" i="164"/>
  <c r="AG30" i="164"/>
  <c r="AG29" i="164"/>
  <c r="AG28" i="164"/>
  <c r="AG27" i="164"/>
  <c r="AG26" i="164"/>
  <c r="AG25" i="164"/>
  <c r="AG24" i="164"/>
  <c r="AG23" i="164"/>
  <c r="AG22" i="164"/>
  <c r="AG21" i="164"/>
  <c r="AG20" i="164"/>
  <c r="AG19" i="164"/>
  <c r="AG18" i="164"/>
  <c r="AG17" i="164"/>
  <c r="AG16" i="164"/>
  <c r="AG15" i="164"/>
  <c r="AG14" i="164"/>
  <c r="AG13" i="164"/>
  <c r="AG12" i="164"/>
  <c r="AG11" i="164"/>
  <c r="AG10" i="164"/>
  <c r="AG9" i="164"/>
  <c r="AG8" i="164"/>
  <c r="AG7" i="164"/>
  <c r="AG6" i="164"/>
  <c r="AG5" i="164"/>
  <c r="AG4" i="164"/>
  <c r="AG3" i="164"/>
  <c r="D35" i="162"/>
  <c r="AF37" i="163"/>
  <c r="AE37" i="163"/>
  <c r="AD37" i="163"/>
  <c r="AC37" i="163"/>
  <c r="AB37" i="163"/>
  <c r="AA37" i="163"/>
  <c r="Z37" i="163"/>
  <c r="Y37" i="163"/>
  <c r="X37" i="163"/>
  <c r="W37" i="163"/>
  <c r="V37" i="163"/>
  <c r="U37" i="163"/>
  <c r="T37" i="163"/>
  <c r="S37" i="163"/>
  <c r="R37" i="163"/>
  <c r="Q37" i="163"/>
  <c r="P37" i="163"/>
  <c r="O37" i="163"/>
  <c r="N37" i="163"/>
  <c r="M37" i="163"/>
  <c r="L37" i="163"/>
  <c r="K37" i="163"/>
  <c r="J37" i="163"/>
  <c r="I37" i="163"/>
  <c r="H37" i="163"/>
  <c r="G37" i="163"/>
  <c r="F37" i="163"/>
  <c r="E37" i="163"/>
  <c r="D37" i="163"/>
  <c r="C37" i="163"/>
  <c r="B37" i="163"/>
  <c r="AG34" i="163"/>
  <c r="AF18" i="1" s="1"/>
  <c r="AG33" i="163"/>
  <c r="AE18" i="1" s="1"/>
  <c r="AG32" i="163"/>
  <c r="AD18" i="1" s="1"/>
  <c r="AG31" i="163"/>
  <c r="AC18" i="1" s="1"/>
  <c r="AG30" i="163"/>
  <c r="AB18" i="1" s="1"/>
  <c r="AG29" i="163"/>
  <c r="AA18" i="1" s="1"/>
  <c r="AG28" i="163"/>
  <c r="Z18" i="1" s="1"/>
  <c r="AG27" i="163"/>
  <c r="Y18" i="1" s="1"/>
  <c r="AG26" i="163"/>
  <c r="X18" i="1" s="1"/>
  <c r="AG25" i="163"/>
  <c r="W18" i="1" s="1"/>
  <c r="AG24" i="163"/>
  <c r="V18" i="1" s="1"/>
  <c r="AG23" i="163"/>
  <c r="U18" i="1" s="1"/>
  <c r="AG22" i="163"/>
  <c r="T18" i="1" s="1"/>
  <c r="AG21" i="163"/>
  <c r="S18" i="1" s="1"/>
  <c r="AG20" i="163"/>
  <c r="R18" i="1" s="1"/>
  <c r="AG19" i="163"/>
  <c r="Q18" i="1" s="1"/>
  <c r="AG18" i="163"/>
  <c r="P18" i="1" s="1"/>
  <c r="AG17" i="163"/>
  <c r="O18" i="1" s="1"/>
  <c r="AG16" i="163"/>
  <c r="N18" i="1" s="1"/>
  <c r="AG15" i="163"/>
  <c r="M18" i="1" s="1"/>
  <c r="AG14" i="163"/>
  <c r="AG13" i="163"/>
  <c r="L18" i="1" s="1"/>
  <c r="AG12" i="163"/>
  <c r="AG11" i="163"/>
  <c r="K18" i="1" s="1"/>
  <c r="AG10" i="163"/>
  <c r="J18" i="1" s="1"/>
  <c r="AG9" i="163"/>
  <c r="I18" i="1" s="1"/>
  <c r="AG8" i="163"/>
  <c r="H18" i="1" s="1"/>
  <c r="AG7" i="163"/>
  <c r="G18" i="1" s="1"/>
  <c r="AG6" i="163"/>
  <c r="F18" i="1" s="1"/>
  <c r="AG5" i="163"/>
  <c r="E18" i="1" s="1"/>
  <c r="AG4" i="163"/>
  <c r="D18" i="1" s="1"/>
  <c r="AG3" i="163"/>
  <c r="C18" i="1" s="1"/>
  <c r="AF35" i="162"/>
  <c r="AE35" i="162"/>
  <c r="AD35" i="162"/>
  <c r="AC35" i="162"/>
  <c r="AB35" i="162"/>
  <c r="AA35" i="162"/>
  <c r="Z35" i="162"/>
  <c r="Y35" i="162"/>
  <c r="X35" i="162"/>
  <c r="W35" i="162"/>
  <c r="V35" i="162"/>
  <c r="U35" i="162"/>
  <c r="T35" i="162"/>
  <c r="S35" i="162"/>
  <c r="R35" i="162"/>
  <c r="Q35" i="162"/>
  <c r="P35" i="162"/>
  <c r="O35" i="162"/>
  <c r="N35" i="162"/>
  <c r="M35" i="162"/>
  <c r="L35" i="162"/>
  <c r="K35" i="162"/>
  <c r="J35" i="162"/>
  <c r="I35" i="162"/>
  <c r="H35" i="162"/>
  <c r="G35" i="162"/>
  <c r="F35" i="162"/>
  <c r="E35" i="162"/>
  <c r="C35" i="162"/>
  <c r="B35" i="162"/>
  <c r="AF19" i="1"/>
  <c r="AC19" i="1"/>
  <c r="AB19" i="1"/>
  <c r="AA19" i="1"/>
  <c r="Z19" i="1"/>
  <c r="Y19" i="1"/>
  <c r="X19" i="1"/>
  <c r="W19" i="1"/>
  <c r="V19" i="1"/>
  <c r="U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AG6" i="162"/>
  <c r="E19" i="1"/>
  <c r="D19" i="1"/>
  <c r="C19" i="1"/>
  <c r="F19" i="1" l="1"/>
  <c r="AG36" i="162"/>
  <c r="AG35" i="162"/>
  <c r="T19" i="1"/>
  <c r="AG36" i="165"/>
  <c r="AG35" i="165"/>
  <c r="AG34" i="164"/>
  <c r="AG33" i="164"/>
  <c r="AG38" i="163"/>
  <c r="AG37" i="163"/>
  <c r="AF36" i="161"/>
  <c r="AE36" i="161"/>
  <c r="AD36" i="161"/>
  <c r="AC36" i="161"/>
  <c r="AB36" i="161"/>
  <c r="AA36" i="161"/>
  <c r="Z36" i="161"/>
  <c r="Y36" i="161"/>
  <c r="X36" i="161"/>
  <c r="W36" i="161"/>
  <c r="V36" i="161"/>
  <c r="U36" i="161"/>
  <c r="T36" i="161"/>
  <c r="S36" i="161"/>
  <c r="R36" i="161"/>
  <c r="Q36" i="161"/>
  <c r="P36" i="161"/>
  <c r="O36" i="161"/>
  <c r="N36" i="161"/>
  <c r="M36" i="161"/>
  <c r="L36" i="161"/>
  <c r="K36" i="161"/>
  <c r="J36" i="161"/>
  <c r="I36" i="161"/>
  <c r="H36" i="161"/>
  <c r="G36" i="161"/>
  <c r="F36" i="161"/>
  <c r="E36" i="161"/>
  <c r="D36" i="161"/>
  <c r="C36" i="161"/>
  <c r="B36" i="161"/>
  <c r="AG35" i="161"/>
  <c r="AG33" i="161"/>
  <c r="AG32" i="161"/>
  <c r="AF11" i="1" s="1"/>
  <c r="AG31" i="161"/>
  <c r="AE11" i="1" s="1"/>
  <c r="AG30" i="161"/>
  <c r="AD11" i="1" s="1"/>
  <c r="AG29" i="161"/>
  <c r="AC11" i="1" s="1"/>
  <c r="AG28" i="161"/>
  <c r="AB11" i="1" s="1"/>
  <c r="AG27" i="161"/>
  <c r="AA11" i="1" s="1"/>
  <c r="AG26" i="161"/>
  <c r="Z11" i="1" s="1"/>
  <c r="AG25" i="161"/>
  <c r="Y11" i="1" s="1"/>
  <c r="AG24" i="161"/>
  <c r="X11" i="1" s="1"/>
  <c r="AG23" i="161"/>
  <c r="W11" i="1" s="1"/>
  <c r="AG22" i="161"/>
  <c r="V11" i="1" s="1"/>
  <c r="AG21" i="161"/>
  <c r="U11" i="1" s="1"/>
  <c r="AG20" i="161"/>
  <c r="T11" i="1" s="1"/>
  <c r="AG19" i="161"/>
  <c r="S11" i="1" s="1"/>
  <c r="AG18" i="161"/>
  <c r="R11" i="1" s="1"/>
  <c r="AG17" i="161"/>
  <c r="Q11" i="1" s="1"/>
  <c r="AG16" i="161"/>
  <c r="P11" i="1" s="1"/>
  <c r="AG15" i="161"/>
  <c r="O11" i="1" s="1"/>
  <c r="AG14" i="161"/>
  <c r="N11" i="1" s="1"/>
  <c r="AG13" i="161"/>
  <c r="M11" i="1" s="1"/>
  <c r="AG12" i="161"/>
  <c r="L11" i="1" s="1"/>
  <c r="AG11" i="161"/>
  <c r="K11" i="1" s="1"/>
  <c r="AG10" i="161"/>
  <c r="J11" i="1" s="1"/>
  <c r="AG9" i="161"/>
  <c r="I11" i="1" s="1"/>
  <c r="AG8" i="161"/>
  <c r="H11" i="1" s="1"/>
  <c r="AG7" i="161"/>
  <c r="G11" i="1" s="1"/>
  <c r="AG6" i="161"/>
  <c r="F11" i="1" s="1"/>
  <c r="AG5" i="161"/>
  <c r="E11" i="1" s="1"/>
  <c r="AG4" i="161"/>
  <c r="D11" i="1" s="1"/>
  <c r="AG3" i="161"/>
  <c r="C11" i="1" s="1"/>
  <c r="AF35" i="160"/>
  <c r="AE35" i="160"/>
  <c r="AD35" i="160"/>
  <c r="AC35" i="160"/>
  <c r="AB35" i="160"/>
  <c r="AA35" i="160"/>
  <c r="Z35" i="160"/>
  <c r="Y35" i="160"/>
  <c r="X35" i="160"/>
  <c r="W35" i="160"/>
  <c r="V35" i="160"/>
  <c r="U35" i="160"/>
  <c r="T35" i="160"/>
  <c r="S35" i="160"/>
  <c r="R35" i="160"/>
  <c r="Q35" i="160"/>
  <c r="P35" i="160"/>
  <c r="O35" i="160"/>
  <c r="N35" i="160"/>
  <c r="M35" i="160"/>
  <c r="L35" i="160"/>
  <c r="K35" i="160"/>
  <c r="J35" i="160"/>
  <c r="I35" i="160"/>
  <c r="H35" i="160"/>
  <c r="G35" i="160"/>
  <c r="F35" i="160"/>
  <c r="E35" i="160"/>
  <c r="D35" i="160"/>
  <c r="C35" i="160"/>
  <c r="B35" i="160"/>
  <c r="AG31" i="160"/>
  <c r="AE12" i="1" s="1"/>
  <c r="AG30" i="160"/>
  <c r="AD12" i="1" s="1"/>
  <c r="AG29" i="160"/>
  <c r="AC12" i="1" s="1"/>
  <c r="AG28" i="160"/>
  <c r="AB12" i="1" s="1"/>
  <c r="AG27" i="160"/>
  <c r="AA12" i="1" s="1"/>
  <c r="AG26" i="160"/>
  <c r="Z12" i="1" s="1"/>
  <c r="AG25" i="160"/>
  <c r="Y12" i="1" s="1"/>
  <c r="AG24" i="160"/>
  <c r="X12" i="1" s="1"/>
  <c r="AG23" i="160"/>
  <c r="W12" i="1" s="1"/>
  <c r="AG22" i="160"/>
  <c r="V12" i="1" s="1"/>
  <c r="AG21" i="160"/>
  <c r="U12" i="1" s="1"/>
  <c r="AG20" i="160"/>
  <c r="T12" i="1" s="1"/>
  <c r="AG19" i="160"/>
  <c r="S12" i="1" s="1"/>
  <c r="AG18" i="160"/>
  <c r="R12" i="1" s="1"/>
  <c r="AG17" i="160"/>
  <c r="Q12" i="1" s="1"/>
  <c r="AG16" i="160"/>
  <c r="P12" i="1" s="1"/>
  <c r="AG15" i="160"/>
  <c r="O12" i="1" s="1"/>
  <c r="AG14" i="160"/>
  <c r="N12" i="1" s="1"/>
  <c r="AG13" i="160"/>
  <c r="M12" i="1" s="1"/>
  <c r="AG12" i="160"/>
  <c r="L12" i="1" s="1"/>
  <c r="AG11" i="160"/>
  <c r="K12" i="1" s="1"/>
  <c r="AG10" i="160"/>
  <c r="J12" i="1" s="1"/>
  <c r="AG9" i="160"/>
  <c r="I12" i="1" s="1"/>
  <c r="AG8" i="160"/>
  <c r="H12" i="1" s="1"/>
  <c r="AG7" i="160"/>
  <c r="G12" i="1" s="1"/>
  <c r="AG6" i="160"/>
  <c r="AG5" i="160"/>
  <c r="E12" i="1" s="1"/>
  <c r="AG4" i="160"/>
  <c r="D12" i="1" s="1"/>
  <c r="AG3" i="160"/>
  <c r="C12" i="1" s="1"/>
  <c r="AG22" i="158"/>
  <c r="AF33" i="159"/>
  <c r="AE33" i="159"/>
  <c r="AD33" i="159"/>
  <c r="AC33" i="159"/>
  <c r="AB33" i="159"/>
  <c r="AA33" i="159"/>
  <c r="Z33" i="159"/>
  <c r="Y33" i="159"/>
  <c r="X33" i="159"/>
  <c r="W33" i="159"/>
  <c r="V33" i="159"/>
  <c r="U33" i="159"/>
  <c r="T33" i="159"/>
  <c r="S33" i="159"/>
  <c r="R33" i="159"/>
  <c r="Q33" i="159"/>
  <c r="P33" i="159"/>
  <c r="O33" i="159"/>
  <c r="N33" i="159"/>
  <c r="M33" i="159"/>
  <c r="L33" i="159"/>
  <c r="K33" i="159"/>
  <c r="J33" i="159"/>
  <c r="I33" i="159"/>
  <c r="H33" i="159"/>
  <c r="G33" i="159"/>
  <c r="F33" i="159"/>
  <c r="E33" i="159"/>
  <c r="D33" i="159"/>
  <c r="C33" i="159"/>
  <c r="B33" i="159"/>
  <c r="AG32" i="159"/>
  <c r="AG31" i="159"/>
  <c r="AG30" i="159"/>
  <c r="AG29" i="159"/>
  <c r="AG28" i="159"/>
  <c r="AG27" i="159"/>
  <c r="AG26" i="159"/>
  <c r="AG25" i="159"/>
  <c r="AG24" i="159"/>
  <c r="AG23" i="159"/>
  <c r="AG22" i="159"/>
  <c r="AG21" i="159"/>
  <c r="AG20" i="159"/>
  <c r="AG19" i="159"/>
  <c r="AG18" i="159"/>
  <c r="AG17" i="159"/>
  <c r="AG16" i="159"/>
  <c r="AG15" i="159"/>
  <c r="AG14" i="159"/>
  <c r="AG13" i="159"/>
  <c r="AG12" i="159"/>
  <c r="AG11" i="159"/>
  <c r="AG10" i="159"/>
  <c r="AG9" i="159"/>
  <c r="AG8" i="159"/>
  <c r="AG7" i="159"/>
  <c r="AG6" i="159"/>
  <c r="AG5" i="159"/>
  <c r="AG4" i="159"/>
  <c r="AG3" i="159"/>
  <c r="AG13" i="156"/>
  <c r="M16" i="1" s="1"/>
  <c r="AF33" i="158"/>
  <c r="AE33" i="158"/>
  <c r="AD33" i="158"/>
  <c r="AC33" i="158"/>
  <c r="AB33" i="158"/>
  <c r="AA33" i="158"/>
  <c r="Z33" i="158"/>
  <c r="Y33" i="158"/>
  <c r="X33" i="158"/>
  <c r="W33" i="158"/>
  <c r="V33" i="158"/>
  <c r="U33" i="158"/>
  <c r="T33" i="158"/>
  <c r="S33" i="158"/>
  <c r="R33" i="158"/>
  <c r="Q33" i="158"/>
  <c r="P33" i="158"/>
  <c r="O33" i="158"/>
  <c r="N33" i="158"/>
  <c r="M33" i="158"/>
  <c r="L33" i="158"/>
  <c r="K33" i="158"/>
  <c r="J33" i="158"/>
  <c r="I33" i="158"/>
  <c r="H33" i="158"/>
  <c r="G33" i="158"/>
  <c r="F33" i="158"/>
  <c r="E33" i="158"/>
  <c r="D33" i="158"/>
  <c r="C33" i="158"/>
  <c r="B33" i="158"/>
  <c r="AG32" i="158"/>
  <c r="AG31" i="158"/>
  <c r="AG30" i="158"/>
  <c r="AG29" i="158"/>
  <c r="AG28" i="158"/>
  <c r="AG27" i="158"/>
  <c r="AG26" i="158"/>
  <c r="AG25" i="158"/>
  <c r="AG24" i="158"/>
  <c r="AG23" i="158"/>
  <c r="AG21" i="158"/>
  <c r="AG20" i="158"/>
  <c r="AG19" i="158"/>
  <c r="AG18" i="158"/>
  <c r="AG17" i="158"/>
  <c r="AG16" i="158"/>
  <c r="AG15" i="158"/>
  <c r="AG14" i="158"/>
  <c r="AG13" i="158"/>
  <c r="AG12" i="158"/>
  <c r="AG11" i="158"/>
  <c r="AG10" i="158"/>
  <c r="AG9" i="158"/>
  <c r="AG8" i="158"/>
  <c r="AG7" i="158"/>
  <c r="AG6" i="158"/>
  <c r="AG5" i="158"/>
  <c r="AG4" i="158"/>
  <c r="AG3" i="158"/>
  <c r="F12" i="1" l="1"/>
  <c r="AG36" i="160"/>
  <c r="AG35" i="160"/>
  <c r="AG34" i="158"/>
  <c r="AG33" i="159"/>
  <c r="AG34" i="159"/>
  <c r="AG37" i="161"/>
  <c r="AG36" i="161"/>
  <c r="AG33" i="158"/>
  <c r="AF34" i="157"/>
  <c r="AE34" i="157"/>
  <c r="AD34" i="157"/>
  <c r="AC34" i="157"/>
  <c r="AB34" i="157"/>
  <c r="AA34" i="157"/>
  <c r="Z34" i="157"/>
  <c r="Y34" i="157"/>
  <c r="X34" i="157"/>
  <c r="W34" i="157"/>
  <c r="V34" i="157"/>
  <c r="U34" i="157"/>
  <c r="T34" i="157"/>
  <c r="S34" i="157"/>
  <c r="R34" i="157"/>
  <c r="Q34" i="157"/>
  <c r="P34" i="157"/>
  <c r="O34" i="157"/>
  <c r="N34" i="157"/>
  <c r="M34" i="157"/>
  <c r="L34" i="157"/>
  <c r="K34" i="157"/>
  <c r="J34" i="157"/>
  <c r="I34" i="157"/>
  <c r="H34" i="157"/>
  <c r="G34" i="157"/>
  <c r="F34" i="157"/>
  <c r="E34" i="157"/>
  <c r="D34" i="157"/>
  <c r="C34" i="157"/>
  <c r="B34" i="157"/>
  <c r="AG33" i="157"/>
  <c r="AF9" i="1" s="1"/>
  <c r="AG32" i="157"/>
  <c r="AE9" i="1" s="1"/>
  <c r="AG31" i="157"/>
  <c r="AD9" i="1" s="1"/>
  <c r="AG30" i="157"/>
  <c r="AC9" i="1" s="1"/>
  <c r="AG29" i="157"/>
  <c r="AB9" i="1" s="1"/>
  <c r="AG28" i="157"/>
  <c r="AA9" i="1" s="1"/>
  <c r="AG27" i="157"/>
  <c r="Z9" i="1" s="1"/>
  <c r="AG26" i="157"/>
  <c r="Y9" i="1" s="1"/>
  <c r="AG25" i="157"/>
  <c r="X9" i="1" s="1"/>
  <c r="AG24" i="157"/>
  <c r="W9" i="1" s="1"/>
  <c r="AG23" i="157"/>
  <c r="V9" i="1" s="1"/>
  <c r="AG22" i="157"/>
  <c r="U9" i="1" s="1"/>
  <c r="AG21" i="157"/>
  <c r="T9" i="1" s="1"/>
  <c r="AG20" i="157"/>
  <c r="S9" i="1" s="1"/>
  <c r="AG19" i="157"/>
  <c r="R9" i="1" s="1"/>
  <c r="AG18" i="157"/>
  <c r="Q9" i="1" s="1"/>
  <c r="AG17" i="157"/>
  <c r="P9" i="1" s="1"/>
  <c r="AG16" i="157"/>
  <c r="O9" i="1" s="1"/>
  <c r="AG15" i="157"/>
  <c r="N9" i="1" s="1"/>
  <c r="AG14" i="157"/>
  <c r="M9" i="1" s="1"/>
  <c r="AG13" i="157"/>
  <c r="L9" i="1" s="1"/>
  <c r="AG11" i="157"/>
  <c r="K9" i="1" s="1"/>
  <c r="AG10" i="157"/>
  <c r="J9" i="1" s="1"/>
  <c r="AG9" i="157"/>
  <c r="I9" i="1" s="1"/>
  <c r="AG8" i="157"/>
  <c r="H9" i="1" s="1"/>
  <c r="AG7" i="157"/>
  <c r="G9" i="1" s="1"/>
  <c r="AG6" i="157"/>
  <c r="F9" i="1" s="1"/>
  <c r="AG5" i="157"/>
  <c r="E9" i="1" s="1"/>
  <c r="AG4" i="157"/>
  <c r="D9" i="1" s="1"/>
  <c r="AG3" i="157"/>
  <c r="C9" i="1" s="1"/>
  <c r="AG9" i="156"/>
  <c r="I16" i="1" s="1"/>
  <c r="AG10" i="156"/>
  <c r="J16" i="1" s="1"/>
  <c r="AG11" i="156"/>
  <c r="K16" i="1" s="1"/>
  <c r="AG12" i="156"/>
  <c r="L16" i="1" s="1"/>
  <c r="AG14" i="156"/>
  <c r="N16" i="1" s="1"/>
  <c r="AG15" i="156"/>
  <c r="O16" i="1" s="1"/>
  <c r="AG16" i="156"/>
  <c r="P16" i="1" s="1"/>
  <c r="AG17" i="156"/>
  <c r="Q16" i="1" s="1"/>
  <c r="AG18" i="156"/>
  <c r="R16" i="1" s="1"/>
  <c r="AG19" i="156"/>
  <c r="S16" i="1" s="1"/>
  <c r="AG20" i="156"/>
  <c r="T16" i="1" s="1"/>
  <c r="AG21" i="156"/>
  <c r="U16" i="1" s="1"/>
  <c r="AG22" i="156"/>
  <c r="V16" i="1" s="1"/>
  <c r="AG23" i="156"/>
  <c r="W16" i="1" s="1"/>
  <c r="AG24" i="156"/>
  <c r="X16" i="1" s="1"/>
  <c r="AG25" i="156"/>
  <c r="Y16" i="1" s="1"/>
  <c r="AG26" i="156"/>
  <c r="Z16" i="1" s="1"/>
  <c r="AG27" i="156"/>
  <c r="AA16" i="1" s="1"/>
  <c r="AG28" i="156"/>
  <c r="AB16" i="1" s="1"/>
  <c r="AG29" i="156"/>
  <c r="AC16" i="1" s="1"/>
  <c r="AG30" i="156"/>
  <c r="AD16" i="1" s="1"/>
  <c r="AG31" i="156"/>
  <c r="AE16" i="1" s="1"/>
  <c r="AG32" i="156"/>
  <c r="AF16" i="1" s="1"/>
  <c r="AF33" i="156"/>
  <c r="AE33" i="156"/>
  <c r="AD33" i="156"/>
  <c r="AC33" i="156"/>
  <c r="AB33" i="156"/>
  <c r="AA33" i="156"/>
  <c r="Z33" i="156"/>
  <c r="Y33" i="156"/>
  <c r="X33" i="156"/>
  <c r="W33" i="156"/>
  <c r="V33" i="156"/>
  <c r="U33" i="156"/>
  <c r="T33" i="156"/>
  <c r="S33" i="156"/>
  <c r="R33" i="156"/>
  <c r="Q33" i="156"/>
  <c r="P33" i="156"/>
  <c r="O33" i="156"/>
  <c r="N33" i="156"/>
  <c r="M33" i="156"/>
  <c r="L33" i="156"/>
  <c r="K33" i="156"/>
  <c r="J33" i="156"/>
  <c r="I33" i="156"/>
  <c r="H33" i="156"/>
  <c r="G33" i="156"/>
  <c r="F33" i="156"/>
  <c r="E33" i="156"/>
  <c r="D33" i="156"/>
  <c r="C33" i="156"/>
  <c r="B33" i="156"/>
  <c r="AG8" i="156"/>
  <c r="H16" i="1" s="1"/>
  <c r="AG7" i="156"/>
  <c r="G16" i="1" s="1"/>
  <c r="AG6" i="156"/>
  <c r="F16" i="1" s="1"/>
  <c r="AG5" i="156"/>
  <c r="E16" i="1" s="1"/>
  <c r="AG4" i="156"/>
  <c r="D16" i="1" s="1"/>
  <c r="AG3" i="156"/>
  <c r="C16" i="1" s="1"/>
  <c r="AG35" i="157" l="1"/>
  <c r="AG34" i="157"/>
  <c r="AG34" i="156"/>
  <c r="AG33" i="156"/>
  <c r="AF33" i="155" l="1"/>
  <c r="AE33" i="155"/>
  <c r="AD33" i="155"/>
  <c r="AC33" i="155"/>
  <c r="AB33" i="155"/>
  <c r="AA33" i="155"/>
  <c r="Z33" i="155"/>
  <c r="Y33" i="155"/>
  <c r="X33" i="155"/>
  <c r="W33" i="155"/>
  <c r="V33" i="155"/>
  <c r="U33" i="155"/>
  <c r="T33" i="155"/>
  <c r="S33" i="155"/>
  <c r="R33" i="155"/>
  <c r="Q33" i="155"/>
  <c r="P33" i="155"/>
  <c r="O33" i="155"/>
  <c r="N33" i="155"/>
  <c r="M33" i="155"/>
  <c r="L33" i="155"/>
  <c r="K33" i="155"/>
  <c r="J33" i="155"/>
  <c r="I33" i="155"/>
  <c r="H33" i="155"/>
  <c r="G33" i="155"/>
  <c r="F33" i="155"/>
  <c r="E33" i="155"/>
  <c r="D33" i="155"/>
  <c r="C33" i="155"/>
  <c r="B33" i="155"/>
  <c r="AG32" i="155"/>
  <c r="AG31" i="155"/>
  <c r="AG30" i="155"/>
  <c r="AG29" i="155"/>
  <c r="AG28" i="155"/>
  <c r="AG27" i="155"/>
  <c r="AG26" i="155"/>
  <c r="AG25" i="155"/>
  <c r="AG24" i="155"/>
  <c r="AG23" i="155"/>
  <c r="AG22" i="155"/>
  <c r="AG21" i="155"/>
  <c r="AG20" i="155"/>
  <c r="AG19" i="155"/>
  <c r="AG18" i="155"/>
  <c r="AG17" i="155"/>
  <c r="AG16" i="155"/>
  <c r="AG15" i="155"/>
  <c r="AG14" i="155"/>
  <c r="AG13" i="155"/>
  <c r="AG12" i="155"/>
  <c r="AG11" i="155"/>
  <c r="AG10" i="155"/>
  <c r="AG9" i="155"/>
  <c r="AG8" i="155"/>
  <c r="AG7" i="155"/>
  <c r="AG6" i="155"/>
  <c r="AG5" i="155"/>
  <c r="AG4" i="155"/>
  <c r="AG3" i="155"/>
  <c r="AG8" i="153"/>
  <c r="H17" i="1" s="1"/>
  <c r="AF33" i="154"/>
  <c r="AE33" i="154"/>
  <c r="AD33" i="154"/>
  <c r="AC33" i="154"/>
  <c r="AB33" i="154"/>
  <c r="AA33" i="154"/>
  <c r="Z33" i="154"/>
  <c r="Y33" i="154"/>
  <c r="X33" i="154"/>
  <c r="W33" i="154"/>
  <c r="V33" i="154"/>
  <c r="U33" i="154"/>
  <c r="T33" i="154"/>
  <c r="S33" i="154"/>
  <c r="R33" i="154"/>
  <c r="Q33" i="154"/>
  <c r="P33" i="154"/>
  <c r="O33" i="154"/>
  <c r="N33" i="154"/>
  <c r="M33" i="154"/>
  <c r="L33" i="154"/>
  <c r="K33" i="154"/>
  <c r="J33" i="154"/>
  <c r="I33" i="154"/>
  <c r="H33" i="154"/>
  <c r="G33" i="154"/>
  <c r="F33" i="154"/>
  <c r="E33" i="154"/>
  <c r="D33" i="154"/>
  <c r="C33" i="154"/>
  <c r="B33" i="154"/>
  <c r="AG32" i="154"/>
  <c r="AG31" i="154"/>
  <c r="AG30" i="154"/>
  <c r="AG29" i="154"/>
  <c r="AG28" i="154"/>
  <c r="AG27" i="154"/>
  <c r="AG26" i="154"/>
  <c r="AG25" i="154"/>
  <c r="AG24" i="154"/>
  <c r="AG23" i="154"/>
  <c r="AG22" i="154"/>
  <c r="AG21" i="154"/>
  <c r="AG20" i="154"/>
  <c r="AG19" i="154"/>
  <c r="AG18" i="154"/>
  <c r="AG17" i="154"/>
  <c r="AG16" i="154"/>
  <c r="AG15" i="154"/>
  <c r="AG14" i="154"/>
  <c r="AG13" i="154"/>
  <c r="AG12" i="154"/>
  <c r="AG11" i="154"/>
  <c r="AG10" i="154"/>
  <c r="AG9" i="154"/>
  <c r="AG8" i="154"/>
  <c r="AG7" i="154"/>
  <c r="AG6" i="154"/>
  <c r="AG5" i="154"/>
  <c r="AG4" i="154"/>
  <c r="AG3" i="154"/>
  <c r="AF33" i="153"/>
  <c r="AE33" i="153"/>
  <c r="AD33" i="153"/>
  <c r="AC33" i="153"/>
  <c r="AB33" i="153"/>
  <c r="AA33" i="153"/>
  <c r="Z33" i="153"/>
  <c r="Y33" i="153"/>
  <c r="X33" i="153"/>
  <c r="W33" i="153"/>
  <c r="V33" i="153"/>
  <c r="U33" i="153"/>
  <c r="T33" i="153"/>
  <c r="S33" i="153"/>
  <c r="R33" i="153"/>
  <c r="Q33" i="153"/>
  <c r="P33" i="153"/>
  <c r="O33" i="153"/>
  <c r="N33" i="153"/>
  <c r="M33" i="153"/>
  <c r="L33" i="153"/>
  <c r="K33" i="153"/>
  <c r="J33" i="153"/>
  <c r="I33" i="153"/>
  <c r="H33" i="153"/>
  <c r="G33" i="153"/>
  <c r="F33" i="153"/>
  <c r="E33" i="153"/>
  <c r="D33" i="153"/>
  <c r="C33" i="153"/>
  <c r="B33" i="153"/>
  <c r="AG32" i="153"/>
  <c r="AF17" i="1" s="1"/>
  <c r="AG31" i="153"/>
  <c r="AE17" i="1" s="1"/>
  <c r="AG30" i="153"/>
  <c r="AD17" i="1" s="1"/>
  <c r="AG29" i="153"/>
  <c r="AC17" i="1" s="1"/>
  <c r="AG28" i="153"/>
  <c r="AB17" i="1" s="1"/>
  <c r="AG27" i="153"/>
  <c r="AA17" i="1" s="1"/>
  <c r="AG26" i="153"/>
  <c r="Z17" i="1" s="1"/>
  <c r="AG25" i="153"/>
  <c r="Y17" i="1" s="1"/>
  <c r="AG24" i="153"/>
  <c r="X17" i="1" s="1"/>
  <c r="AG23" i="153"/>
  <c r="W17" i="1" s="1"/>
  <c r="AG22" i="153"/>
  <c r="V17" i="1" s="1"/>
  <c r="AG21" i="153"/>
  <c r="U17" i="1" s="1"/>
  <c r="AG20" i="153"/>
  <c r="T17" i="1" s="1"/>
  <c r="AG19" i="153"/>
  <c r="S17" i="1" s="1"/>
  <c r="AG18" i="153"/>
  <c r="R17" i="1" s="1"/>
  <c r="AG17" i="153"/>
  <c r="Q17" i="1" s="1"/>
  <c r="AG16" i="153"/>
  <c r="P17" i="1" s="1"/>
  <c r="AG15" i="153"/>
  <c r="O17" i="1" s="1"/>
  <c r="AG14" i="153"/>
  <c r="N17" i="1" s="1"/>
  <c r="AG13" i="153"/>
  <c r="M17" i="1" s="1"/>
  <c r="AG12" i="153"/>
  <c r="L17" i="1" s="1"/>
  <c r="AG11" i="153"/>
  <c r="K17" i="1" s="1"/>
  <c r="AG10" i="153"/>
  <c r="J17" i="1" s="1"/>
  <c r="AG9" i="153"/>
  <c r="I17" i="1" s="1"/>
  <c r="AG7" i="153"/>
  <c r="G17" i="1" s="1"/>
  <c r="AG6" i="153"/>
  <c r="F17" i="1" s="1"/>
  <c r="AG5" i="153"/>
  <c r="E17" i="1" s="1"/>
  <c r="AG4" i="153"/>
  <c r="D17" i="1" s="1"/>
  <c r="AG3" i="153"/>
  <c r="C17" i="1" s="1"/>
  <c r="AF33" i="152"/>
  <c r="AE33" i="152"/>
  <c r="AD33" i="152"/>
  <c r="AC33" i="152"/>
  <c r="AB33" i="152"/>
  <c r="AA33" i="152"/>
  <c r="Z33" i="152"/>
  <c r="Y33" i="152"/>
  <c r="X33" i="152"/>
  <c r="W33" i="152"/>
  <c r="V33" i="152"/>
  <c r="U33" i="152"/>
  <c r="T33" i="152"/>
  <c r="S33" i="152"/>
  <c r="R33" i="152"/>
  <c r="Q33" i="152"/>
  <c r="P33" i="152"/>
  <c r="O33" i="152"/>
  <c r="N33" i="152"/>
  <c r="M33" i="152"/>
  <c r="L33" i="152"/>
  <c r="K33" i="152"/>
  <c r="J33" i="152"/>
  <c r="I33" i="152"/>
  <c r="H33" i="152"/>
  <c r="G33" i="152"/>
  <c r="F33" i="152"/>
  <c r="E33" i="152"/>
  <c r="D33" i="152"/>
  <c r="C33" i="152"/>
  <c r="B33" i="152"/>
  <c r="AG32" i="152"/>
  <c r="AF10" i="1" s="1"/>
  <c r="AG31" i="152"/>
  <c r="AE10" i="1" s="1"/>
  <c r="AG30" i="152"/>
  <c r="AD10" i="1" s="1"/>
  <c r="AG29" i="152"/>
  <c r="AC10" i="1" s="1"/>
  <c r="AG28" i="152"/>
  <c r="AB10" i="1" s="1"/>
  <c r="AG27" i="152"/>
  <c r="AA10" i="1" s="1"/>
  <c r="AG26" i="152"/>
  <c r="Z10" i="1" s="1"/>
  <c r="AG25" i="152"/>
  <c r="Y10" i="1" s="1"/>
  <c r="AG24" i="152"/>
  <c r="X10" i="1" s="1"/>
  <c r="AG23" i="152"/>
  <c r="W10" i="1" s="1"/>
  <c r="AG22" i="152"/>
  <c r="V10" i="1" s="1"/>
  <c r="AG21" i="152"/>
  <c r="U10" i="1" s="1"/>
  <c r="AG20" i="152"/>
  <c r="T10" i="1" s="1"/>
  <c r="AG19" i="152"/>
  <c r="S10" i="1" s="1"/>
  <c r="AG18" i="152"/>
  <c r="R10" i="1" s="1"/>
  <c r="AG17" i="152"/>
  <c r="Q10" i="1" s="1"/>
  <c r="AG16" i="152"/>
  <c r="P10" i="1" s="1"/>
  <c r="AG15" i="152"/>
  <c r="O10" i="1" s="1"/>
  <c r="AG14" i="152"/>
  <c r="N10" i="1" s="1"/>
  <c r="AG13" i="152"/>
  <c r="M10" i="1" s="1"/>
  <c r="AG12" i="152"/>
  <c r="L10" i="1" s="1"/>
  <c r="AG11" i="152"/>
  <c r="K10" i="1" s="1"/>
  <c r="AG10" i="152"/>
  <c r="J10" i="1" s="1"/>
  <c r="AG9" i="152"/>
  <c r="I10" i="1" s="1"/>
  <c r="AG8" i="152"/>
  <c r="H10" i="1" s="1"/>
  <c r="AG7" i="152"/>
  <c r="G10" i="1" s="1"/>
  <c r="AG6" i="152"/>
  <c r="F10" i="1" s="1"/>
  <c r="AG5" i="152"/>
  <c r="E10" i="1" s="1"/>
  <c r="AG4" i="152"/>
  <c r="D10" i="1" s="1"/>
  <c r="AG3" i="152"/>
  <c r="C10" i="1" s="1"/>
  <c r="AG33" i="155" l="1"/>
  <c r="AG34" i="155"/>
  <c r="AG34" i="152"/>
  <c r="AG33" i="152"/>
  <c r="AG33" i="154"/>
  <c r="AG34" i="154"/>
  <c r="AG34" i="153"/>
  <c r="AG33" i="153"/>
  <c r="AG9" i="72"/>
  <c r="B20" i="149" l="1"/>
  <c r="AG32" i="151" l="1"/>
  <c r="AF83" i="1" s="1"/>
  <c r="AG31" i="151"/>
  <c r="AE83" i="1" s="1"/>
  <c r="AG30" i="151"/>
  <c r="AD83" i="1" s="1"/>
  <c r="AG29" i="151"/>
  <c r="AC83" i="1" s="1"/>
  <c r="AG28" i="151"/>
  <c r="AB83" i="1" s="1"/>
  <c r="AG27" i="151"/>
  <c r="AA83" i="1" s="1"/>
  <c r="AG26" i="151"/>
  <c r="Z83" i="1" s="1"/>
  <c r="AG25" i="151"/>
  <c r="Y83" i="1" s="1"/>
  <c r="AG24" i="151"/>
  <c r="X83" i="1" s="1"/>
  <c r="AG23" i="151"/>
  <c r="W83" i="1" s="1"/>
  <c r="AG22" i="151"/>
  <c r="V83" i="1" s="1"/>
  <c r="AG21" i="151"/>
  <c r="U83" i="1" s="1"/>
  <c r="AG20" i="151"/>
  <c r="T83" i="1" s="1"/>
  <c r="AG19" i="151"/>
  <c r="S83" i="1" s="1"/>
  <c r="AG18" i="151"/>
  <c r="R83" i="1" s="1"/>
  <c r="AG17" i="151"/>
  <c r="Q83" i="1" s="1"/>
  <c r="AG16" i="151"/>
  <c r="P83" i="1" s="1"/>
  <c r="AG15" i="151"/>
  <c r="O83" i="1" s="1"/>
  <c r="AG14" i="151"/>
  <c r="N83" i="1" s="1"/>
  <c r="AG13" i="151"/>
  <c r="M83" i="1" s="1"/>
  <c r="AG12" i="151"/>
  <c r="L83" i="1" s="1"/>
  <c r="AG11" i="151"/>
  <c r="K83" i="1" s="1"/>
  <c r="AG10" i="151"/>
  <c r="J83" i="1" s="1"/>
  <c r="AG9" i="151"/>
  <c r="I83" i="1" s="1"/>
  <c r="AG8" i="151"/>
  <c r="H83" i="1" s="1"/>
  <c r="AG7" i="151"/>
  <c r="G83" i="1" s="1"/>
  <c r="AG6" i="151"/>
  <c r="F83" i="1" s="1"/>
  <c r="AG5" i="151"/>
  <c r="AG4" i="151"/>
  <c r="D83" i="1" s="1"/>
  <c r="AG3" i="151"/>
  <c r="C83" i="1" s="1"/>
  <c r="AF33" i="150"/>
  <c r="AE33" i="150"/>
  <c r="AD33" i="150"/>
  <c r="AC33" i="150"/>
  <c r="AB33" i="150"/>
  <c r="AA33" i="150"/>
  <c r="Z33" i="150"/>
  <c r="Y33" i="150"/>
  <c r="X33" i="150"/>
  <c r="W33" i="150"/>
  <c r="V33" i="150"/>
  <c r="U33" i="150"/>
  <c r="T33" i="150"/>
  <c r="S33" i="150"/>
  <c r="R33" i="150"/>
  <c r="Q33" i="150"/>
  <c r="P33" i="150"/>
  <c r="O33" i="150"/>
  <c r="N33" i="150"/>
  <c r="M33" i="150"/>
  <c r="L33" i="150"/>
  <c r="K33" i="150"/>
  <c r="J33" i="150"/>
  <c r="I33" i="150"/>
  <c r="H33" i="150"/>
  <c r="G33" i="150"/>
  <c r="F33" i="150"/>
  <c r="E33" i="150"/>
  <c r="D33" i="150"/>
  <c r="C33" i="150"/>
  <c r="B33" i="150"/>
  <c r="AG32" i="150"/>
  <c r="AG31" i="150"/>
  <c r="AG30" i="150"/>
  <c r="AG29" i="150"/>
  <c r="AG28" i="150"/>
  <c r="AG27" i="150"/>
  <c r="AG26" i="150"/>
  <c r="AG25" i="150"/>
  <c r="AG24" i="150"/>
  <c r="AG23" i="150"/>
  <c r="AG22" i="150"/>
  <c r="AG21" i="150"/>
  <c r="AG20" i="150"/>
  <c r="AG19" i="150"/>
  <c r="AG18" i="150"/>
  <c r="AG17" i="150"/>
  <c r="AG16" i="150"/>
  <c r="AG15" i="150"/>
  <c r="AG14" i="150"/>
  <c r="AG13" i="150"/>
  <c r="AG12" i="150"/>
  <c r="AG11" i="150"/>
  <c r="AG10" i="150"/>
  <c r="AG9" i="150"/>
  <c r="AG8" i="150"/>
  <c r="AG7" i="150"/>
  <c r="AG6" i="150"/>
  <c r="AG5" i="150"/>
  <c r="AG4" i="150"/>
  <c r="AG3" i="150"/>
  <c r="AF33" i="149"/>
  <c r="AE33" i="149"/>
  <c r="AD33" i="149"/>
  <c r="AC33" i="149"/>
  <c r="AB33" i="149"/>
  <c r="AA33" i="149"/>
  <c r="Z33" i="149"/>
  <c r="Y33" i="149"/>
  <c r="X33" i="149"/>
  <c r="W33" i="149"/>
  <c r="V33" i="149"/>
  <c r="U33" i="149"/>
  <c r="T33" i="149"/>
  <c r="S33" i="149"/>
  <c r="R33" i="149"/>
  <c r="Q33" i="149"/>
  <c r="P33" i="149"/>
  <c r="O33" i="149"/>
  <c r="N33" i="149"/>
  <c r="M33" i="149"/>
  <c r="L33" i="149"/>
  <c r="K33" i="149"/>
  <c r="J33" i="149"/>
  <c r="I33" i="149"/>
  <c r="H33" i="149"/>
  <c r="G33" i="149"/>
  <c r="F33" i="149"/>
  <c r="E33" i="149"/>
  <c r="D33" i="149"/>
  <c r="C33" i="149"/>
  <c r="B33" i="149"/>
  <c r="AG32" i="149"/>
  <c r="AG31" i="149"/>
  <c r="AG30" i="149"/>
  <c r="AG29" i="149"/>
  <c r="AG28" i="149"/>
  <c r="AG27" i="149"/>
  <c r="AG26" i="149"/>
  <c r="AG25" i="149"/>
  <c r="AG24" i="149"/>
  <c r="AG23" i="149"/>
  <c r="AG22" i="149"/>
  <c r="AG21" i="149"/>
  <c r="AG20" i="149"/>
  <c r="AG19" i="149"/>
  <c r="AG18" i="149"/>
  <c r="AG17" i="149"/>
  <c r="AG16" i="149"/>
  <c r="AG15" i="149"/>
  <c r="AG14" i="149"/>
  <c r="AG13" i="149"/>
  <c r="AG12" i="149"/>
  <c r="AG11" i="149"/>
  <c r="AG10" i="149"/>
  <c r="AG9" i="149"/>
  <c r="AG8" i="149"/>
  <c r="AG7" i="149"/>
  <c r="AG6" i="149"/>
  <c r="AG5" i="149"/>
  <c r="AG4" i="149"/>
  <c r="AG3" i="149"/>
  <c r="AF33" i="148"/>
  <c r="AE33" i="148"/>
  <c r="AD33" i="148"/>
  <c r="AC33" i="148"/>
  <c r="AB33" i="148"/>
  <c r="AA33" i="148"/>
  <c r="Z33" i="148"/>
  <c r="Y33" i="148"/>
  <c r="X33" i="148"/>
  <c r="W33" i="148"/>
  <c r="V33" i="148"/>
  <c r="U33" i="148"/>
  <c r="T33" i="148"/>
  <c r="S33" i="148"/>
  <c r="R33" i="148"/>
  <c r="Q33" i="148"/>
  <c r="P33" i="148"/>
  <c r="O33" i="148"/>
  <c r="N33" i="148"/>
  <c r="M33" i="148"/>
  <c r="L33" i="148"/>
  <c r="K33" i="148"/>
  <c r="J33" i="148"/>
  <c r="I33" i="148"/>
  <c r="H33" i="148"/>
  <c r="G33" i="148"/>
  <c r="F33" i="148"/>
  <c r="E33" i="148"/>
  <c r="D33" i="148"/>
  <c r="C33" i="148"/>
  <c r="B33" i="148"/>
  <c r="AG32" i="148"/>
  <c r="AG31" i="148"/>
  <c r="AG30" i="148"/>
  <c r="AG29" i="148"/>
  <c r="AG28" i="148"/>
  <c r="AG27" i="148"/>
  <c r="AG26" i="148"/>
  <c r="AG25" i="148"/>
  <c r="AG24" i="148"/>
  <c r="AG23" i="148"/>
  <c r="AG22" i="148"/>
  <c r="AG21" i="148"/>
  <c r="AG20" i="148"/>
  <c r="AG19" i="148"/>
  <c r="AG18" i="148"/>
  <c r="AG17" i="148"/>
  <c r="AG16" i="148"/>
  <c r="AG15" i="148"/>
  <c r="AG14" i="148"/>
  <c r="AG13" i="148"/>
  <c r="AG12" i="148"/>
  <c r="AG11" i="148"/>
  <c r="AG10" i="148"/>
  <c r="AG9" i="148"/>
  <c r="AG8" i="148"/>
  <c r="AG7" i="148"/>
  <c r="AG6" i="148"/>
  <c r="AG5" i="148"/>
  <c r="AG4" i="148"/>
  <c r="AG3" i="148"/>
  <c r="AF33" i="147"/>
  <c r="AB33" i="147"/>
  <c r="W33" i="147"/>
  <c r="Q33" i="147"/>
  <c r="P33" i="147"/>
  <c r="C33" i="147"/>
  <c r="AG32" i="147"/>
  <c r="AG31" i="147"/>
  <c r="AG30" i="147"/>
  <c r="AG29" i="147"/>
  <c r="AG28" i="147"/>
  <c r="AG27" i="147"/>
  <c r="AG26" i="147"/>
  <c r="AG25" i="147"/>
  <c r="AG24" i="147"/>
  <c r="AG23" i="147"/>
  <c r="AG22" i="147"/>
  <c r="AG21" i="147"/>
  <c r="AG20" i="147"/>
  <c r="AG19" i="147"/>
  <c r="AG18" i="147"/>
  <c r="AG17" i="147"/>
  <c r="AG16" i="147"/>
  <c r="AG15" i="147"/>
  <c r="AG14" i="147"/>
  <c r="AG13" i="147"/>
  <c r="AG11" i="147"/>
  <c r="AG10" i="147"/>
  <c r="AG9" i="147"/>
  <c r="AG8" i="147"/>
  <c r="AG7" i="147"/>
  <c r="AG6" i="147"/>
  <c r="AG5" i="147"/>
  <c r="AG4" i="147"/>
  <c r="AE33" i="147"/>
  <c r="AD33" i="147"/>
  <c r="AC33" i="147"/>
  <c r="AA33" i="147"/>
  <c r="Z33" i="147"/>
  <c r="Y33" i="147"/>
  <c r="X33" i="147"/>
  <c r="V33" i="147"/>
  <c r="U33" i="147"/>
  <c r="T33" i="147"/>
  <c r="S33" i="147"/>
  <c r="R33" i="147"/>
  <c r="O33" i="147"/>
  <c r="N33" i="147"/>
  <c r="M33" i="147"/>
  <c r="L33" i="147"/>
  <c r="K33" i="147"/>
  <c r="J33" i="147"/>
  <c r="I33" i="147"/>
  <c r="H33" i="147"/>
  <c r="G33" i="147"/>
  <c r="F33" i="147"/>
  <c r="E33" i="147"/>
  <c r="D33" i="147"/>
  <c r="B33" i="147"/>
  <c r="E83" i="1" l="1"/>
  <c r="AG35" i="151"/>
  <c r="AG34" i="148"/>
  <c r="AG33" i="148"/>
  <c r="AG33" i="150"/>
  <c r="AG34" i="150"/>
  <c r="AG34" i="151"/>
  <c r="AG34" i="149"/>
  <c r="AG33" i="149"/>
  <c r="AG33" i="147"/>
  <c r="AG3" i="147"/>
  <c r="AG34" i="147" l="1"/>
  <c r="D17" i="56"/>
  <c r="AE20" i="143" l="1"/>
  <c r="AD20" i="143"/>
  <c r="AC20" i="143"/>
  <c r="AB20" i="143"/>
  <c r="AA20" i="143"/>
  <c r="Z20" i="143"/>
  <c r="Y20" i="143"/>
  <c r="X20" i="143"/>
  <c r="W20" i="143"/>
  <c r="V20" i="143"/>
  <c r="U20" i="143"/>
  <c r="T20" i="143"/>
  <c r="S20" i="143"/>
  <c r="R20" i="143"/>
  <c r="Q20" i="143"/>
  <c r="P20" i="143"/>
  <c r="O20" i="143"/>
  <c r="N20" i="143"/>
  <c r="M20" i="143"/>
  <c r="L21" i="143"/>
  <c r="L20" i="143"/>
  <c r="K20" i="143"/>
  <c r="J20" i="143"/>
  <c r="I20" i="143"/>
  <c r="H20" i="143"/>
  <c r="G20" i="143"/>
  <c r="F20" i="143"/>
  <c r="D20" i="143"/>
  <c r="C20" i="143"/>
  <c r="B20" i="143"/>
  <c r="AE3" i="142" l="1"/>
  <c r="AD3" i="142"/>
  <c r="AC3" i="142"/>
  <c r="AA3" i="142"/>
  <c r="Z3" i="142"/>
  <c r="Y3" i="142"/>
  <c r="X3" i="142"/>
  <c r="V3" i="142"/>
  <c r="U3" i="142"/>
  <c r="T3" i="142"/>
  <c r="S3" i="142"/>
  <c r="R3" i="142"/>
  <c r="O3" i="142"/>
  <c r="N3" i="142"/>
  <c r="M3" i="142"/>
  <c r="L3" i="142"/>
  <c r="K3" i="142"/>
  <c r="J3" i="142"/>
  <c r="I3" i="142"/>
  <c r="H3" i="142"/>
  <c r="G3" i="142"/>
  <c r="F3" i="142"/>
  <c r="E3" i="142"/>
  <c r="D3" i="142"/>
  <c r="B3" i="142"/>
  <c r="AF34" i="146" l="1"/>
  <c r="AE34" i="146"/>
  <c r="AD34" i="146"/>
  <c r="AC34" i="146"/>
  <c r="AB34" i="146"/>
  <c r="AA34" i="146"/>
  <c r="Z34" i="146"/>
  <c r="Y34" i="146"/>
  <c r="X34" i="146"/>
  <c r="W34" i="146"/>
  <c r="V34" i="146"/>
  <c r="U34" i="146"/>
  <c r="T34" i="146"/>
  <c r="S34" i="146"/>
  <c r="R34" i="146"/>
  <c r="Q34" i="146"/>
  <c r="P34" i="146"/>
  <c r="O34" i="146"/>
  <c r="N34" i="146"/>
  <c r="M34" i="146"/>
  <c r="L34" i="146"/>
  <c r="K34" i="146"/>
  <c r="J34" i="146"/>
  <c r="I34" i="146"/>
  <c r="H34" i="146"/>
  <c r="G34" i="146"/>
  <c r="F34" i="146"/>
  <c r="E34" i="146"/>
  <c r="D34" i="146"/>
  <c r="C34" i="146"/>
  <c r="B34" i="146"/>
  <c r="AG33" i="146"/>
  <c r="AG31" i="146"/>
  <c r="AE76" i="1" s="1"/>
  <c r="AG30" i="146"/>
  <c r="AG29" i="146"/>
  <c r="AC76" i="1" s="1"/>
  <c r="AC78" i="1" s="1"/>
  <c r="AG28" i="146"/>
  <c r="AB76" i="1" s="1"/>
  <c r="AG27" i="146"/>
  <c r="AA76" i="1" s="1"/>
  <c r="AG26" i="146"/>
  <c r="Z76" i="1" s="1"/>
  <c r="AG25" i="146"/>
  <c r="Y76" i="1" s="1"/>
  <c r="AG24" i="146"/>
  <c r="X76" i="1" s="1"/>
  <c r="AG23" i="146"/>
  <c r="W76" i="1" s="1"/>
  <c r="AG22" i="146"/>
  <c r="V76" i="1" s="1"/>
  <c r="AG21" i="146"/>
  <c r="U76" i="1" s="1"/>
  <c r="AG20" i="146"/>
  <c r="T76" i="1" s="1"/>
  <c r="AG19" i="146"/>
  <c r="S76" i="1" s="1"/>
  <c r="AG18" i="146"/>
  <c r="R76" i="1" s="1"/>
  <c r="AG17" i="146"/>
  <c r="Q76" i="1" s="1"/>
  <c r="AG16" i="146"/>
  <c r="P76" i="1" s="1"/>
  <c r="P78" i="1" s="1"/>
  <c r="AG15" i="146"/>
  <c r="O76" i="1" s="1"/>
  <c r="AG14" i="146"/>
  <c r="N76" i="1" s="1"/>
  <c r="AG13" i="146"/>
  <c r="M76" i="1" s="1"/>
  <c r="AG12" i="146"/>
  <c r="L76" i="1" s="1"/>
  <c r="AG11" i="146"/>
  <c r="K76" i="1" s="1"/>
  <c r="K78" i="1" s="1"/>
  <c r="AG10" i="146"/>
  <c r="J76" i="1" s="1"/>
  <c r="J78" i="1" s="1"/>
  <c r="AG9" i="146"/>
  <c r="I76" i="1" s="1"/>
  <c r="AG8" i="146"/>
  <c r="H76" i="1" s="1"/>
  <c r="AG7" i="146"/>
  <c r="G76" i="1" s="1"/>
  <c r="AG6" i="146"/>
  <c r="F76" i="1" s="1"/>
  <c r="F78" i="1" s="1"/>
  <c r="AG5" i="146"/>
  <c r="E76" i="1" s="1"/>
  <c r="AG4" i="146"/>
  <c r="D76" i="1" s="1"/>
  <c r="AG3" i="146"/>
  <c r="C76" i="1" s="1"/>
  <c r="AF33" i="145"/>
  <c r="AE33" i="145"/>
  <c r="AD33" i="145"/>
  <c r="AC33" i="145"/>
  <c r="AB33" i="145"/>
  <c r="AA33" i="145"/>
  <c r="Z33" i="145"/>
  <c r="Y33" i="145"/>
  <c r="X33" i="145"/>
  <c r="W33" i="145"/>
  <c r="V33" i="145"/>
  <c r="U33" i="145"/>
  <c r="T33" i="145"/>
  <c r="S33" i="145"/>
  <c r="R33" i="145"/>
  <c r="Q33" i="145"/>
  <c r="P33" i="145"/>
  <c r="O33" i="145"/>
  <c r="N33" i="145"/>
  <c r="M33" i="145"/>
  <c r="L33" i="145"/>
  <c r="K33" i="145"/>
  <c r="J33" i="145"/>
  <c r="I33" i="145"/>
  <c r="H33" i="145"/>
  <c r="G33" i="145"/>
  <c r="F33" i="145"/>
  <c r="E33" i="145"/>
  <c r="D33" i="145"/>
  <c r="C33" i="145"/>
  <c r="B33" i="145"/>
  <c r="AG32" i="145"/>
  <c r="AG31" i="145"/>
  <c r="AG30" i="145"/>
  <c r="AG29" i="145"/>
  <c r="AG28" i="145"/>
  <c r="AG27" i="145"/>
  <c r="AG26" i="145"/>
  <c r="AG25" i="145"/>
  <c r="AG24" i="145"/>
  <c r="AG23" i="145"/>
  <c r="AG22" i="145"/>
  <c r="AG21" i="145"/>
  <c r="AG20" i="145"/>
  <c r="AG19" i="145"/>
  <c r="AG18" i="145"/>
  <c r="AG17" i="145"/>
  <c r="AG16" i="145"/>
  <c r="AG15" i="145"/>
  <c r="AG14" i="145"/>
  <c r="AG13" i="145"/>
  <c r="AG12" i="145"/>
  <c r="AG11" i="145"/>
  <c r="AG10" i="145"/>
  <c r="AG9" i="145"/>
  <c r="AG8" i="145"/>
  <c r="AG7" i="145"/>
  <c r="AG6" i="145"/>
  <c r="AG5" i="145"/>
  <c r="AG4" i="145"/>
  <c r="AG3" i="145"/>
  <c r="AF33" i="144"/>
  <c r="AE33" i="144"/>
  <c r="AA33" i="144"/>
  <c r="Y33" i="144"/>
  <c r="V33" i="144"/>
  <c r="S33" i="144"/>
  <c r="P33" i="144"/>
  <c r="N33" i="144"/>
  <c r="K33" i="144"/>
  <c r="H33" i="144"/>
  <c r="F33" i="144"/>
  <c r="E33" i="144"/>
  <c r="C33" i="144"/>
  <c r="B33" i="144"/>
  <c r="AG32" i="144"/>
  <c r="AG31" i="144"/>
  <c r="AE78" i="1" s="1"/>
  <c r="AG30" i="144"/>
  <c r="AD33" i="144"/>
  <c r="AC33" i="144"/>
  <c r="AB33" i="144"/>
  <c r="Z33" i="144"/>
  <c r="X33" i="144"/>
  <c r="W33" i="144"/>
  <c r="U33" i="144"/>
  <c r="T33" i="144"/>
  <c r="R33" i="144"/>
  <c r="Q33" i="144"/>
  <c r="O33" i="144"/>
  <c r="M33" i="144"/>
  <c r="L33" i="144"/>
  <c r="J33" i="144"/>
  <c r="I33" i="144"/>
  <c r="G33" i="144"/>
  <c r="D33" i="144"/>
  <c r="AG28" i="144"/>
  <c r="AG27" i="144"/>
  <c r="AG26" i="144"/>
  <c r="AG25" i="144"/>
  <c r="AG24" i="144"/>
  <c r="AG23" i="144"/>
  <c r="AG22" i="144"/>
  <c r="V78" i="1" s="1"/>
  <c r="AG21" i="144"/>
  <c r="AG20" i="144"/>
  <c r="AG19" i="144"/>
  <c r="AG18" i="144"/>
  <c r="AG17" i="144"/>
  <c r="AG16" i="144"/>
  <c r="AG15" i="144"/>
  <c r="AG14" i="144"/>
  <c r="AG13" i="144"/>
  <c r="AG12" i="144"/>
  <c r="AG11" i="144"/>
  <c r="AG10" i="144"/>
  <c r="AG9" i="144"/>
  <c r="AG8" i="144"/>
  <c r="AG7" i="144"/>
  <c r="AG6" i="144"/>
  <c r="AG5" i="144"/>
  <c r="AG4" i="144"/>
  <c r="AG3" i="144"/>
  <c r="AF33" i="143"/>
  <c r="AE33" i="143"/>
  <c r="AD33" i="143"/>
  <c r="AC33" i="143"/>
  <c r="AB33" i="143"/>
  <c r="AA33" i="143"/>
  <c r="Z33" i="143"/>
  <c r="Y33" i="143"/>
  <c r="X33" i="143"/>
  <c r="W33" i="143"/>
  <c r="V33" i="143"/>
  <c r="U33" i="143"/>
  <c r="T33" i="143"/>
  <c r="S33" i="143"/>
  <c r="R33" i="143"/>
  <c r="Q33" i="143"/>
  <c r="P33" i="143"/>
  <c r="O33" i="143"/>
  <c r="N33" i="143"/>
  <c r="M33" i="143"/>
  <c r="L33" i="143"/>
  <c r="K33" i="143"/>
  <c r="J33" i="143"/>
  <c r="I33" i="143"/>
  <c r="H33" i="143"/>
  <c r="G33" i="143"/>
  <c r="F33" i="143"/>
  <c r="E33" i="143"/>
  <c r="D33" i="143"/>
  <c r="C33" i="143"/>
  <c r="B33" i="143"/>
  <c r="AG32" i="143"/>
  <c r="AG31" i="143"/>
  <c r="AG30" i="143"/>
  <c r="AG29" i="143"/>
  <c r="AG28" i="143"/>
  <c r="AG27" i="143"/>
  <c r="AG26" i="143"/>
  <c r="AG25" i="143"/>
  <c r="AG24" i="143"/>
  <c r="AG23" i="143"/>
  <c r="AG22" i="143"/>
  <c r="AG21" i="143"/>
  <c r="AG20" i="143"/>
  <c r="AG19" i="143"/>
  <c r="AG18" i="143"/>
  <c r="AG17" i="143"/>
  <c r="AG16" i="143"/>
  <c r="AG15" i="143"/>
  <c r="AG14" i="143"/>
  <c r="AG13" i="143"/>
  <c r="AG12" i="143"/>
  <c r="AG11" i="143"/>
  <c r="AG10" i="143"/>
  <c r="AG9" i="143"/>
  <c r="AG8" i="143"/>
  <c r="AG7" i="143"/>
  <c r="AG6" i="143"/>
  <c r="AG5" i="143"/>
  <c r="AG4" i="143"/>
  <c r="AG3" i="143"/>
  <c r="AF33" i="142"/>
  <c r="AE33" i="142"/>
  <c r="AD33" i="142"/>
  <c r="AC33" i="142"/>
  <c r="AB33" i="142"/>
  <c r="AA33" i="142"/>
  <c r="Z33" i="142"/>
  <c r="Y33" i="142"/>
  <c r="X33" i="142"/>
  <c r="W33" i="142"/>
  <c r="V33" i="142"/>
  <c r="U33" i="142"/>
  <c r="T33" i="142"/>
  <c r="S33" i="142"/>
  <c r="R33" i="142"/>
  <c r="Q33" i="142"/>
  <c r="P33" i="142"/>
  <c r="O33" i="142"/>
  <c r="N33" i="142"/>
  <c r="M33" i="142"/>
  <c r="L33" i="142"/>
  <c r="K33" i="142"/>
  <c r="J33" i="142"/>
  <c r="I33" i="142"/>
  <c r="H33" i="142"/>
  <c r="G33" i="142"/>
  <c r="F33" i="142"/>
  <c r="E33" i="142"/>
  <c r="D33" i="142"/>
  <c r="C33" i="142"/>
  <c r="B33" i="142"/>
  <c r="AG32" i="142"/>
  <c r="AG31" i="142"/>
  <c r="AG30" i="142"/>
  <c r="AG29" i="142"/>
  <c r="AG28" i="142"/>
  <c r="AG27" i="142"/>
  <c r="AG26" i="142"/>
  <c r="AG25" i="142"/>
  <c r="Y78" i="1" s="1"/>
  <c r="AG24" i="142"/>
  <c r="AG23" i="142"/>
  <c r="AG22" i="142"/>
  <c r="AG21" i="142"/>
  <c r="AG20" i="142"/>
  <c r="AG19" i="142"/>
  <c r="AG18" i="142"/>
  <c r="AG17" i="142"/>
  <c r="Q78" i="1" s="1"/>
  <c r="AG16" i="142"/>
  <c r="AG15" i="142"/>
  <c r="AG14" i="142"/>
  <c r="AG13" i="142"/>
  <c r="M78" i="1" s="1"/>
  <c r="AG12" i="142"/>
  <c r="AG11" i="142"/>
  <c r="AG10" i="142"/>
  <c r="AG9" i="142"/>
  <c r="I78" i="1" s="1"/>
  <c r="AG8" i="142"/>
  <c r="AG7" i="142"/>
  <c r="G78" i="1" s="1"/>
  <c r="AG6" i="142"/>
  <c r="AG5" i="142"/>
  <c r="AG4" i="142"/>
  <c r="AG3" i="142"/>
  <c r="Z78" i="1" l="1"/>
  <c r="X78" i="1"/>
  <c r="L78" i="1"/>
  <c r="AD76" i="1"/>
  <c r="AD78" i="1" s="1"/>
  <c r="AB78" i="1"/>
  <c r="R78" i="1"/>
  <c r="U78" i="1"/>
  <c r="H78" i="1"/>
  <c r="S78" i="1"/>
  <c r="AA78" i="1"/>
  <c r="W78" i="1"/>
  <c r="C78" i="1"/>
  <c r="N78" i="1"/>
  <c r="D78" i="1"/>
  <c r="AF78" i="1"/>
  <c r="O78" i="1"/>
  <c r="E78" i="1"/>
  <c r="T78" i="1"/>
  <c r="AG34" i="145"/>
  <c r="AG33" i="145"/>
  <c r="AG34" i="143"/>
  <c r="AG33" i="143"/>
  <c r="AG35" i="146"/>
  <c r="AG34" i="146"/>
  <c r="AG33" i="144"/>
  <c r="AG29" i="144"/>
  <c r="AG34" i="144" s="1"/>
  <c r="AG34" i="142"/>
  <c r="AG33" i="142"/>
  <c r="AD29" i="139" l="1"/>
  <c r="AC29" i="139"/>
  <c r="AB29" i="139"/>
  <c r="Z29" i="139"/>
  <c r="X29" i="139"/>
  <c r="W29" i="139"/>
  <c r="U29" i="139"/>
  <c r="T29" i="139"/>
  <c r="R29" i="139"/>
  <c r="Q29" i="139"/>
  <c r="O29" i="139"/>
  <c r="M29" i="139"/>
  <c r="L29" i="139"/>
  <c r="J29" i="139"/>
  <c r="I29" i="139"/>
  <c r="G29" i="139"/>
  <c r="D29" i="139"/>
  <c r="AF33" i="141" l="1"/>
  <c r="AE33" i="141"/>
  <c r="AD33" i="141"/>
  <c r="AC33" i="141"/>
  <c r="AB33" i="141"/>
  <c r="AA33" i="141"/>
  <c r="Z33" i="141"/>
  <c r="Y33" i="141"/>
  <c r="X33" i="141"/>
  <c r="W33" i="141"/>
  <c r="V33" i="141"/>
  <c r="U33" i="141"/>
  <c r="T33" i="141"/>
  <c r="S33" i="141"/>
  <c r="R33" i="141"/>
  <c r="Q33" i="141"/>
  <c r="P33" i="141"/>
  <c r="O33" i="141"/>
  <c r="N33" i="141"/>
  <c r="M33" i="141"/>
  <c r="L33" i="141"/>
  <c r="K33" i="141"/>
  <c r="J33" i="141"/>
  <c r="I33" i="141"/>
  <c r="H33" i="141"/>
  <c r="G33" i="141"/>
  <c r="F33" i="141"/>
  <c r="E33" i="141"/>
  <c r="D33" i="141"/>
  <c r="C33" i="141"/>
  <c r="B33" i="141"/>
  <c r="AG32" i="141"/>
  <c r="AF69" i="1" s="1"/>
  <c r="AF71" i="1" s="1"/>
  <c r="AG31" i="141"/>
  <c r="AE69" i="1" s="1"/>
  <c r="AG30" i="141"/>
  <c r="AD69" i="1" s="1"/>
  <c r="AD71" i="1" s="1"/>
  <c r="AG29" i="141"/>
  <c r="AC69" i="1" s="1"/>
  <c r="AG28" i="141"/>
  <c r="AG26" i="141"/>
  <c r="Z69" i="1" s="1"/>
  <c r="Z71" i="1" s="1"/>
  <c r="AG25" i="141"/>
  <c r="AG24" i="141"/>
  <c r="X69" i="1" s="1"/>
  <c r="AG23" i="141"/>
  <c r="W69" i="1" s="1"/>
  <c r="AG22" i="141"/>
  <c r="V69" i="1" s="1"/>
  <c r="V71" i="1" s="1"/>
  <c r="AG21" i="141"/>
  <c r="U69" i="1" s="1"/>
  <c r="AG20" i="141"/>
  <c r="T69" i="1" s="1"/>
  <c r="AG19" i="141"/>
  <c r="S69" i="1" s="1"/>
  <c r="S71" i="1" s="1"/>
  <c r="AG18" i="141"/>
  <c r="R69" i="1" s="1"/>
  <c r="R71" i="1" s="1"/>
  <c r="AG17" i="141"/>
  <c r="Q69" i="1" s="1"/>
  <c r="AG16" i="141"/>
  <c r="P69" i="1" s="1"/>
  <c r="P71" i="1" s="1"/>
  <c r="AG15" i="141"/>
  <c r="O69" i="1" s="1"/>
  <c r="AG14" i="141"/>
  <c r="N69" i="1" s="1"/>
  <c r="AG13" i="141"/>
  <c r="M69" i="1" s="1"/>
  <c r="AG12" i="141"/>
  <c r="L69" i="1" s="1"/>
  <c r="AG11" i="141"/>
  <c r="K69" i="1" s="1"/>
  <c r="K71" i="1" s="1"/>
  <c r="AG10" i="141"/>
  <c r="J69" i="1" s="1"/>
  <c r="J71" i="1" s="1"/>
  <c r="AG9" i="141"/>
  <c r="I69" i="1" s="1"/>
  <c r="AG8" i="141"/>
  <c r="H69" i="1" s="1"/>
  <c r="AG7" i="141"/>
  <c r="G69" i="1" s="1"/>
  <c r="G71" i="1" s="1"/>
  <c r="AG6" i="141"/>
  <c r="F69" i="1" s="1"/>
  <c r="AG5" i="141"/>
  <c r="E69" i="1" s="1"/>
  <c r="AG4" i="141"/>
  <c r="D69" i="1" s="1"/>
  <c r="AG3" i="141"/>
  <c r="C69" i="1" s="1"/>
  <c r="AF33" i="140"/>
  <c r="AE33" i="140"/>
  <c r="AD33" i="140"/>
  <c r="AC33" i="140"/>
  <c r="AB33" i="140"/>
  <c r="AA33" i="140"/>
  <c r="Z33" i="140"/>
  <c r="Y33" i="140"/>
  <c r="X33" i="140"/>
  <c r="W33" i="140"/>
  <c r="V33" i="140"/>
  <c r="U33" i="140"/>
  <c r="T33" i="140"/>
  <c r="S33" i="140"/>
  <c r="R33" i="140"/>
  <c r="Q33" i="140"/>
  <c r="P33" i="140"/>
  <c r="O33" i="140"/>
  <c r="N33" i="140"/>
  <c r="M33" i="140"/>
  <c r="L33" i="140"/>
  <c r="K33" i="140"/>
  <c r="J33" i="140"/>
  <c r="I33" i="140"/>
  <c r="H33" i="140"/>
  <c r="G33" i="140"/>
  <c r="F33" i="140"/>
  <c r="E33" i="140"/>
  <c r="D33" i="140"/>
  <c r="C33" i="140"/>
  <c r="B33" i="140"/>
  <c r="AG32" i="140"/>
  <c r="AG31" i="140"/>
  <c r="AG30" i="140"/>
  <c r="AG29" i="140"/>
  <c r="AG28" i="140"/>
  <c r="AG27" i="140"/>
  <c r="AG26" i="140"/>
  <c r="AG25" i="140"/>
  <c r="AG24" i="140"/>
  <c r="AG23" i="140"/>
  <c r="W71" i="1" s="1"/>
  <c r="AG22" i="140"/>
  <c r="AG21" i="140"/>
  <c r="AG20" i="140"/>
  <c r="AG19" i="140"/>
  <c r="AG18" i="140"/>
  <c r="AG17" i="140"/>
  <c r="AG16" i="140"/>
  <c r="AG15" i="140"/>
  <c r="AG14" i="140"/>
  <c r="AG13" i="140"/>
  <c r="AG12" i="140"/>
  <c r="AG11" i="140"/>
  <c r="AG10" i="140"/>
  <c r="AG9" i="140"/>
  <c r="AG8" i="140"/>
  <c r="AG7" i="140"/>
  <c r="AG6" i="140"/>
  <c r="AG5" i="140"/>
  <c r="AG4" i="140"/>
  <c r="AG3" i="140"/>
  <c r="AF33" i="139"/>
  <c r="AE33" i="139"/>
  <c r="AD33" i="139"/>
  <c r="AC33" i="139"/>
  <c r="AB33" i="139"/>
  <c r="AA33" i="139"/>
  <c r="Z33" i="139"/>
  <c r="Y33" i="139"/>
  <c r="X33" i="139"/>
  <c r="W33" i="139"/>
  <c r="V33" i="139"/>
  <c r="U33" i="139"/>
  <c r="T33" i="139"/>
  <c r="S33" i="139"/>
  <c r="R33" i="139"/>
  <c r="Q33" i="139"/>
  <c r="P33" i="139"/>
  <c r="O33" i="139"/>
  <c r="N33" i="139"/>
  <c r="M33" i="139"/>
  <c r="L33" i="139"/>
  <c r="K33" i="139"/>
  <c r="J33" i="139"/>
  <c r="I33" i="139"/>
  <c r="H33" i="139"/>
  <c r="G33" i="139"/>
  <c r="F33" i="139"/>
  <c r="E33" i="139"/>
  <c r="D33" i="139"/>
  <c r="C33" i="139"/>
  <c r="B33" i="139"/>
  <c r="AG32" i="139"/>
  <c r="AG31" i="139"/>
  <c r="AG30" i="139"/>
  <c r="AG29" i="139"/>
  <c r="AG28" i="139"/>
  <c r="AG27" i="139"/>
  <c r="AG26" i="139"/>
  <c r="AG25" i="139"/>
  <c r="AG24" i="139"/>
  <c r="AG23" i="139"/>
  <c r="AG22" i="139"/>
  <c r="AG21" i="139"/>
  <c r="AG20" i="139"/>
  <c r="AG19" i="139"/>
  <c r="AG18" i="139"/>
  <c r="AG17" i="139"/>
  <c r="AG16" i="139"/>
  <c r="AG15" i="139"/>
  <c r="AG14" i="139"/>
  <c r="AG13" i="139"/>
  <c r="AG12" i="139"/>
  <c r="AG11" i="139"/>
  <c r="AG10" i="139"/>
  <c r="AG9" i="139"/>
  <c r="AG8" i="139"/>
  <c r="AG7" i="139"/>
  <c r="AG6" i="139"/>
  <c r="AG5" i="139"/>
  <c r="AG4" i="139"/>
  <c r="AG3" i="139"/>
  <c r="AF33" i="138"/>
  <c r="AE33" i="138"/>
  <c r="AD33" i="138"/>
  <c r="AC33" i="138"/>
  <c r="AB33" i="138"/>
  <c r="AA33" i="138"/>
  <c r="Z33" i="138"/>
  <c r="Y33" i="138"/>
  <c r="X33" i="138"/>
  <c r="W33" i="138"/>
  <c r="V33" i="138"/>
  <c r="U33" i="138"/>
  <c r="T33" i="138"/>
  <c r="S33" i="138"/>
  <c r="R33" i="138"/>
  <c r="Q33" i="138"/>
  <c r="P33" i="138"/>
  <c r="O33" i="138"/>
  <c r="N33" i="138"/>
  <c r="M33" i="138"/>
  <c r="L33" i="138"/>
  <c r="K33" i="138"/>
  <c r="J33" i="138"/>
  <c r="I33" i="138"/>
  <c r="H33" i="138"/>
  <c r="G33" i="138"/>
  <c r="F33" i="138"/>
  <c r="E33" i="138"/>
  <c r="D33" i="138"/>
  <c r="C33" i="138"/>
  <c r="B33" i="138"/>
  <c r="AG32" i="138"/>
  <c r="AG31" i="138"/>
  <c r="AG30" i="138"/>
  <c r="AG29" i="138"/>
  <c r="AG28" i="138"/>
  <c r="AG27" i="138"/>
  <c r="AG26" i="138"/>
  <c r="AG25" i="138"/>
  <c r="AG24" i="138"/>
  <c r="AG23" i="138"/>
  <c r="AG22" i="138"/>
  <c r="AG21" i="138"/>
  <c r="AG20" i="138"/>
  <c r="AG19" i="138"/>
  <c r="AG18" i="138"/>
  <c r="AG17" i="138"/>
  <c r="AG16" i="138"/>
  <c r="AG15" i="138"/>
  <c r="AG14" i="138"/>
  <c r="AG13" i="138"/>
  <c r="AG12" i="138"/>
  <c r="AG11" i="138"/>
  <c r="AG10" i="138"/>
  <c r="AG9" i="138"/>
  <c r="AG8" i="138"/>
  <c r="AG7" i="138"/>
  <c r="AG6" i="138"/>
  <c r="AG5" i="138"/>
  <c r="AG4" i="138"/>
  <c r="AG3" i="138"/>
  <c r="AF33" i="137"/>
  <c r="AE33" i="137"/>
  <c r="AD33" i="137"/>
  <c r="AC33" i="137"/>
  <c r="AB33" i="137"/>
  <c r="AA33" i="137"/>
  <c r="Z33" i="137"/>
  <c r="Y33" i="137"/>
  <c r="X33" i="137"/>
  <c r="W33" i="137"/>
  <c r="V33" i="137"/>
  <c r="U33" i="137"/>
  <c r="T33" i="137"/>
  <c r="S33" i="137"/>
  <c r="R33" i="137"/>
  <c r="Q33" i="137"/>
  <c r="P33" i="137"/>
  <c r="O33" i="137"/>
  <c r="N33" i="137"/>
  <c r="M33" i="137"/>
  <c r="L33" i="137"/>
  <c r="K33" i="137"/>
  <c r="J33" i="137"/>
  <c r="I33" i="137"/>
  <c r="H33" i="137"/>
  <c r="G33" i="137"/>
  <c r="F33" i="137"/>
  <c r="E33" i="137"/>
  <c r="D33" i="137"/>
  <c r="C33" i="137"/>
  <c r="B33" i="137"/>
  <c r="AG32" i="137"/>
  <c r="AG31" i="137"/>
  <c r="AG30" i="137"/>
  <c r="AG29" i="137"/>
  <c r="AC71" i="1" s="1"/>
  <c r="AG28" i="137"/>
  <c r="AG27" i="137"/>
  <c r="AG26" i="137"/>
  <c r="AG25" i="137"/>
  <c r="Y71" i="1" s="1"/>
  <c r="AG24" i="137"/>
  <c r="AG23" i="137"/>
  <c r="AG22" i="137"/>
  <c r="AG21" i="137"/>
  <c r="U71" i="1" s="1"/>
  <c r="AG20" i="137"/>
  <c r="AG19" i="137"/>
  <c r="AG18" i="137"/>
  <c r="AG17" i="137"/>
  <c r="AG16" i="137"/>
  <c r="AG15" i="137"/>
  <c r="AG14" i="137"/>
  <c r="N71" i="1" s="1"/>
  <c r="AG13" i="137"/>
  <c r="M71" i="1" s="1"/>
  <c r="AG12" i="137"/>
  <c r="AG11" i="137"/>
  <c r="AG10" i="137"/>
  <c r="AG9" i="137"/>
  <c r="AG8" i="137"/>
  <c r="AG7" i="137"/>
  <c r="AG6" i="137"/>
  <c r="AG5" i="137"/>
  <c r="E71" i="1" s="1"/>
  <c r="AG4" i="137"/>
  <c r="AG3" i="137"/>
  <c r="Q71" i="1" l="1"/>
  <c r="T71" i="1"/>
  <c r="I71" i="1"/>
  <c r="D71" i="1"/>
  <c r="L71" i="1"/>
  <c r="AE71" i="1"/>
  <c r="O71" i="1"/>
  <c r="H71" i="1"/>
  <c r="X71" i="1"/>
  <c r="F71" i="1"/>
  <c r="C71" i="1"/>
  <c r="AA71" i="1"/>
  <c r="AG34" i="141"/>
  <c r="AG33" i="141"/>
  <c r="AG34" i="139"/>
  <c r="AG33" i="139"/>
  <c r="AG34" i="140"/>
  <c r="AG33" i="140"/>
  <c r="AG34" i="138"/>
  <c r="AG33" i="138"/>
  <c r="AG34" i="137"/>
  <c r="AG33" i="137"/>
  <c r="AG5" i="132" l="1"/>
  <c r="AG5" i="133"/>
  <c r="AG6" i="133"/>
  <c r="AF33" i="136" l="1"/>
  <c r="AE33" i="136"/>
  <c r="AD33" i="136"/>
  <c r="AC33" i="136"/>
  <c r="AB33" i="136"/>
  <c r="AA33" i="136"/>
  <c r="Z33" i="136"/>
  <c r="Y33" i="136"/>
  <c r="X33" i="136"/>
  <c r="W33" i="136"/>
  <c r="V33" i="136"/>
  <c r="U33" i="136"/>
  <c r="T33" i="136"/>
  <c r="S33" i="136"/>
  <c r="R33" i="136"/>
  <c r="Q33" i="136"/>
  <c r="P33" i="136"/>
  <c r="O33" i="136"/>
  <c r="N33" i="136"/>
  <c r="M33" i="136"/>
  <c r="L33" i="136"/>
  <c r="K33" i="136"/>
  <c r="J33" i="136"/>
  <c r="I33" i="136"/>
  <c r="H33" i="136"/>
  <c r="G33" i="136"/>
  <c r="F33" i="136"/>
  <c r="E33" i="136"/>
  <c r="D33" i="136"/>
  <c r="C33" i="136"/>
  <c r="B33" i="136"/>
  <c r="AG3" i="136"/>
  <c r="C62" i="1" s="1"/>
  <c r="AG32" i="135"/>
  <c r="AG31" i="135"/>
  <c r="AG30" i="135"/>
  <c r="AG29" i="135"/>
  <c r="AG28" i="135"/>
  <c r="AG27" i="135"/>
  <c r="AG26" i="135"/>
  <c r="AG25" i="135"/>
  <c r="AG24" i="135"/>
  <c r="AG23" i="135"/>
  <c r="W64" i="1" s="1"/>
  <c r="AG22" i="135"/>
  <c r="AG21" i="135"/>
  <c r="AG20" i="135"/>
  <c r="AG19" i="135"/>
  <c r="AG18" i="135"/>
  <c r="AG17" i="135"/>
  <c r="AG16" i="135"/>
  <c r="AG15" i="135"/>
  <c r="AF33" i="135"/>
  <c r="AE33" i="135"/>
  <c r="AD33" i="135"/>
  <c r="AC33" i="135"/>
  <c r="AB33" i="135"/>
  <c r="AA33" i="135"/>
  <c r="Z33" i="135"/>
  <c r="Y33" i="135"/>
  <c r="X33" i="135"/>
  <c r="W33" i="135"/>
  <c r="V33" i="135"/>
  <c r="U33" i="135"/>
  <c r="T33" i="135"/>
  <c r="S33" i="135"/>
  <c r="R33" i="135"/>
  <c r="Q33" i="135"/>
  <c r="P33" i="135"/>
  <c r="O33" i="135"/>
  <c r="N33" i="135"/>
  <c r="M33" i="135"/>
  <c r="L33" i="135"/>
  <c r="K33" i="135"/>
  <c r="J33" i="135"/>
  <c r="I33" i="135"/>
  <c r="H33" i="135"/>
  <c r="G33" i="135"/>
  <c r="F33" i="135"/>
  <c r="E33" i="135"/>
  <c r="D33" i="135"/>
  <c r="C33" i="135"/>
  <c r="B33" i="135"/>
  <c r="AG13" i="135"/>
  <c r="M64" i="1" s="1"/>
  <c r="AG12" i="135"/>
  <c r="AG11" i="135"/>
  <c r="AG10" i="135"/>
  <c r="AG9" i="135"/>
  <c r="AG8" i="135"/>
  <c r="AG7" i="135"/>
  <c r="AG6" i="135"/>
  <c r="AG5" i="135"/>
  <c r="AG4" i="135"/>
  <c r="D64" i="1" s="1"/>
  <c r="AG3" i="135"/>
  <c r="AG32" i="134"/>
  <c r="AG31" i="134"/>
  <c r="AG30" i="134"/>
  <c r="AG29" i="134"/>
  <c r="AG28" i="134"/>
  <c r="AB64" i="1" s="1"/>
  <c r="AG27" i="134"/>
  <c r="AG26" i="134"/>
  <c r="AG25" i="134"/>
  <c r="AG24" i="134"/>
  <c r="AG23" i="134"/>
  <c r="AG22" i="134"/>
  <c r="Y33" i="134"/>
  <c r="AG21" i="134"/>
  <c r="AG20" i="134"/>
  <c r="AG19" i="134"/>
  <c r="AG18" i="134"/>
  <c r="AG17" i="134"/>
  <c r="AG16" i="134"/>
  <c r="AG15" i="134"/>
  <c r="AF33" i="134"/>
  <c r="AE33" i="134"/>
  <c r="AD33" i="134"/>
  <c r="AC33" i="134"/>
  <c r="AB33" i="134"/>
  <c r="AA33" i="134"/>
  <c r="Z33" i="134"/>
  <c r="X33" i="134"/>
  <c r="W33" i="134"/>
  <c r="V33" i="134"/>
  <c r="U33" i="134"/>
  <c r="T33" i="134"/>
  <c r="S33" i="134"/>
  <c r="R33" i="134"/>
  <c r="Q33" i="134"/>
  <c r="P33" i="134"/>
  <c r="O33" i="134"/>
  <c r="N33" i="134"/>
  <c r="M33" i="134"/>
  <c r="L33" i="134"/>
  <c r="K33" i="134"/>
  <c r="J33" i="134"/>
  <c r="I33" i="134"/>
  <c r="H33" i="134"/>
  <c r="G33" i="134"/>
  <c r="F33" i="134"/>
  <c r="E33" i="134"/>
  <c r="D33" i="134"/>
  <c r="C33" i="134"/>
  <c r="AG14" i="134"/>
  <c r="AG13" i="134"/>
  <c r="AG12" i="134"/>
  <c r="AG11" i="134"/>
  <c r="AG10" i="134"/>
  <c r="AG9" i="134"/>
  <c r="AG8" i="134"/>
  <c r="AG7" i="134"/>
  <c r="AG6" i="134"/>
  <c r="F64" i="1" s="1"/>
  <c r="AG5" i="134"/>
  <c r="AG4" i="134"/>
  <c r="AG3" i="134"/>
  <c r="AG33" i="132"/>
  <c r="AG32" i="132"/>
  <c r="AG31" i="132"/>
  <c r="AG30" i="132"/>
  <c r="AG29" i="132"/>
  <c r="AG28" i="132"/>
  <c r="AG27" i="132"/>
  <c r="AG26" i="132"/>
  <c r="AG25" i="132"/>
  <c r="AG24" i="132"/>
  <c r="AG23" i="132"/>
  <c r="AG22" i="132"/>
  <c r="AG21" i="132"/>
  <c r="AG20" i="132"/>
  <c r="AG19" i="132"/>
  <c r="AG18" i="132"/>
  <c r="AG17" i="132"/>
  <c r="AG16" i="132"/>
  <c r="AG15" i="132"/>
  <c r="AG14" i="132"/>
  <c r="AG13" i="132"/>
  <c r="L64" i="1" s="1"/>
  <c r="AG12" i="132"/>
  <c r="AG11" i="132"/>
  <c r="AG10" i="132"/>
  <c r="AG9" i="132"/>
  <c r="AG8" i="132"/>
  <c r="AG7" i="132"/>
  <c r="AG6" i="132"/>
  <c r="AG4" i="132"/>
  <c r="AG3" i="132"/>
  <c r="AF34" i="133"/>
  <c r="AE34" i="133"/>
  <c r="AD34" i="133"/>
  <c r="AC34" i="133"/>
  <c r="AB34" i="133"/>
  <c r="AA34" i="133"/>
  <c r="Z34" i="133"/>
  <c r="Y34" i="133"/>
  <c r="X34" i="133"/>
  <c r="W34" i="133"/>
  <c r="V34" i="133"/>
  <c r="U34" i="133"/>
  <c r="T34" i="133"/>
  <c r="S34" i="133"/>
  <c r="R34" i="133"/>
  <c r="Q34" i="133"/>
  <c r="P34" i="133"/>
  <c r="O34" i="133"/>
  <c r="N34" i="133"/>
  <c r="M34" i="133"/>
  <c r="L34" i="133"/>
  <c r="K34" i="133"/>
  <c r="J34" i="133"/>
  <c r="I34" i="133"/>
  <c r="H34" i="133"/>
  <c r="G34" i="133"/>
  <c r="F34" i="133"/>
  <c r="E34" i="133"/>
  <c r="D34" i="133"/>
  <c r="C34" i="133"/>
  <c r="B34" i="133"/>
  <c r="AG33" i="133"/>
  <c r="AG32" i="133"/>
  <c r="AG31" i="133"/>
  <c r="AG30" i="133"/>
  <c r="AG29" i="133"/>
  <c r="AG28" i="133"/>
  <c r="AG27" i="133"/>
  <c r="AG26" i="133"/>
  <c r="AG25" i="133"/>
  <c r="AG24" i="133"/>
  <c r="AG23" i="133"/>
  <c r="AG22" i="133"/>
  <c r="U64" i="1" s="1"/>
  <c r="AG21" i="133"/>
  <c r="AG20" i="133"/>
  <c r="AG19" i="133"/>
  <c r="AG18" i="133"/>
  <c r="AG17" i="133"/>
  <c r="AG16" i="133"/>
  <c r="O64" i="1" s="1"/>
  <c r="AG15" i="133"/>
  <c r="AG14" i="133"/>
  <c r="AG13" i="133"/>
  <c r="AG12" i="133"/>
  <c r="AG11" i="133"/>
  <c r="AG10" i="133"/>
  <c r="AG9" i="133"/>
  <c r="AG8" i="133"/>
  <c r="AG7" i="133"/>
  <c r="AG4" i="133"/>
  <c r="AG3" i="133"/>
  <c r="AF34" i="132"/>
  <c r="AE34" i="132"/>
  <c r="AD34" i="132"/>
  <c r="AC34" i="132"/>
  <c r="AB34" i="132"/>
  <c r="AA34" i="132"/>
  <c r="Z34" i="132"/>
  <c r="Y34" i="132"/>
  <c r="X34" i="132"/>
  <c r="W34" i="132"/>
  <c r="V34" i="132"/>
  <c r="U34" i="132"/>
  <c r="T34" i="132"/>
  <c r="S34" i="132"/>
  <c r="R34" i="132"/>
  <c r="Q34" i="132"/>
  <c r="P34" i="132"/>
  <c r="O34" i="132"/>
  <c r="N34" i="132"/>
  <c r="M34" i="132"/>
  <c r="L34" i="132"/>
  <c r="K34" i="132"/>
  <c r="J34" i="132"/>
  <c r="I34" i="132"/>
  <c r="H34" i="132"/>
  <c r="G34" i="132"/>
  <c r="F34" i="132"/>
  <c r="E34" i="132"/>
  <c r="D34" i="132"/>
  <c r="C34" i="132"/>
  <c r="B34" i="132"/>
  <c r="AG3" i="82"/>
  <c r="AG4" i="82"/>
  <c r="AG5" i="82"/>
  <c r="AG6" i="82"/>
  <c r="AG7" i="82"/>
  <c r="AG8" i="82"/>
  <c r="AG9" i="82"/>
  <c r="AG10" i="82"/>
  <c r="AG11" i="82"/>
  <c r="AG12" i="82"/>
  <c r="AG13" i="82"/>
  <c r="AG14" i="82"/>
  <c r="AG15" i="82"/>
  <c r="AG16" i="82"/>
  <c r="AG17" i="82"/>
  <c r="AG18" i="82"/>
  <c r="AG19" i="82"/>
  <c r="AG20" i="82"/>
  <c r="AG21" i="82"/>
  <c r="AG22" i="82"/>
  <c r="AG23" i="82"/>
  <c r="AG24" i="82"/>
  <c r="AG25" i="82"/>
  <c r="AG26" i="82"/>
  <c r="AG27" i="82"/>
  <c r="AG28" i="82"/>
  <c r="AG29" i="82"/>
  <c r="AG30" i="82"/>
  <c r="AG31" i="82"/>
  <c r="AG32" i="82"/>
  <c r="AG3" i="94"/>
  <c r="C52" i="1" s="1"/>
  <c r="AG4" i="94"/>
  <c r="D52" i="1" s="1"/>
  <c r="AG5" i="94"/>
  <c r="E52" i="1" s="1"/>
  <c r="AG6" i="94"/>
  <c r="F52" i="1" s="1"/>
  <c r="AG7" i="94"/>
  <c r="G52" i="1" s="1"/>
  <c r="AG8" i="94"/>
  <c r="H52" i="1" s="1"/>
  <c r="AG9" i="94"/>
  <c r="I52" i="1" s="1"/>
  <c r="AG10" i="94"/>
  <c r="J52" i="1" s="1"/>
  <c r="AG11" i="94"/>
  <c r="K52" i="1" s="1"/>
  <c r="AG12" i="94"/>
  <c r="L52" i="1" s="1"/>
  <c r="AG13" i="94"/>
  <c r="M52" i="1" s="1"/>
  <c r="AG14" i="94"/>
  <c r="N52" i="1" s="1"/>
  <c r="AG15" i="94"/>
  <c r="O52" i="1" s="1"/>
  <c r="AG16" i="94"/>
  <c r="P52" i="1" s="1"/>
  <c r="AG17" i="94"/>
  <c r="Q52" i="1" s="1"/>
  <c r="AG18" i="94"/>
  <c r="R52" i="1" s="1"/>
  <c r="AG19" i="94"/>
  <c r="S52" i="1" s="1"/>
  <c r="AG20" i="94"/>
  <c r="T52" i="1" s="1"/>
  <c r="AG21" i="94"/>
  <c r="U52" i="1" s="1"/>
  <c r="AG22" i="94"/>
  <c r="V52" i="1" s="1"/>
  <c r="AG23" i="94"/>
  <c r="W52" i="1" s="1"/>
  <c r="AG24" i="94"/>
  <c r="X52" i="1" s="1"/>
  <c r="AG25" i="94"/>
  <c r="Y52" i="1" s="1"/>
  <c r="AG26" i="94"/>
  <c r="Z52" i="1" s="1"/>
  <c r="AG27" i="94"/>
  <c r="AA52" i="1" s="1"/>
  <c r="AG28" i="94"/>
  <c r="AB52" i="1" s="1"/>
  <c r="AG29" i="94"/>
  <c r="AC52" i="1" s="1"/>
  <c r="AG30" i="94"/>
  <c r="AD52" i="1" s="1"/>
  <c r="AG31" i="94"/>
  <c r="AE52" i="1" s="1"/>
  <c r="AG32" i="94"/>
  <c r="AF52" i="1" s="1"/>
  <c r="AG3" i="105"/>
  <c r="AG4" i="105"/>
  <c r="AG5" i="105"/>
  <c r="AG6" i="105"/>
  <c r="AG7" i="105"/>
  <c r="AG8" i="105"/>
  <c r="AG9" i="105"/>
  <c r="AG10" i="105"/>
  <c r="AG11" i="105"/>
  <c r="AG12" i="105"/>
  <c r="AG13" i="105"/>
  <c r="B14" i="105"/>
  <c r="C14" i="105"/>
  <c r="D14" i="105"/>
  <c r="E14" i="105"/>
  <c r="F14" i="105"/>
  <c r="G14" i="105"/>
  <c r="H14" i="105"/>
  <c r="I14" i="105"/>
  <c r="J14" i="105"/>
  <c r="K14" i="105"/>
  <c r="L14" i="105"/>
  <c r="M14" i="105"/>
  <c r="N14" i="105"/>
  <c r="O14" i="105"/>
  <c r="P14" i="105"/>
  <c r="Q14" i="105"/>
  <c r="R14" i="105"/>
  <c r="S14" i="105"/>
  <c r="T14" i="105"/>
  <c r="U14" i="105"/>
  <c r="V14" i="105"/>
  <c r="W14" i="105"/>
  <c r="X14" i="105"/>
  <c r="Z14" i="105"/>
  <c r="AA14" i="105"/>
  <c r="AB14" i="105"/>
  <c r="AC14" i="105"/>
  <c r="AD14" i="105"/>
  <c r="AE14" i="105"/>
  <c r="AF14" i="105"/>
  <c r="AG15" i="105"/>
  <c r="AG16" i="105"/>
  <c r="AG17" i="105"/>
  <c r="AG18" i="105"/>
  <c r="AG19" i="105"/>
  <c r="AG20" i="105"/>
  <c r="B21" i="105"/>
  <c r="C21" i="105"/>
  <c r="D21" i="105"/>
  <c r="E21" i="105"/>
  <c r="F21" i="105"/>
  <c r="G21" i="105"/>
  <c r="H21" i="105"/>
  <c r="I21" i="105"/>
  <c r="J21" i="105"/>
  <c r="K21" i="105"/>
  <c r="L21" i="105"/>
  <c r="M21" i="105"/>
  <c r="N21" i="105"/>
  <c r="O21" i="105"/>
  <c r="Q21" i="105"/>
  <c r="R21" i="105"/>
  <c r="S21" i="105"/>
  <c r="T21" i="105"/>
  <c r="U21" i="105"/>
  <c r="V21" i="105"/>
  <c r="W21" i="105"/>
  <c r="X21" i="105"/>
  <c r="Y21" i="105"/>
  <c r="Z21" i="105"/>
  <c r="AA21" i="105"/>
  <c r="AB21" i="105"/>
  <c r="AC21" i="105"/>
  <c r="AD21" i="105"/>
  <c r="AE21" i="105"/>
  <c r="AF21" i="105"/>
  <c r="AG22" i="105"/>
  <c r="AG23" i="105"/>
  <c r="AG24" i="105"/>
  <c r="AG25" i="105"/>
  <c r="AG26" i="105"/>
  <c r="AG27" i="105"/>
  <c r="F28" i="105"/>
  <c r="J28" i="105"/>
  <c r="L28" i="105"/>
  <c r="P28" i="105"/>
  <c r="Q28" i="105"/>
  <c r="V28" i="105"/>
  <c r="W28" i="105"/>
  <c r="X28" i="105"/>
  <c r="AC28" i="105"/>
  <c r="AF28" i="105"/>
  <c r="AG29" i="105"/>
  <c r="AG30" i="105"/>
  <c r="AG31" i="105"/>
  <c r="AG32" i="105"/>
  <c r="AG3" i="116"/>
  <c r="AG4" i="116"/>
  <c r="AG5" i="116"/>
  <c r="AG6" i="116"/>
  <c r="AG7" i="116"/>
  <c r="AG8" i="116"/>
  <c r="AG9" i="116"/>
  <c r="AG10" i="116"/>
  <c r="AG11" i="116"/>
  <c r="AG12" i="116"/>
  <c r="AG13" i="116"/>
  <c r="B14" i="116"/>
  <c r="C14" i="116"/>
  <c r="D14" i="116"/>
  <c r="E14" i="116"/>
  <c r="F14" i="116"/>
  <c r="G14" i="116"/>
  <c r="H14" i="116"/>
  <c r="I14" i="116"/>
  <c r="J14" i="116"/>
  <c r="K14" i="116"/>
  <c r="L14" i="116"/>
  <c r="M14" i="116"/>
  <c r="N14" i="116"/>
  <c r="O14" i="116"/>
  <c r="P14" i="116"/>
  <c r="Q14" i="116"/>
  <c r="R14" i="116"/>
  <c r="S14" i="116"/>
  <c r="T14" i="116"/>
  <c r="U14" i="116"/>
  <c r="V14" i="116"/>
  <c r="W14" i="116"/>
  <c r="X14" i="116"/>
  <c r="Y14" i="116"/>
  <c r="Z14" i="116"/>
  <c r="AA14" i="116"/>
  <c r="AB14" i="116"/>
  <c r="AC14" i="116"/>
  <c r="AD14" i="116"/>
  <c r="AE14" i="116"/>
  <c r="AF14" i="116"/>
  <c r="AG15" i="116"/>
  <c r="AG16" i="116"/>
  <c r="AG17" i="116"/>
  <c r="AG18" i="116"/>
  <c r="AG19" i="116"/>
  <c r="AG20" i="116"/>
  <c r="B21" i="116"/>
  <c r="C21" i="116"/>
  <c r="D21" i="116"/>
  <c r="E21" i="116"/>
  <c r="F21" i="116"/>
  <c r="G21" i="116"/>
  <c r="H21" i="116"/>
  <c r="I21" i="116"/>
  <c r="J21" i="116"/>
  <c r="K21" i="116"/>
  <c r="L21" i="116"/>
  <c r="M21" i="116"/>
  <c r="N21" i="116"/>
  <c r="O21" i="116"/>
  <c r="P21" i="116"/>
  <c r="Q21" i="116"/>
  <c r="R21" i="116"/>
  <c r="S21" i="116"/>
  <c r="T21" i="116"/>
  <c r="U21" i="116"/>
  <c r="V21" i="116"/>
  <c r="W21" i="116"/>
  <c r="X21" i="116"/>
  <c r="Y21" i="116"/>
  <c r="Z21" i="116"/>
  <c r="AA21" i="116"/>
  <c r="AB21" i="116"/>
  <c r="AC21" i="116"/>
  <c r="AD21" i="116"/>
  <c r="AE21" i="116"/>
  <c r="AF21" i="116"/>
  <c r="AG22" i="116"/>
  <c r="AG23" i="116"/>
  <c r="AG24" i="116"/>
  <c r="AG25" i="116"/>
  <c r="AG26" i="116"/>
  <c r="AG27" i="116"/>
  <c r="B28" i="116"/>
  <c r="C28" i="116"/>
  <c r="D28" i="116"/>
  <c r="E28" i="116"/>
  <c r="F28" i="116"/>
  <c r="G28" i="116"/>
  <c r="H28" i="116"/>
  <c r="I28" i="116"/>
  <c r="J28" i="116"/>
  <c r="K28" i="116"/>
  <c r="L28" i="116"/>
  <c r="M28" i="116"/>
  <c r="N28" i="116"/>
  <c r="O28" i="116"/>
  <c r="P28" i="116"/>
  <c r="Q28" i="116"/>
  <c r="R28" i="116"/>
  <c r="S28" i="116"/>
  <c r="T28" i="116"/>
  <c r="U28" i="116"/>
  <c r="V28" i="116"/>
  <c r="W28" i="116"/>
  <c r="X28" i="116"/>
  <c r="Y28" i="116"/>
  <c r="Z28" i="116"/>
  <c r="AA28" i="116"/>
  <c r="AB28" i="116"/>
  <c r="AC28" i="116"/>
  <c r="AD28" i="116"/>
  <c r="AE28" i="116"/>
  <c r="AF28" i="116"/>
  <c r="AG29" i="116"/>
  <c r="AG30" i="116"/>
  <c r="AG31" i="116"/>
  <c r="AG32" i="116"/>
  <c r="H64" i="1" l="1"/>
  <c r="K57" i="1"/>
  <c r="AG21" i="105"/>
  <c r="G64" i="1"/>
  <c r="N64" i="1"/>
  <c r="AG14" i="116"/>
  <c r="AG28" i="105"/>
  <c r="AG21" i="116"/>
  <c r="AG14" i="105"/>
  <c r="AG34" i="136"/>
  <c r="AG28" i="116"/>
  <c r="AG35" i="132"/>
  <c r="AG33" i="136"/>
  <c r="AG34" i="134"/>
  <c r="AG35" i="133"/>
  <c r="AG33" i="135"/>
  <c r="AG34" i="133"/>
  <c r="AG34" i="132"/>
  <c r="AG14" i="135"/>
  <c r="B33" i="134"/>
  <c r="AG33" i="134" s="1"/>
  <c r="B33" i="116"/>
  <c r="AF21" i="104"/>
  <c r="AE21" i="104"/>
  <c r="AD21" i="104"/>
  <c r="AC21" i="104"/>
  <c r="AB21" i="104"/>
  <c r="AA21" i="104"/>
  <c r="Z21" i="104"/>
  <c r="Y21" i="104"/>
  <c r="X21" i="104"/>
  <c r="W21" i="104"/>
  <c r="V21" i="104"/>
  <c r="U21" i="104"/>
  <c r="T21" i="104"/>
  <c r="S21" i="104"/>
  <c r="R21" i="104"/>
  <c r="Q21" i="104"/>
  <c r="P21" i="104"/>
  <c r="O21" i="104"/>
  <c r="N21" i="104"/>
  <c r="M21" i="104"/>
  <c r="L21" i="104"/>
  <c r="K21" i="104"/>
  <c r="J21" i="104"/>
  <c r="I21" i="104"/>
  <c r="H21" i="104"/>
  <c r="H33" i="104" s="1"/>
  <c r="G21" i="104"/>
  <c r="F21" i="104"/>
  <c r="E21" i="104"/>
  <c r="D21" i="104"/>
  <c r="C21" i="104"/>
  <c r="B21" i="104"/>
  <c r="AF14" i="104"/>
  <c r="AF33" i="104" s="1"/>
  <c r="AE14" i="104"/>
  <c r="AD14" i="104"/>
  <c r="AC14" i="104"/>
  <c r="AB14" i="104"/>
  <c r="AA14" i="104"/>
  <c r="Z14" i="104"/>
  <c r="Y14" i="104"/>
  <c r="X14" i="104"/>
  <c r="W14" i="104"/>
  <c r="V14" i="104"/>
  <c r="U14" i="104"/>
  <c r="T14" i="104"/>
  <c r="S14" i="104"/>
  <c r="R14" i="104"/>
  <c r="R33" i="104" s="1"/>
  <c r="Q14" i="104"/>
  <c r="P14" i="104"/>
  <c r="O14" i="104"/>
  <c r="N14" i="104"/>
  <c r="M14" i="104"/>
  <c r="L14" i="104"/>
  <c r="K14" i="104"/>
  <c r="J14" i="104"/>
  <c r="I14" i="104"/>
  <c r="H14" i="104"/>
  <c r="G14" i="104"/>
  <c r="F14" i="104"/>
  <c r="E14" i="104"/>
  <c r="D14" i="104"/>
  <c r="C14" i="104"/>
  <c r="B14" i="104"/>
  <c r="AG32" i="104"/>
  <c r="AG31" i="104"/>
  <c r="AG30" i="104"/>
  <c r="AG29" i="104"/>
  <c r="AG28" i="104"/>
  <c r="AG27" i="104"/>
  <c r="AG26" i="104"/>
  <c r="AG25" i="104"/>
  <c r="AG24" i="104"/>
  <c r="AG23" i="104"/>
  <c r="AG22" i="104"/>
  <c r="AG20" i="104"/>
  <c r="AG19" i="104"/>
  <c r="AG18" i="104"/>
  <c r="AG17" i="104"/>
  <c r="AG16" i="104"/>
  <c r="AG15" i="104"/>
  <c r="AG13" i="104"/>
  <c r="AG12" i="104"/>
  <c r="AG11" i="104"/>
  <c r="AG10" i="104"/>
  <c r="AG9" i="104"/>
  <c r="AG8" i="104"/>
  <c r="AG7" i="104"/>
  <c r="AG6" i="104"/>
  <c r="AG5" i="104"/>
  <c r="AG4" i="104"/>
  <c r="AG3" i="104"/>
  <c r="AF33" i="105"/>
  <c r="AE33" i="105"/>
  <c r="AD33" i="105"/>
  <c r="AC33" i="105"/>
  <c r="AB33" i="105"/>
  <c r="AA33" i="105"/>
  <c r="Z33" i="105"/>
  <c r="Y33" i="105"/>
  <c r="X33" i="105"/>
  <c r="W33" i="105"/>
  <c r="V33" i="105"/>
  <c r="U33" i="105"/>
  <c r="T33" i="105"/>
  <c r="S33" i="105"/>
  <c r="R33" i="105"/>
  <c r="Q33" i="105"/>
  <c r="P33" i="105"/>
  <c r="N33" i="105"/>
  <c r="M33" i="105"/>
  <c r="L33" i="105"/>
  <c r="K33" i="105"/>
  <c r="J33" i="105"/>
  <c r="I33" i="105"/>
  <c r="H33" i="105"/>
  <c r="G33" i="105"/>
  <c r="F33" i="105"/>
  <c r="E33" i="105"/>
  <c r="D33" i="105"/>
  <c r="C33" i="105"/>
  <c r="B33" i="105"/>
  <c r="F33" i="104" l="1"/>
  <c r="V33" i="104"/>
  <c r="P33" i="104"/>
  <c r="X33" i="104"/>
  <c r="I33" i="104"/>
  <c r="Q33" i="104"/>
  <c r="B33" i="104"/>
  <c r="AG21" i="104"/>
  <c r="AD64" i="1"/>
  <c r="AA64" i="1"/>
  <c r="D33" i="104"/>
  <c r="L33" i="104"/>
  <c r="T33" i="104"/>
  <c r="AB33" i="104"/>
  <c r="N33" i="104"/>
  <c r="AD33" i="104"/>
  <c r="C64" i="1"/>
  <c r="J33" i="104"/>
  <c r="Z33" i="104"/>
  <c r="G33" i="104"/>
  <c r="O33" i="104"/>
  <c r="W33" i="104"/>
  <c r="AG34" i="135"/>
  <c r="C33" i="104"/>
  <c r="K33" i="104"/>
  <c r="S33" i="104"/>
  <c r="M33" i="104"/>
  <c r="E33" i="104"/>
  <c r="U33" i="104"/>
  <c r="O33" i="105"/>
  <c r="AG33" i="105" s="1"/>
  <c r="Y33" i="104"/>
  <c r="AA33" i="104"/>
  <c r="AC33" i="104"/>
  <c r="AE33" i="104"/>
  <c r="AG34" i="105"/>
  <c r="AG14" i="104"/>
  <c r="AG34" i="104" l="1"/>
  <c r="AG33" i="104"/>
  <c r="AF14" i="115"/>
  <c r="AE14" i="115"/>
  <c r="AD14" i="115"/>
  <c r="AC14" i="115"/>
  <c r="AB14" i="115"/>
  <c r="AA14" i="115"/>
  <c r="Z14" i="115"/>
  <c r="Y14" i="115"/>
  <c r="X14" i="115"/>
  <c r="W14" i="115"/>
  <c r="V14" i="115"/>
  <c r="U14" i="115"/>
  <c r="T14" i="115"/>
  <c r="S14" i="115"/>
  <c r="R14" i="115"/>
  <c r="Q14" i="115"/>
  <c r="P14" i="115"/>
  <c r="O14" i="115"/>
  <c r="N14" i="115"/>
  <c r="M14" i="115"/>
  <c r="L14" i="115"/>
  <c r="K14" i="115"/>
  <c r="J14" i="115"/>
  <c r="I14" i="115"/>
  <c r="H14" i="115"/>
  <c r="G14" i="115"/>
  <c r="F14" i="115"/>
  <c r="E14" i="115"/>
  <c r="D14" i="115"/>
  <c r="C14" i="115"/>
  <c r="B14" i="115"/>
  <c r="AG15" i="115"/>
  <c r="AG3" i="115"/>
  <c r="AF21" i="115"/>
  <c r="AE21" i="115"/>
  <c r="AD21" i="115"/>
  <c r="AC21" i="115"/>
  <c r="AB21" i="115"/>
  <c r="AA21" i="115"/>
  <c r="Z21" i="115"/>
  <c r="Y21" i="115"/>
  <c r="X21" i="115"/>
  <c r="W21" i="115"/>
  <c r="V21" i="115"/>
  <c r="U21" i="115"/>
  <c r="T21" i="115"/>
  <c r="S21" i="115"/>
  <c r="R21" i="115"/>
  <c r="G21" i="115"/>
  <c r="F21" i="115"/>
  <c r="E21" i="115"/>
  <c r="H21" i="115" l="1"/>
  <c r="I21" i="115"/>
  <c r="J21" i="115"/>
  <c r="K21" i="115"/>
  <c r="L21" i="115"/>
  <c r="M21" i="115"/>
  <c r="N21" i="115"/>
  <c r="O21" i="115"/>
  <c r="P21" i="115"/>
  <c r="Q21" i="115"/>
  <c r="D21" i="115"/>
  <c r="C21" i="115" l="1"/>
  <c r="B21" i="115"/>
  <c r="AF33" i="82" l="1"/>
  <c r="AE33" i="82"/>
  <c r="AD33" i="82"/>
  <c r="AC33" i="82"/>
  <c r="AB33" i="82"/>
  <c r="AA33" i="82"/>
  <c r="Z33" i="82"/>
  <c r="Y33" i="82"/>
  <c r="X33" i="82"/>
  <c r="W33" i="82"/>
  <c r="V33" i="82"/>
  <c r="U33" i="82"/>
  <c r="T33" i="82"/>
  <c r="S33" i="82"/>
  <c r="R33" i="82"/>
  <c r="Q33" i="82"/>
  <c r="P33" i="82"/>
  <c r="O33" i="82"/>
  <c r="N33" i="82"/>
  <c r="M33" i="82"/>
  <c r="L33" i="82"/>
  <c r="K33" i="82"/>
  <c r="J33" i="82"/>
  <c r="I33" i="82"/>
  <c r="H33" i="82"/>
  <c r="G33" i="82"/>
  <c r="F33" i="82"/>
  <c r="E33" i="82"/>
  <c r="D33" i="82"/>
  <c r="C33" i="82"/>
  <c r="B33" i="82"/>
  <c r="AF33" i="94"/>
  <c r="AE33" i="94"/>
  <c r="AD33" i="94"/>
  <c r="AC33" i="94"/>
  <c r="AB33" i="94"/>
  <c r="AA33" i="94"/>
  <c r="Z33" i="94"/>
  <c r="Y33" i="94"/>
  <c r="X33" i="94"/>
  <c r="W33" i="94"/>
  <c r="V33" i="94"/>
  <c r="U33" i="94"/>
  <c r="T33" i="94"/>
  <c r="S33" i="94"/>
  <c r="R33" i="94"/>
  <c r="Q33" i="94"/>
  <c r="P33" i="94"/>
  <c r="O33" i="94"/>
  <c r="N33" i="94"/>
  <c r="M33" i="94"/>
  <c r="L33" i="94"/>
  <c r="K33" i="94"/>
  <c r="J33" i="94"/>
  <c r="I33" i="94"/>
  <c r="H33" i="94"/>
  <c r="G33" i="94"/>
  <c r="F33" i="94"/>
  <c r="E33" i="94"/>
  <c r="D33" i="94"/>
  <c r="C33" i="94"/>
  <c r="B33" i="94"/>
  <c r="AF33" i="116"/>
  <c r="AE33" i="116"/>
  <c r="AD33" i="116"/>
  <c r="AC33" i="116"/>
  <c r="AB33" i="116"/>
  <c r="AA33" i="116"/>
  <c r="Z33" i="116"/>
  <c r="Y33" i="116"/>
  <c r="X33" i="116"/>
  <c r="W33" i="116"/>
  <c r="V33" i="116"/>
  <c r="U33" i="116"/>
  <c r="T33" i="116"/>
  <c r="S33" i="116"/>
  <c r="R33" i="116"/>
  <c r="Q33" i="116"/>
  <c r="P33" i="116"/>
  <c r="O33" i="116"/>
  <c r="N33" i="116"/>
  <c r="M33" i="116"/>
  <c r="L33" i="116"/>
  <c r="K33" i="116"/>
  <c r="J33" i="116"/>
  <c r="I33" i="116"/>
  <c r="H33" i="116"/>
  <c r="G33" i="116"/>
  <c r="F33" i="116"/>
  <c r="E33" i="116"/>
  <c r="D33" i="116"/>
  <c r="C33" i="116"/>
  <c r="AF33" i="127"/>
  <c r="AE33" i="127"/>
  <c r="AD33" i="127"/>
  <c r="AC33" i="127"/>
  <c r="AB33" i="127"/>
  <c r="AA33" i="127"/>
  <c r="Z33" i="127"/>
  <c r="Y33" i="127"/>
  <c r="X33" i="127"/>
  <c r="W33" i="127"/>
  <c r="V33" i="127"/>
  <c r="U33" i="127"/>
  <c r="T33" i="127"/>
  <c r="S33" i="127"/>
  <c r="R33" i="127"/>
  <c r="Q33" i="127"/>
  <c r="P33" i="127"/>
  <c r="O33" i="127"/>
  <c r="N33" i="127"/>
  <c r="M33" i="127"/>
  <c r="L33" i="127"/>
  <c r="K33" i="127"/>
  <c r="J33" i="127"/>
  <c r="I33" i="127"/>
  <c r="H33" i="127"/>
  <c r="G33" i="127"/>
  <c r="F33" i="127"/>
  <c r="E33" i="127"/>
  <c r="D33" i="127"/>
  <c r="C33" i="127"/>
  <c r="B33" i="127"/>
  <c r="AG32" i="127"/>
  <c r="AF55" i="1" s="1"/>
  <c r="AG31" i="127"/>
  <c r="AD55" i="1"/>
  <c r="AG29" i="127"/>
  <c r="AC55" i="1" s="1"/>
  <c r="AG28" i="127"/>
  <c r="AG27" i="127"/>
  <c r="AG26" i="127"/>
  <c r="AG25" i="127"/>
  <c r="AG24" i="127"/>
  <c r="AG22" i="127"/>
  <c r="AG21" i="127"/>
  <c r="AG20" i="127"/>
  <c r="AG19" i="127"/>
  <c r="AG17" i="127"/>
  <c r="Q55" i="1" s="1"/>
  <c r="AG16" i="127"/>
  <c r="AG15" i="127"/>
  <c r="AG14" i="127"/>
  <c r="AG13" i="127"/>
  <c r="AG12" i="127"/>
  <c r="AG10" i="127"/>
  <c r="AG9" i="127"/>
  <c r="AG8" i="127"/>
  <c r="AG7" i="127"/>
  <c r="AG5" i="127"/>
  <c r="AG4" i="127"/>
  <c r="AG3" i="127"/>
  <c r="Q57" i="1" l="1"/>
  <c r="P55" i="1"/>
  <c r="E55" i="1"/>
  <c r="E57" i="1" s="1"/>
  <c r="G55" i="1"/>
  <c r="G57" i="1" s="1"/>
  <c r="I55" i="1"/>
  <c r="I57" i="1" s="1"/>
  <c r="L55" i="1"/>
  <c r="L57" i="1" s="1"/>
  <c r="M55" i="1"/>
  <c r="M57" i="1" s="1"/>
  <c r="P57" i="1"/>
  <c r="O55" i="1"/>
  <c r="O57" i="1" s="1"/>
  <c r="S55" i="1"/>
  <c r="S57" i="1" s="1"/>
  <c r="U55" i="1"/>
  <c r="U57" i="1" s="1"/>
  <c r="D55" i="1"/>
  <c r="D57" i="1" s="1"/>
  <c r="F55" i="1"/>
  <c r="F57" i="1" s="1"/>
  <c r="H55" i="1"/>
  <c r="H57" i="1" s="1"/>
  <c r="J55" i="1"/>
  <c r="J57" i="1" s="1"/>
  <c r="N55" i="1"/>
  <c r="N57" i="1" s="1"/>
  <c r="R55" i="1"/>
  <c r="R57" i="1" s="1"/>
  <c r="T55" i="1"/>
  <c r="T57" i="1" s="1"/>
  <c r="V55" i="1"/>
  <c r="V57" i="1" s="1"/>
  <c r="X55" i="1"/>
  <c r="X57" i="1" s="1"/>
  <c r="Z55" i="1"/>
  <c r="Z57" i="1" s="1"/>
  <c r="AC57" i="1"/>
  <c r="AB55" i="1"/>
  <c r="AB57" i="1" s="1"/>
  <c r="W55" i="1"/>
  <c r="W57" i="1" s="1"/>
  <c r="Y55" i="1"/>
  <c r="Y57" i="1" s="1"/>
  <c r="AA55" i="1"/>
  <c r="AA57" i="1" s="1"/>
  <c r="AF57" i="1"/>
  <c r="AE55" i="1"/>
  <c r="AE57" i="1" s="1"/>
  <c r="C55" i="1"/>
  <c r="C57" i="1" s="1"/>
  <c r="AG34" i="127"/>
  <c r="AG33" i="127"/>
  <c r="AD57" i="1" s="1"/>
  <c r="AG33" i="116"/>
  <c r="AG34" i="116"/>
  <c r="AG33" i="94"/>
  <c r="AG34" i="94"/>
  <c r="AG34" i="82"/>
  <c r="AG33" i="82"/>
  <c r="AF33" i="126"/>
  <c r="AE33" i="126"/>
  <c r="AD33" i="126"/>
  <c r="AC33" i="126"/>
  <c r="AB33" i="126"/>
  <c r="AA33" i="126"/>
  <c r="Z33" i="126"/>
  <c r="Y33" i="126"/>
  <c r="X33" i="126"/>
  <c r="W33" i="126"/>
  <c r="V33" i="126"/>
  <c r="U33" i="126"/>
  <c r="T33" i="126"/>
  <c r="S33" i="126"/>
  <c r="R33" i="126"/>
  <c r="Q33" i="126"/>
  <c r="P33" i="126"/>
  <c r="O33" i="126"/>
  <c r="N33" i="126"/>
  <c r="M33" i="126"/>
  <c r="L33" i="126"/>
  <c r="K33" i="126"/>
  <c r="J33" i="126"/>
  <c r="I33" i="126"/>
  <c r="H33" i="126"/>
  <c r="G33" i="126"/>
  <c r="F33" i="126"/>
  <c r="E33" i="126"/>
  <c r="D33" i="126"/>
  <c r="C33" i="126"/>
  <c r="B33" i="126"/>
  <c r="AG32" i="126"/>
  <c r="AF48" i="1" s="1"/>
  <c r="AG32" i="115"/>
  <c r="AG31" i="115"/>
  <c r="AG30" i="115"/>
  <c r="AG29" i="115"/>
  <c r="AG28" i="115"/>
  <c r="AG27" i="115"/>
  <c r="AG26" i="115"/>
  <c r="AG25" i="115"/>
  <c r="AG24" i="115"/>
  <c r="AG23" i="115"/>
  <c r="AG22" i="115"/>
  <c r="AG21" i="115"/>
  <c r="AF33" i="115"/>
  <c r="AE33" i="115"/>
  <c r="AD33" i="115"/>
  <c r="AC33" i="115"/>
  <c r="AB33" i="115"/>
  <c r="AA33" i="115"/>
  <c r="Z33" i="115"/>
  <c r="Y33" i="115"/>
  <c r="X33" i="115"/>
  <c r="W33" i="115"/>
  <c r="V33" i="115"/>
  <c r="U33" i="115"/>
  <c r="T33" i="115"/>
  <c r="S33" i="115"/>
  <c r="R33" i="115"/>
  <c r="Q33" i="115"/>
  <c r="P33" i="115"/>
  <c r="O33" i="115"/>
  <c r="N33" i="115"/>
  <c r="M33" i="115"/>
  <c r="L33" i="115"/>
  <c r="K33" i="115"/>
  <c r="J33" i="115"/>
  <c r="I33" i="115"/>
  <c r="H33" i="115"/>
  <c r="G33" i="115"/>
  <c r="F33" i="115"/>
  <c r="E33" i="115"/>
  <c r="D33" i="115"/>
  <c r="C33" i="115"/>
  <c r="B33" i="115"/>
  <c r="AG19" i="115"/>
  <c r="AG18" i="115"/>
  <c r="AG17" i="115"/>
  <c r="AG16" i="115"/>
  <c r="AG14" i="115"/>
  <c r="AG13" i="115"/>
  <c r="AG12" i="115"/>
  <c r="AG11" i="115"/>
  <c r="AG10" i="115"/>
  <c r="AG9" i="115"/>
  <c r="AG8" i="115"/>
  <c r="AG7" i="115"/>
  <c r="AG6" i="115"/>
  <c r="AG5" i="115"/>
  <c r="AG4" i="115"/>
  <c r="AF33" i="81"/>
  <c r="AE33" i="81"/>
  <c r="AD33" i="81"/>
  <c r="AC33" i="81"/>
  <c r="AB33" i="81"/>
  <c r="AA33" i="81"/>
  <c r="Z33" i="81"/>
  <c r="Y33" i="81"/>
  <c r="X33" i="81"/>
  <c r="W33" i="81"/>
  <c r="V33" i="81"/>
  <c r="U33" i="81"/>
  <c r="T33" i="81"/>
  <c r="S33" i="81"/>
  <c r="R33" i="81"/>
  <c r="Q33" i="81"/>
  <c r="P33" i="81"/>
  <c r="O33" i="81"/>
  <c r="N33" i="81"/>
  <c r="M33" i="81"/>
  <c r="L33" i="81"/>
  <c r="K33" i="81"/>
  <c r="J33" i="81"/>
  <c r="I33" i="81"/>
  <c r="H33" i="81"/>
  <c r="G33" i="81"/>
  <c r="F33" i="81"/>
  <c r="E33" i="81"/>
  <c r="D33" i="81"/>
  <c r="C33" i="81"/>
  <c r="B33" i="81"/>
  <c r="AG32" i="81"/>
  <c r="AG31" i="81"/>
  <c r="AG30" i="81"/>
  <c r="AG29" i="81"/>
  <c r="AG28" i="81"/>
  <c r="AG27" i="81"/>
  <c r="AG26" i="81"/>
  <c r="AG25" i="81"/>
  <c r="AG24" i="81"/>
  <c r="AG23" i="81"/>
  <c r="AG22" i="81"/>
  <c r="AG21" i="81"/>
  <c r="AG20" i="81"/>
  <c r="AG19" i="81"/>
  <c r="AG18" i="81"/>
  <c r="AG17" i="81"/>
  <c r="AG16" i="81"/>
  <c r="AG15" i="81"/>
  <c r="AG14" i="81"/>
  <c r="AG13" i="81"/>
  <c r="AG12" i="81"/>
  <c r="AG11" i="81"/>
  <c r="AG10" i="81"/>
  <c r="AG9" i="81"/>
  <c r="AG8" i="81"/>
  <c r="AG7" i="81"/>
  <c r="AG6" i="81"/>
  <c r="AG5" i="81"/>
  <c r="AG4" i="81"/>
  <c r="AG3" i="81"/>
  <c r="AG34" i="126" l="1"/>
  <c r="AG33" i="126"/>
  <c r="AG33" i="115"/>
  <c r="AG33" i="81"/>
  <c r="AG34" i="81"/>
  <c r="AG20" i="115"/>
  <c r="G25" i="112"/>
  <c r="AG34" i="115" l="1"/>
  <c r="B32" i="89"/>
  <c r="AB29" i="114"/>
  <c r="AC29" i="114"/>
  <c r="AD29" i="114"/>
  <c r="AE29" i="114"/>
  <c r="AA29" i="114"/>
  <c r="Z29" i="114"/>
  <c r="Y29" i="114"/>
  <c r="X29" i="114"/>
  <c r="W29" i="114"/>
  <c r="V29" i="114"/>
  <c r="U29" i="114"/>
  <c r="T29" i="114"/>
  <c r="S29" i="114"/>
  <c r="R29" i="114"/>
  <c r="Q29" i="114"/>
  <c r="P29" i="114"/>
  <c r="O29" i="114"/>
  <c r="N29" i="114"/>
  <c r="M29" i="114"/>
  <c r="L29" i="114"/>
  <c r="K29" i="114"/>
  <c r="J29" i="114"/>
  <c r="I29" i="114"/>
  <c r="H29" i="114"/>
  <c r="G29" i="114"/>
  <c r="F29" i="114"/>
  <c r="E29" i="114"/>
  <c r="D29" i="114"/>
  <c r="C29" i="114"/>
  <c r="B29" i="114"/>
  <c r="AG3" i="114"/>
  <c r="AE9" i="113"/>
  <c r="AD9" i="113"/>
  <c r="AC9" i="113"/>
  <c r="AB9" i="113"/>
  <c r="AA9" i="113"/>
  <c r="Z9" i="113"/>
  <c r="Y9" i="113"/>
  <c r="X9" i="113"/>
  <c r="W9" i="113"/>
  <c r="V9" i="113"/>
  <c r="U9" i="113"/>
  <c r="T9" i="113"/>
  <c r="S9" i="113"/>
  <c r="R9" i="113"/>
  <c r="Q9" i="113"/>
  <c r="P9" i="113"/>
  <c r="O9" i="113"/>
  <c r="N9" i="113"/>
  <c r="M9" i="113"/>
  <c r="L9" i="113"/>
  <c r="K9" i="113"/>
  <c r="J9" i="113"/>
  <c r="I9" i="113"/>
  <c r="H9" i="113"/>
  <c r="G9" i="113"/>
  <c r="F9" i="113"/>
  <c r="E9" i="113"/>
  <c r="D9" i="113"/>
  <c r="C9" i="113"/>
  <c r="B9" i="113"/>
  <c r="AE9" i="114"/>
  <c r="AD9" i="114"/>
  <c r="AC9" i="114"/>
  <c r="AB9" i="114"/>
  <c r="AB33" i="114" s="1"/>
  <c r="AA9" i="114"/>
  <c r="Z9" i="114"/>
  <c r="Y9" i="114"/>
  <c r="X9" i="114"/>
  <c r="W9" i="114"/>
  <c r="V9" i="114"/>
  <c r="U9" i="114"/>
  <c r="T9" i="114"/>
  <c r="S9" i="114"/>
  <c r="R9" i="114"/>
  <c r="Q9" i="114"/>
  <c r="Q33" i="114" s="1"/>
  <c r="P9" i="114"/>
  <c r="O9" i="114"/>
  <c r="N9" i="114"/>
  <c r="M9" i="114"/>
  <c r="L9" i="114"/>
  <c r="L33" i="114" s="1"/>
  <c r="K9" i="114"/>
  <c r="J9" i="114"/>
  <c r="I9" i="114"/>
  <c r="H9" i="114"/>
  <c r="G9" i="114"/>
  <c r="F9" i="114"/>
  <c r="E9" i="114"/>
  <c r="D9" i="114"/>
  <c r="C9" i="114"/>
  <c r="B9" i="114"/>
  <c r="AD14" i="114"/>
  <c r="AC14" i="114"/>
  <c r="AB14" i="114"/>
  <c r="AA14" i="114"/>
  <c r="Z14" i="114"/>
  <c r="Y14" i="114"/>
  <c r="X14" i="114"/>
  <c r="W14" i="114"/>
  <c r="V14" i="114"/>
  <c r="U14" i="114"/>
  <c r="T14" i="114"/>
  <c r="S14" i="114"/>
  <c r="R14" i="114"/>
  <c r="Q14" i="114"/>
  <c r="P14" i="114"/>
  <c r="O14" i="114"/>
  <c r="N14" i="114"/>
  <c r="M14" i="114"/>
  <c r="L14" i="114"/>
  <c r="K14" i="114"/>
  <c r="J14" i="114"/>
  <c r="I14" i="114"/>
  <c r="H14" i="114"/>
  <c r="H33" i="114" s="1"/>
  <c r="G14" i="114"/>
  <c r="F14" i="114"/>
  <c r="E14" i="114"/>
  <c r="D14" i="114"/>
  <c r="C14" i="114"/>
  <c r="B14" i="114"/>
  <c r="AE21" i="114"/>
  <c r="AD21" i="114"/>
  <c r="AC21" i="114"/>
  <c r="AB21" i="114"/>
  <c r="AA21" i="114"/>
  <c r="Z21" i="114"/>
  <c r="Y21" i="114"/>
  <c r="X21" i="114"/>
  <c r="W21" i="114"/>
  <c r="V21" i="114"/>
  <c r="U21" i="114"/>
  <c r="T21" i="114"/>
  <c r="S21" i="114"/>
  <c r="R21" i="114"/>
  <c r="Q21" i="114"/>
  <c r="P21" i="114"/>
  <c r="O21" i="114"/>
  <c r="N21" i="114"/>
  <c r="M21" i="114"/>
  <c r="L21" i="114"/>
  <c r="K21" i="114"/>
  <c r="J21" i="114"/>
  <c r="I21" i="114"/>
  <c r="H21" i="114"/>
  <c r="G21" i="114"/>
  <c r="F21" i="114"/>
  <c r="E21" i="114"/>
  <c r="D21" i="114"/>
  <c r="C21" i="114"/>
  <c r="B21" i="114"/>
  <c r="AE9" i="102"/>
  <c r="AD9" i="102"/>
  <c r="AC9" i="102"/>
  <c r="AB9" i="102"/>
  <c r="AA9" i="102"/>
  <c r="Z9" i="102"/>
  <c r="Y9" i="102"/>
  <c r="X9" i="102"/>
  <c r="W9" i="102"/>
  <c r="V9" i="102"/>
  <c r="U9" i="102"/>
  <c r="T9" i="102"/>
  <c r="S9" i="102"/>
  <c r="R9" i="102"/>
  <c r="I9" i="102"/>
  <c r="H9" i="102"/>
  <c r="G9" i="102"/>
  <c r="F9" i="102"/>
  <c r="E9" i="102"/>
  <c r="D9" i="102"/>
  <c r="C9" i="102"/>
  <c r="B9" i="102"/>
  <c r="AE29" i="103"/>
  <c r="AD29" i="103"/>
  <c r="AC29" i="103"/>
  <c r="AB29" i="103"/>
  <c r="AA29" i="103"/>
  <c r="Z29" i="103"/>
  <c r="Y29" i="103"/>
  <c r="X29" i="103"/>
  <c r="W29" i="103"/>
  <c r="V29" i="103"/>
  <c r="U29" i="103"/>
  <c r="T29" i="103"/>
  <c r="S29" i="103"/>
  <c r="R29" i="103"/>
  <c r="Q29" i="103"/>
  <c r="P29" i="103"/>
  <c r="O29" i="103"/>
  <c r="N29" i="103"/>
  <c r="N33" i="103" s="1"/>
  <c r="M29" i="103"/>
  <c r="L29" i="103"/>
  <c r="K29" i="103"/>
  <c r="J29" i="103"/>
  <c r="I29" i="103"/>
  <c r="H29" i="103"/>
  <c r="G29" i="103"/>
  <c r="F29" i="103"/>
  <c r="F33" i="103" s="1"/>
  <c r="E29" i="103"/>
  <c r="D29" i="103"/>
  <c r="C29" i="103"/>
  <c r="B29" i="103"/>
  <c r="G21" i="103"/>
  <c r="AE9" i="103"/>
  <c r="AD9" i="103"/>
  <c r="AC9" i="103"/>
  <c r="AB9" i="103"/>
  <c r="AA9" i="103"/>
  <c r="Z9" i="103"/>
  <c r="Y9" i="103"/>
  <c r="X9" i="103"/>
  <c r="X33" i="103" s="1"/>
  <c r="W9" i="103"/>
  <c r="V9" i="103"/>
  <c r="U9" i="103"/>
  <c r="T9" i="103"/>
  <c r="S9" i="103"/>
  <c r="R9" i="103"/>
  <c r="Q9" i="103"/>
  <c r="P9" i="103"/>
  <c r="O9" i="103"/>
  <c r="N9" i="103"/>
  <c r="M9" i="103"/>
  <c r="L9" i="103"/>
  <c r="K9" i="103"/>
  <c r="J9" i="103"/>
  <c r="I9" i="103"/>
  <c r="H9" i="103"/>
  <c r="G9" i="103"/>
  <c r="F9" i="103"/>
  <c r="E9" i="103"/>
  <c r="D9" i="103"/>
  <c r="C9" i="103"/>
  <c r="B9" i="103"/>
  <c r="AE14" i="103"/>
  <c r="AD14" i="103"/>
  <c r="AC14" i="103"/>
  <c r="AB14" i="103"/>
  <c r="AA14" i="103"/>
  <c r="Z14" i="103"/>
  <c r="Y14" i="103"/>
  <c r="X14" i="103"/>
  <c r="W14" i="103"/>
  <c r="V14" i="103"/>
  <c r="U14" i="103"/>
  <c r="T14" i="103"/>
  <c r="S14" i="103"/>
  <c r="R14" i="103"/>
  <c r="Q14" i="103"/>
  <c r="P14" i="103"/>
  <c r="O14" i="103"/>
  <c r="N14" i="103"/>
  <c r="M14" i="103"/>
  <c r="L14" i="103"/>
  <c r="K14" i="103"/>
  <c r="J14" i="103"/>
  <c r="I14" i="103"/>
  <c r="H14" i="103"/>
  <c r="G14" i="103"/>
  <c r="F14" i="103"/>
  <c r="E14" i="103"/>
  <c r="D14" i="103"/>
  <c r="C14" i="103"/>
  <c r="B14" i="103"/>
  <c r="AE21" i="103"/>
  <c r="AD21" i="103"/>
  <c r="AC21" i="103"/>
  <c r="AB21" i="103"/>
  <c r="AA21" i="103"/>
  <c r="Z21" i="103"/>
  <c r="Y21" i="103"/>
  <c r="X21" i="103"/>
  <c r="W21" i="103"/>
  <c r="V21" i="103"/>
  <c r="U21" i="103"/>
  <c r="T21" i="103"/>
  <c r="S21" i="103"/>
  <c r="R21" i="103"/>
  <c r="I21" i="103"/>
  <c r="H21" i="103"/>
  <c r="F21" i="103"/>
  <c r="E21" i="103"/>
  <c r="D21" i="103"/>
  <c r="C21" i="103"/>
  <c r="B21" i="103"/>
  <c r="AG4" i="80"/>
  <c r="AG5" i="80"/>
  <c r="AG6" i="80"/>
  <c r="AG7" i="80"/>
  <c r="AG8" i="80"/>
  <c r="AG9" i="80"/>
  <c r="AG10" i="80"/>
  <c r="AG11" i="80"/>
  <c r="AG12" i="80"/>
  <c r="AG13" i="80"/>
  <c r="AG14" i="80"/>
  <c r="AG15" i="80"/>
  <c r="AG16" i="80"/>
  <c r="AG17" i="80"/>
  <c r="AG18" i="80"/>
  <c r="AG19" i="80"/>
  <c r="AG20" i="80"/>
  <c r="AG21" i="80"/>
  <c r="AG22" i="80"/>
  <c r="AG23" i="80"/>
  <c r="AG24" i="80"/>
  <c r="AG25" i="80"/>
  <c r="AG26" i="80"/>
  <c r="AG27" i="80"/>
  <c r="AG28" i="80"/>
  <c r="AG30" i="80"/>
  <c r="AG31" i="80"/>
  <c r="AG32" i="80"/>
  <c r="AG3" i="80"/>
  <c r="M29" i="80"/>
  <c r="M33" i="80" s="1"/>
  <c r="L29" i="80"/>
  <c r="K29" i="80"/>
  <c r="K33" i="80" s="1"/>
  <c r="J29" i="80"/>
  <c r="I29" i="80"/>
  <c r="I33" i="80" s="1"/>
  <c r="H29" i="80"/>
  <c r="H33" i="80" s="1"/>
  <c r="G29" i="80"/>
  <c r="G33" i="80" s="1"/>
  <c r="F29" i="80"/>
  <c r="E29" i="80"/>
  <c r="D29" i="80"/>
  <c r="C29" i="80"/>
  <c r="B29" i="80"/>
  <c r="AE29" i="92"/>
  <c r="AE33" i="92" s="1"/>
  <c r="AD29" i="92"/>
  <c r="AD33" i="92" s="1"/>
  <c r="AC29" i="92"/>
  <c r="AB29" i="92"/>
  <c r="AB33" i="92" s="1"/>
  <c r="AA29" i="92"/>
  <c r="AA33" i="92" s="1"/>
  <c r="Z29" i="92"/>
  <c r="Z33" i="92" s="1"/>
  <c r="Y29" i="92"/>
  <c r="Y33" i="92" s="1"/>
  <c r="X29" i="92"/>
  <c r="W29" i="92"/>
  <c r="W33" i="92" s="1"/>
  <c r="V29" i="92"/>
  <c r="U29" i="92"/>
  <c r="U33" i="92" s="1"/>
  <c r="T29" i="92"/>
  <c r="T33" i="92" s="1"/>
  <c r="S29" i="92"/>
  <c r="S33" i="92" s="1"/>
  <c r="R29" i="92"/>
  <c r="R33" i="92" s="1"/>
  <c r="Q29" i="92"/>
  <c r="Q33" i="92" s="1"/>
  <c r="P29" i="92"/>
  <c r="O29" i="92"/>
  <c r="O33" i="92" s="1"/>
  <c r="N29" i="92"/>
  <c r="N33" i="92" s="1"/>
  <c r="M29" i="92"/>
  <c r="M33" i="92" s="1"/>
  <c r="L29" i="92"/>
  <c r="L33" i="92" s="1"/>
  <c r="K29" i="92"/>
  <c r="K33" i="92" s="1"/>
  <c r="J29" i="92"/>
  <c r="J33" i="92" s="1"/>
  <c r="I29" i="92"/>
  <c r="I33" i="92" s="1"/>
  <c r="H29" i="92"/>
  <c r="G29" i="92"/>
  <c r="G33" i="92" s="1"/>
  <c r="F29" i="92"/>
  <c r="F33" i="92" s="1"/>
  <c r="E29" i="92"/>
  <c r="E33" i="92" s="1"/>
  <c r="D29" i="92"/>
  <c r="C29" i="92"/>
  <c r="B29" i="92"/>
  <c r="AF33" i="125"/>
  <c r="AE33" i="125"/>
  <c r="AD33" i="125"/>
  <c r="AC33" i="125"/>
  <c r="AB33" i="125"/>
  <c r="AA33" i="125"/>
  <c r="Z33" i="125"/>
  <c r="Y33" i="125"/>
  <c r="X33" i="125"/>
  <c r="W33" i="125"/>
  <c r="V33" i="125"/>
  <c r="U33" i="125"/>
  <c r="T33" i="125"/>
  <c r="S33" i="125"/>
  <c r="R33" i="125"/>
  <c r="Q33" i="125"/>
  <c r="P33" i="125"/>
  <c r="O33" i="125"/>
  <c r="N33" i="125"/>
  <c r="M33" i="125"/>
  <c r="L33" i="125"/>
  <c r="K33" i="125"/>
  <c r="J33" i="125"/>
  <c r="I33" i="125"/>
  <c r="H33" i="125"/>
  <c r="G33" i="125"/>
  <c r="F33" i="125"/>
  <c r="E33" i="125"/>
  <c r="D33" i="125"/>
  <c r="C33" i="125"/>
  <c r="B33" i="125"/>
  <c r="AG32" i="125"/>
  <c r="AF41" i="1" s="1"/>
  <c r="AG32" i="114"/>
  <c r="AG31" i="114"/>
  <c r="AG30" i="114"/>
  <c r="AF33" i="114"/>
  <c r="AG28" i="114"/>
  <c r="AG27" i="114"/>
  <c r="AG26" i="114"/>
  <c r="AG25" i="114"/>
  <c r="AG24" i="114"/>
  <c r="AG23" i="114"/>
  <c r="AG22" i="114"/>
  <c r="AG20" i="114"/>
  <c r="AG19" i="114"/>
  <c r="AG18" i="114"/>
  <c r="AG17" i="114"/>
  <c r="AG16" i="114"/>
  <c r="AG15" i="114"/>
  <c r="AG13" i="114"/>
  <c r="AG12" i="114"/>
  <c r="AG11" i="114"/>
  <c r="AG10" i="114"/>
  <c r="AG8" i="114"/>
  <c r="AG7" i="114"/>
  <c r="AG6" i="114"/>
  <c r="AG5" i="114"/>
  <c r="AG4" i="114"/>
  <c r="AG32" i="103"/>
  <c r="AG31" i="103"/>
  <c r="AG30" i="103"/>
  <c r="AF33" i="103"/>
  <c r="AG28" i="103"/>
  <c r="AG27" i="103"/>
  <c r="AG26" i="103"/>
  <c r="AG25" i="103"/>
  <c r="AG24" i="103"/>
  <c r="AG23" i="103"/>
  <c r="AG22" i="103"/>
  <c r="AG20" i="103"/>
  <c r="AG19" i="103"/>
  <c r="AG18" i="103"/>
  <c r="AG17" i="103"/>
  <c r="AG16" i="103"/>
  <c r="AG15" i="103"/>
  <c r="AG13" i="103"/>
  <c r="AG12" i="103"/>
  <c r="AG11" i="103"/>
  <c r="AG10" i="103"/>
  <c r="AG8" i="103"/>
  <c r="AG7" i="103"/>
  <c r="AG6" i="103"/>
  <c r="AG5" i="103"/>
  <c r="AG4" i="103"/>
  <c r="AG3" i="103"/>
  <c r="AG32" i="92"/>
  <c r="AG31" i="92"/>
  <c r="AG30" i="92"/>
  <c r="AF33" i="92"/>
  <c r="AC33" i="92"/>
  <c r="X33" i="92"/>
  <c r="V33" i="92"/>
  <c r="P33" i="92"/>
  <c r="H33" i="92"/>
  <c r="D33" i="92"/>
  <c r="AG28" i="92"/>
  <c r="AG27" i="92"/>
  <c r="AG26" i="92"/>
  <c r="AG25" i="92"/>
  <c r="AG24" i="92"/>
  <c r="AG23" i="92"/>
  <c r="AG22" i="92"/>
  <c r="AG21" i="92"/>
  <c r="AG20" i="92"/>
  <c r="AG19" i="92"/>
  <c r="AG18" i="92"/>
  <c r="AG17" i="92"/>
  <c r="AG16" i="92"/>
  <c r="AG15" i="92"/>
  <c r="AG14" i="92"/>
  <c r="AG13" i="92"/>
  <c r="AG12" i="92"/>
  <c r="AG11" i="92"/>
  <c r="AG10" i="92"/>
  <c r="AG9" i="92"/>
  <c r="AG8" i="92"/>
  <c r="AG7" i="92"/>
  <c r="AG6" i="92"/>
  <c r="AG5" i="92"/>
  <c r="AG4" i="92"/>
  <c r="AG3" i="92"/>
  <c r="AE33" i="80"/>
  <c r="AC33" i="80"/>
  <c r="AA33" i="80"/>
  <c r="Y33" i="80"/>
  <c r="T33" i="80"/>
  <c r="S33" i="80"/>
  <c r="R33" i="80"/>
  <c r="Q33" i="80"/>
  <c r="P33" i="80"/>
  <c r="O33" i="80"/>
  <c r="N33" i="80"/>
  <c r="L33" i="80"/>
  <c r="J33" i="80"/>
  <c r="D33" i="80"/>
  <c r="C33" i="80"/>
  <c r="AF33" i="80"/>
  <c r="AD33" i="80"/>
  <c r="AB33" i="80"/>
  <c r="Z33" i="80"/>
  <c r="X33" i="80"/>
  <c r="W33" i="80"/>
  <c r="V33" i="80"/>
  <c r="U33" i="80"/>
  <c r="F33" i="80"/>
  <c r="E33" i="80"/>
  <c r="B33" i="80"/>
  <c r="D33" i="114" l="1"/>
  <c r="T33" i="114"/>
  <c r="AE33" i="114"/>
  <c r="P33" i="103"/>
  <c r="AA33" i="114"/>
  <c r="I33" i="114"/>
  <c r="Y33" i="114"/>
  <c r="AG29" i="92"/>
  <c r="AG34" i="92" s="1"/>
  <c r="B33" i="103"/>
  <c r="J33" i="103"/>
  <c r="R33" i="103"/>
  <c r="V33" i="103"/>
  <c r="Z33" i="103"/>
  <c r="AD33" i="103"/>
  <c r="H33" i="103"/>
  <c r="E33" i="103"/>
  <c r="M33" i="103"/>
  <c r="G33" i="114"/>
  <c r="O33" i="114"/>
  <c r="F33" i="114"/>
  <c r="R33" i="114"/>
  <c r="D33" i="103"/>
  <c r="U33" i="103"/>
  <c r="AC33" i="103"/>
  <c r="G33" i="103"/>
  <c r="O33" i="103"/>
  <c r="W33" i="103"/>
  <c r="AE33" i="103"/>
  <c r="I33" i="103"/>
  <c r="Q33" i="103"/>
  <c r="Y33" i="103"/>
  <c r="AG21" i="114"/>
  <c r="N33" i="114"/>
  <c r="V33" i="114"/>
  <c r="X33" i="114"/>
  <c r="C33" i="114"/>
  <c r="K33" i="114"/>
  <c r="S33" i="114"/>
  <c r="B33" i="92"/>
  <c r="C33" i="103"/>
  <c r="K33" i="103"/>
  <c r="S33" i="103"/>
  <c r="AA33" i="103"/>
  <c r="L33" i="103"/>
  <c r="T33" i="103"/>
  <c r="AB33" i="103"/>
  <c r="AG14" i="114"/>
  <c r="J33" i="114"/>
  <c r="Z33" i="114"/>
  <c r="E33" i="114"/>
  <c r="U33" i="114"/>
  <c r="AC33" i="114"/>
  <c r="B33" i="114"/>
  <c r="AG29" i="80"/>
  <c r="AG34" i="80" s="1"/>
  <c r="W33" i="114"/>
  <c r="P33" i="114"/>
  <c r="M33" i="114"/>
  <c r="AD33" i="114"/>
  <c r="AG21" i="103"/>
  <c r="AG14" i="103"/>
  <c r="AG34" i="125"/>
  <c r="AG33" i="125"/>
  <c r="AG9" i="114"/>
  <c r="AG9" i="103"/>
  <c r="AG29" i="114"/>
  <c r="AG29" i="103"/>
  <c r="C33" i="92"/>
  <c r="AG33" i="80"/>
  <c r="AG33" i="103" l="1"/>
  <c r="AG33" i="92"/>
  <c r="AG33" i="114"/>
  <c r="AG34" i="103"/>
  <c r="AG34" i="114"/>
  <c r="AG35" i="1"/>
  <c r="AG28" i="1"/>
  <c r="AG21" i="1"/>
  <c r="AG14" i="1"/>
  <c r="AF29" i="102" l="1"/>
  <c r="AE29" i="102"/>
  <c r="AD29" i="102"/>
  <c r="AC29" i="102"/>
  <c r="AB29" i="102"/>
  <c r="AA29" i="102"/>
  <c r="Z29" i="102"/>
  <c r="Y29" i="102"/>
  <c r="X29" i="102"/>
  <c r="W29" i="102"/>
  <c r="V29" i="102"/>
  <c r="U29" i="102"/>
  <c r="T29" i="102"/>
  <c r="S29" i="102"/>
  <c r="R29" i="102"/>
  <c r="Q29" i="102"/>
  <c r="P29" i="102"/>
  <c r="O29" i="102"/>
  <c r="N29" i="102"/>
  <c r="M29" i="102"/>
  <c r="L29" i="102"/>
  <c r="K29" i="102"/>
  <c r="J29" i="102"/>
  <c r="I29" i="102"/>
  <c r="H29" i="102"/>
  <c r="G29" i="102"/>
  <c r="F29" i="102"/>
  <c r="E29" i="102"/>
  <c r="D29" i="102"/>
  <c r="C29" i="102"/>
  <c r="B29" i="102"/>
  <c r="AF29" i="113"/>
  <c r="AE29" i="113"/>
  <c r="AD29" i="113"/>
  <c r="AC29" i="113"/>
  <c r="AB29" i="113"/>
  <c r="AA29" i="113"/>
  <c r="Z29" i="113"/>
  <c r="Y29" i="113"/>
  <c r="X29" i="113"/>
  <c r="W29" i="113"/>
  <c r="V29" i="113"/>
  <c r="U29" i="113"/>
  <c r="T29" i="113"/>
  <c r="S29" i="113"/>
  <c r="R29" i="113"/>
  <c r="Q29" i="113"/>
  <c r="P29" i="113"/>
  <c r="O29" i="113"/>
  <c r="N29" i="113"/>
  <c r="M29" i="113"/>
  <c r="L29" i="113"/>
  <c r="K29" i="113"/>
  <c r="J29" i="113"/>
  <c r="I29" i="113"/>
  <c r="H29" i="113"/>
  <c r="G29" i="113"/>
  <c r="F29" i="113"/>
  <c r="E29" i="113"/>
  <c r="D29" i="113"/>
  <c r="C29" i="113"/>
  <c r="B29" i="113"/>
  <c r="AF29" i="79" l="1"/>
  <c r="AF33" i="79" s="1"/>
  <c r="AE29" i="79"/>
  <c r="AE33" i="79" s="1"/>
  <c r="AD29" i="79"/>
  <c r="AD33" i="79" s="1"/>
  <c r="AC29" i="79"/>
  <c r="AB29" i="79"/>
  <c r="AB33" i="79" s="1"/>
  <c r="AA29" i="79"/>
  <c r="AA33" i="79" s="1"/>
  <c r="Z29" i="79"/>
  <c r="Z33" i="79" s="1"/>
  <c r="X29" i="79"/>
  <c r="X33" i="79" s="1"/>
  <c r="W29" i="79"/>
  <c r="W33" i="79" s="1"/>
  <c r="V29" i="79"/>
  <c r="U29" i="79"/>
  <c r="M29" i="79"/>
  <c r="M33" i="79" s="1"/>
  <c r="K29" i="79"/>
  <c r="H29" i="79"/>
  <c r="H33" i="79" s="1"/>
  <c r="G29" i="79"/>
  <c r="F29" i="79"/>
  <c r="F33" i="79" s="1"/>
  <c r="E29" i="79"/>
  <c r="B29" i="79"/>
  <c r="B33" i="79" s="1"/>
  <c r="AB29" i="91"/>
  <c r="AC29" i="91"/>
  <c r="AC33" i="91" s="1"/>
  <c r="AD29" i="91"/>
  <c r="AD33" i="91" s="1"/>
  <c r="AE29" i="91"/>
  <c r="AE33" i="91" s="1"/>
  <c r="AF29" i="91"/>
  <c r="AF33" i="91" s="1"/>
  <c r="E29" i="91"/>
  <c r="E33" i="91" s="1"/>
  <c r="AA29" i="91"/>
  <c r="Z29" i="91"/>
  <c r="Z33" i="91" s="1"/>
  <c r="Y29" i="91"/>
  <c r="Y33" i="91" s="1"/>
  <c r="X29" i="91"/>
  <c r="X33" i="91" s="1"/>
  <c r="V29" i="91"/>
  <c r="V33" i="91" s="1"/>
  <c r="U29" i="91"/>
  <c r="U33" i="91" s="1"/>
  <c r="T29" i="91"/>
  <c r="T33" i="91" s="1"/>
  <c r="S29" i="91"/>
  <c r="S33" i="91" s="1"/>
  <c r="R29" i="91"/>
  <c r="Q29" i="91"/>
  <c r="P29" i="91"/>
  <c r="P33" i="91" s="1"/>
  <c r="O29" i="91"/>
  <c r="O33" i="91" s="1"/>
  <c r="N29" i="91"/>
  <c r="N33" i="91" s="1"/>
  <c r="M29" i="91"/>
  <c r="M33" i="91" s="1"/>
  <c r="L29" i="91"/>
  <c r="L33" i="91" s="1"/>
  <c r="K29" i="91"/>
  <c r="K33" i="91" s="1"/>
  <c r="J29" i="91"/>
  <c r="I29" i="91"/>
  <c r="H29" i="91"/>
  <c r="H33" i="91" s="1"/>
  <c r="G29" i="91"/>
  <c r="G33" i="91" s="1"/>
  <c r="F29" i="91"/>
  <c r="F33" i="91" s="1"/>
  <c r="D29" i="91"/>
  <c r="D33" i="91" s="1"/>
  <c r="C29" i="91"/>
  <c r="C33" i="91" s="1"/>
  <c r="AC33" i="79"/>
  <c r="V33" i="79"/>
  <c r="U33" i="79"/>
  <c r="T33" i="79"/>
  <c r="S33" i="79"/>
  <c r="P33" i="79"/>
  <c r="N33" i="79"/>
  <c r="L33" i="79"/>
  <c r="J33" i="79"/>
  <c r="I33" i="79"/>
  <c r="D33" i="79"/>
  <c r="AG32" i="79"/>
  <c r="AG31" i="79"/>
  <c r="AG30" i="79"/>
  <c r="AG28" i="79"/>
  <c r="AG27" i="79"/>
  <c r="AG26" i="79"/>
  <c r="AG25" i="79"/>
  <c r="AG24" i="79"/>
  <c r="AG23" i="79"/>
  <c r="AG22" i="79"/>
  <c r="AG21" i="79"/>
  <c r="AG20" i="79"/>
  <c r="AG19" i="79"/>
  <c r="Y33" i="79"/>
  <c r="R33" i="79"/>
  <c r="Q33" i="79"/>
  <c r="O33" i="79"/>
  <c r="K33" i="79"/>
  <c r="G33" i="79"/>
  <c r="E33" i="79"/>
  <c r="C33" i="79"/>
  <c r="AG17" i="79"/>
  <c r="AG16" i="79"/>
  <c r="AG15" i="79"/>
  <c r="AG14" i="79"/>
  <c r="AG13" i="79"/>
  <c r="AG12" i="79"/>
  <c r="AG11" i="79"/>
  <c r="AG10" i="79"/>
  <c r="AG9" i="79"/>
  <c r="AG8" i="79"/>
  <c r="AG7" i="79"/>
  <c r="AG6" i="79"/>
  <c r="AG5" i="79"/>
  <c r="AG4" i="79"/>
  <c r="AG3" i="79"/>
  <c r="AB33" i="91"/>
  <c r="AA33" i="91"/>
  <c r="W33" i="91"/>
  <c r="R33" i="91"/>
  <c r="Q33" i="91"/>
  <c r="J33" i="91"/>
  <c r="I33" i="91"/>
  <c r="B33" i="91"/>
  <c r="AG32" i="91"/>
  <c r="AG31" i="91"/>
  <c r="AG30" i="91"/>
  <c r="AG28" i="91"/>
  <c r="AG27" i="91"/>
  <c r="AG26" i="91"/>
  <c r="AG25" i="91"/>
  <c r="AG24" i="91"/>
  <c r="AG23" i="91"/>
  <c r="AG22" i="91"/>
  <c r="AG21" i="91"/>
  <c r="AG20" i="91"/>
  <c r="AG19" i="91"/>
  <c r="AG18" i="91"/>
  <c r="AG17" i="91"/>
  <c r="AG16" i="91"/>
  <c r="AG15" i="91"/>
  <c r="AG14" i="91"/>
  <c r="AG13" i="91"/>
  <c r="AG12" i="91"/>
  <c r="AG11" i="91"/>
  <c r="AG10" i="91"/>
  <c r="AG9" i="91"/>
  <c r="AG8" i="91"/>
  <c r="AG7" i="91"/>
  <c r="AG6" i="91"/>
  <c r="AG5" i="91"/>
  <c r="AG4" i="91"/>
  <c r="AG3" i="91"/>
  <c r="AF33" i="102"/>
  <c r="AG32" i="102"/>
  <c r="AG31" i="102"/>
  <c r="AG30" i="102"/>
  <c r="AE33" i="102"/>
  <c r="AD33" i="102"/>
  <c r="AC33" i="102"/>
  <c r="AB33" i="102"/>
  <c r="AA33" i="102"/>
  <c r="Z33" i="102"/>
  <c r="Y33" i="102"/>
  <c r="X33" i="102"/>
  <c r="W33" i="102"/>
  <c r="V33" i="102"/>
  <c r="U33" i="102"/>
  <c r="T33" i="102"/>
  <c r="S33" i="102"/>
  <c r="R33" i="102"/>
  <c r="Q33" i="102"/>
  <c r="P33" i="102"/>
  <c r="O33" i="102"/>
  <c r="N33" i="102"/>
  <c r="M33" i="102"/>
  <c r="L33" i="102"/>
  <c r="K33" i="102"/>
  <c r="J33" i="102"/>
  <c r="I33" i="102"/>
  <c r="H33" i="102"/>
  <c r="G33" i="102"/>
  <c r="F33" i="102"/>
  <c r="E33" i="102"/>
  <c r="D33" i="102"/>
  <c r="C33" i="102"/>
  <c r="B33" i="102"/>
  <c r="AG28" i="102"/>
  <c r="AG27" i="102"/>
  <c r="AG26" i="102"/>
  <c r="AG25" i="102"/>
  <c r="AG24" i="102"/>
  <c r="AG23" i="102"/>
  <c r="AG22" i="102"/>
  <c r="AG21" i="102"/>
  <c r="AG20" i="102"/>
  <c r="AG19" i="102"/>
  <c r="AG18" i="102"/>
  <c r="AG17" i="102"/>
  <c r="AG16" i="102"/>
  <c r="AG15" i="102"/>
  <c r="AG14" i="102"/>
  <c r="AG13" i="102"/>
  <c r="AG12" i="102"/>
  <c r="AG11" i="102"/>
  <c r="AG10" i="102"/>
  <c r="AG9" i="102"/>
  <c r="AG8" i="102"/>
  <c r="AG7" i="102"/>
  <c r="AG6" i="102"/>
  <c r="AG5" i="102"/>
  <c r="AG4" i="102"/>
  <c r="AG3" i="102"/>
  <c r="AF33" i="113"/>
  <c r="AG32" i="113"/>
  <c r="AG31" i="113"/>
  <c r="AG30" i="113"/>
  <c r="AE33" i="113"/>
  <c r="AD33" i="113"/>
  <c r="AC33" i="113"/>
  <c r="AB33" i="113"/>
  <c r="AA33" i="113"/>
  <c r="Z33" i="113"/>
  <c r="Y33" i="113"/>
  <c r="X33" i="113"/>
  <c r="W33" i="113"/>
  <c r="V33" i="113"/>
  <c r="U33" i="113"/>
  <c r="T33" i="113"/>
  <c r="S33" i="113"/>
  <c r="R33" i="113"/>
  <c r="Q33" i="113"/>
  <c r="P33" i="113"/>
  <c r="O33" i="113"/>
  <c r="N33" i="113"/>
  <c r="M33" i="113"/>
  <c r="L33" i="113"/>
  <c r="K33" i="113"/>
  <c r="J33" i="113"/>
  <c r="I33" i="113"/>
  <c r="H33" i="113"/>
  <c r="G33" i="113"/>
  <c r="F33" i="113"/>
  <c r="E33" i="113"/>
  <c r="D33" i="113"/>
  <c r="C33" i="113"/>
  <c r="B33" i="113"/>
  <c r="AG28" i="113"/>
  <c r="AG27" i="113"/>
  <c r="AG26" i="113"/>
  <c r="AG25" i="113"/>
  <c r="AG24" i="113"/>
  <c r="AG23" i="113"/>
  <c r="AG22" i="113"/>
  <c r="AG21" i="113"/>
  <c r="AG20" i="113"/>
  <c r="AG19" i="113"/>
  <c r="AG18" i="113"/>
  <c r="AG17" i="113"/>
  <c r="AG16" i="113"/>
  <c r="AG15" i="113"/>
  <c r="AG14" i="113"/>
  <c r="AG13" i="113"/>
  <c r="AG12" i="113"/>
  <c r="AG11" i="113"/>
  <c r="AG10" i="113"/>
  <c r="AG9" i="113"/>
  <c r="AG8" i="113"/>
  <c r="AG7" i="113"/>
  <c r="AG6" i="113"/>
  <c r="AG5" i="113"/>
  <c r="AG4" i="113"/>
  <c r="AG3" i="113"/>
  <c r="AE29" i="112"/>
  <c r="AD29" i="112"/>
  <c r="AD33" i="112" s="1"/>
  <c r="AC29" i="112"/>
  <c r="AC33" i="112" s="1"/>
  <c r="AB29" i="112"/>
  <c r="AA29" i="112"/>
  <c r="Z29" i="112"/>
  <c r="Y29" i="112"/>
  <c r="Y33" i="112" s="1"/>
  <c r="X29" i="112"/>
  <c r="W29" i="112"/>
  <c r="V29" i="112"/>
  <c r="U29" i="112"/>
  <c r="T29" i="112"/>
  <c r="T33" i="112" s="1"/>
  <c r="S29" i="112"/>
  <c r="S33" i="112" s="1"/>
  <c r="R29" i="112"/>
  <c r="R33" i="112" s="1"/>
  <c r="Q29" i="112"/>
  <c r="Q33" i="112" s="1"/>
  <c r="P29" i="112"/>
  <c r="P33" i="112" s="1"/>
  <c r="O29" i="112"/>
  <c r="N29" i="112"/>
  <c r="N33" i="112" s="1"/>
  <c r="M29" i="112"/>
  <c r="L29" i="112"/>
  <c r="L33" i="112" s="1"/>
  <c r="K29" i="112"/>
  <c r="K33" i="112" s="1"/>
  <c r="J29" i="112"/>
  <c r="J33" i="112" s="1"/>
  <c r="I29" i="112"/>
  <c r="H29" i="112"/>
  <c r="G29" i="112"/>
  <c r="F29" i="112"/>
  <c r="E29" i="112"/>
  <c r="E33" i="112" s="1"/>
  <c r="D29" i="112"/>
  <c r="D33" i="112" s="1"/>
  <c r="C29" i="112"/>
  <c r="B29" i="112"/>
  <c r="AE29" i="101"/>
  <c r="AE33" i="101" s="1"/>
  <c r="AD29" i="101"/>
  <c r="AD33" i="101" s="1"/>
  <c r="AC29" i="101"/>
  <c r="AB29" i="101"/>
  <c r="AB33" i="101" s="1"/>
  <c r="AA29" i="101"/>
  <c r="AA33" i="101" s="1"/>
  <c r="Z29" i="101"/>
  <c r="Z33" i="101" s="1"/>
  <c r="Y29" i="101"/>
  <c r="Y33" i="101" s="1"/>
  <c r="X29" i="101"/>
  <c r="X33" i="101" s="1"/>
  <c r="W29" i="101"/>
  <c r="W33" i="101" s="1"/>
  <c r="V29" i="101"/>
  <c r="V33" i="101" s="1"/>
  <c r="U29" i="101"/>
  <c r="T29" i="101"/>
  <c r="S29" i="101"/>
  <c r="R29" i="101"/>
  <c r="R33" i="101" s="1"/>
  <c r="Q29" i="101"/>
  <c r="Q33" i="101" s="1"/>
  <c r="P29" i="101"/>
  <c r="P33" i="101" s="1"/>
  <c r="O29" i="101"/>
  <c r="O33" i="101" s="1"/>
  <c r="N29" i="101"/>
  <c r="N33" i="101" s="1"/>
  <c r="M29" i="101"/>
  <c r="L29" i="101"/>
  <c r="L33" i="101" s="1"/>
  <c r="K29" i="101"/>
  <c r="J29" i="101"/>
  <c r="J33" i="101" s="1"/>
  <c r="I29" i="101"/>
  <c r="H29" i="101"/>
  <c r="H33" i="101" s="1"/>
  <c r="G29" i="101"/>
  <c r="F29" i="101"/>
  <c r="F33" i="101" s="1"/>
  <c r="E29" i="101"/>
  <c r="E33" i="101" s="1"/>
  <c r="D29" i="101"/>
  <c r="D33" i="101" s="1"/>
  <c r="C29" i="101"/>
  <c r="C33" i="101" s="1"/>
  <c r="B29" i="101"/>
  <c r="B33" i="101" s="1"/>
  <c r="AG31" i="101"/>
  <c r="AF35" i="123"/>
  <c r="AE35" i="123"/>
  <c r="AD35" i="123"/>
  <c r="AC35" i="123"/>
  <c r="AB35" i="123"/>
  <c r="AA35" i="123"/>
  <c r="Z35" i="123"/>
  <c r="Y35" i="123"/>
  <c r="X35" i="123"/>
  <c r="W35" i="123"/>
  <c r="V35" i="123"/>
  <c r="U35" i="123"/>
  <c r="T35" i="123"/>
  <c r="S35" i="123"/>
  <c r="R35" i="123"/>
  <c r="Q35" i="123"/>
  <c r="P35" i="123"/>
  <c r="O35" i="123"/>
  <c r="N35" i="123"/>
  <c r="M35" i="123"/>
  <c r="L35" i="123"/>
  <c r="K35" i="123"/>
  <c r="J35" i="123"/>
  <c r="I35" i="123"/>
  <c r="H35" i="123"/>
  <c r="G35" i="123"/>
  <c r="F35" i="123"/>
  <c r="E35" i="123"/>
  <c r="D35" i="123"/>
  <c r="C35" i="123"/>
  <c r="B35" i="123"/>
  <c r="AG32" i="112"/>
  <c r="AG31" i="112"/>
  <c r="AG30" i="112"/>
  <c r="AG28" i="112"/>
  <c r="AG27" i="112"/>
  <c r="AG26" i="112"/>
  <c r="AG25" i="112"/>
  <c r="AG24" i="112"/>
  <c r="AG23" i="112"/>
  <c r="AG22" i="112"/>
  <c r="AG21" i="112"/>
  <c r="U33" i="112"/>
  <c r="AG20" i="112"/>
  <c r="AF33" i="112"/>
  <c r="AE33" i="112"/>
  <c r="AA33" i="112"/>
  <c r="W33" i="112"/>
  <c r="O33" i="112"/>
  <c r="M33" i="112"/>
  <c r="I33" i="112"/>
  <c r="G33" i="112"/>
  <c r="C33" i="112"/>
  <c r="AG18" i="112"/>
  <c r="AG17" i="112"/>
  <c r="AG16" i="112"/>
  <c r="AG15" i="112"/>
  <c r="AG14" i="112"/>
  <c r="AG13" i="112"/>
  <c r="AG12" i="112"/>
  <c r="AG11" i="112"/>
  <c r="AG10" i="112"/>
  <c r="AG9" i="112"/>
  <c r="AG8" i="112"/>
  <c r="AG7" i="112"/>
  <c r="AG6" i="112"/>
  <c r="AG5" i="112"/>
  <c r="AG4" i="112"/>
  <c r="AG3" i="112"/>
  <c r="I33" i="101"/>
  <c r="AG32" i="101"/>
  <c r="AG30" i="101"/>
  <c r="S33" i="101"/>
  <c r="AG28" i="101"/>
  <c r="AG27" i="101"/>
  <c r="AG26" i="101"/>
  <c r="AG25" i="101"/>
  <c r="AG24" i="101"/>
  <c r="AG23" i="101"/>
  <c r="AG22" i="101"/>
  <c r="AG21" i="101"/>
  <c r="AG20" i="101"/>
  <c r="AC33" i="101"/>
  <c r="U33" i="101"/>
  <c r="M33" i="101"/>
  <c r="AG19" i="101"/>
  <c r="AF33" i="101"/>
  <c r="T33" i="101"/>
  <c r="K33" i="101"/>
  <c r="AG18" i="101"/>
  <c r="AG17" i="101"/>
  <c r="AG16" i="101"/>
  <c r="AG15" i="101"/>
  <c r="AG14" i="101"/>
  <c r="AG13" i="101"/>
  <c r="AG12" i="101"/>
  <c r="AG11" i="101"/>
  <c r="AG10" i="101"/>
  <c r="AG9" i="101"/>
  <c r="G33" i="101"/>
  <c r="AG7" i="101"/>
  <c r="AG6" i="101"/>
  <c r="AG5" i="101"/>
  <c r="AG4" i="101"/>
  <c r="AG3" i="101"/>
  <c r="AF33" i="90"/>
  <c r="P33" i="90"/>
  <c r="O33" i="90"/>
  <c r="N33" i="90"/>
  <c r="M33" i="90"/>
  <c r="J33" i="90"/>
  <c r="AG32" i="90"/>
  <c r="AG31" i="90"/>
  <c r="AG30" i="90"/>
  <c r="AE33" i="90"/>
  <c r="AD33" i="90"/>
  <c r="AC33" i="90"/>
  <c r="AB33" i="90"/>
  <c r="AA33" i="90"/>
  <c r="Z33" i="90"/>
  <c r="Y33" i="90"/>
  <c r="X33" i="90"/>
  <c r="W33" i="90"/>
  <c r="V33" i="90"/>
  <c r="U33" i="90"/>
  <c r="T33" i="90"/>
  <c r="S33" i="90"/>
  <c r="R33" i="90"/>
  <c r="Q33" i="90"/>
  <c r="L33" i="90"/>
  <c r="K33" i="90"/>
  <c r="I33" i="90"/>
  <c r="H33" i="90"/>
  <c r="G33" i="90"/>
  <c r="F33" i="90"/>
  <c r="E33" i="90"/>
  <c r="D33" i="90"/>
  <c r="C33" i="90"/>
  <c r="B33" i="90"/>
  <c r="AG28" i="90"/>
  <c r="AG27" i="90"/>
  <c r="AG26" i="90"/>
  <c r="AG25" i="90"/>
  <c r="AG24" i="90"/>
  <c r="AG23" i="90"/>
  <c r="AG22" i="90"/>
  <c r="AG21" i="90"/>
  <c r="AG20" i="90"/>
  <c r="AG19" i="90"/>
  <c r="AG18" i="90"/>
  <c r="AG17" i="90"/>
  <c r="AG16" i="90"/>
  <c r="AG15" i="90"/>
  <c r="AG14" i="90"/>
  <c r="AG13" i="90"/>
  <c r="AG12" i="90"/>
  <c r="AG11" i="90"/>
  <c r="AG10" i="90"/>
  <c r="AG9" i="90"/>
  <c r="AG8" i="90"/>
  <c r="AG7" i="90"/>
  <c r="AG6" i="90"/>
  <c r="AG5" i="90"/>
  <c r="AG4" i="90"/>
  <c r="AG3" i="90"/>
  <c r="AF33" i="78"/>
  <c r="AD33" i="78"/>
  <c r="AC33" i="78"/>
  <c r="AB33" i="78"/>
  <c r="AA33" i="78"/>
  <c r="Z33" i="78"/>
  <c r="W33" i="78"/>
  <c r="V33" i="78"/>
  <c r="U33" i="78"/>
  <c r="T33" i="78"/>
  <c r="S33" i="78"/>
  <c r="P33" i="78"/>
  <c r="N33" i="78"/>
  <c r="M33" i="78"/>
  <c r="L33" i="78"/>
  <c r="J33" i="78"/>
  <c r="I33" i="78"/>
  <c r="H33" i="78"/>
  <c r="F33" i="78"/>
  <c r="D33" i="78"/>
  <c r="B33" i="78"/>
  <c r="AG32" i="78"/>
  <c r="AG31" i="78"/>
  <c r="AG30" i="78"/>
  <c r="AG29" i="78"/>
  <c r="AG28" i="78"/>
  <c r="AG27" i="78"/>
  <c r="AG26" i="78"/>
  <c r="AG25" i="78"/>
  <c r="AG24" i="78"/>
  <c r="AG23" i="78"/>
  <c r="AG22" i="78"/>
  <c r="AG21" i="78"/>
  <c r="AG20" i="78"/>
  <c r="AG19" i="78"/>
  <c r="AE33" i="78"/>
  <c r="Y33" i="78"/>
  <c r="X33" i="78"/>
  <c r="R33" i="78"/>
  <c r="Q33" i="78"/>
  <c r="O33" i="78"/>
  <c r="K33" i="78"/>
  <c r="G33" i="78"/>
  <c r="E33" i="78"/>
  <c r="C33" i="78"/>
  <c r="AG17" i="78"/>
  <c r="AG16" i="78"/>
  <c r="AG15" i="78"/>
  <c r="AG14" i="78"/>
  <c r="AG13" i="78"/>
  <c r="AG12" i="78"/>
  <c r="AG11" i="78"/>
  <c r="AG10" i="78"/>
  <c r="AG9" i="78"/>
  <c r="AG8" i="78"/>
  <c r="AG7" i="78"/>
  <c r="AG6" i="78"/>
  <c r="AG5" i="78"/>
  <c r="AG4" i="78"/>
  <c r="AG3" i="78"/>
  <c r="AG29" i="79" l="1"/>
  <c r="AG29" i="91"/>
  <c r="AG31" i="1" s="1"/>
  <c r="AG29" i="101"/>
  <c r="AG34" i="1"/>
  <c r="G8" i="56" s="1"/>
  <c r="AG35" i="124"/>
  <c r="AG27" i="1"/>
  <c r="G7" i="56" s="1"/>
  <c r="AG33" i="113"/>
  <c r="AG33" i="102"/>
  <c r="AG33" i="91"/>
  <c r="AG33" i="79"/>
  <c r="AG18" i="79"/>
  <c r="AG29" i="102"/>
  <c r="AG32" i="1" s="1"/>
  <c r="AG29" i="113"/>
  <c r="AG35" i="123"/>
  <c r="F33" i="112"/>
  <c r="H33" i="112"/>
  <c r="V33" i="112"/>
  <c r="X33" i="112"/>
  <c r="Z33" i="112"/>
  <c r="AB33" i="112"/>
  <c r="AG29" i="112"/>
  <c r="AG19" i="112"/>
  <c r="AG26" i="1" s="1"/>
  <c r="F7" i="56" s="1"/>
  <c r="B33" i="112"/>
  <c r="AG33" i="101"/>
  <c r="AG8" i="101"/>
  <c r="AG33" i="90"/>
  <c r="AG29" i="90"/>
  <c r="AG33" i="78"/>
  <c r="AG18" i="78"/>
  <c r="AG34" i="91" l="1"/>
  <c r="AG34" i="113"/>
  <c r="AG33" i="1"/>
  <c r="F8" i="56" s="1"/>
  <c r="AG34" i="79"/>
  <c r="AG30" i="1"/>
  <c r="AI30" i="1" s="1"/>
  <c r="AG23" i="1"/>
  <c r="AG34" i="90"/>
  <c r="AG24" i="1"/>
  <c r="AG34" i="78"/>
  <c r="AG34" i="102"/>
  <c r="AG34" i="101"/>
  <c r="AG25" i="1"/>
  <c r="AG34" i="112"/>
  <c r="AG33" i="112"/>
  <c r="AF32" i="89"/>
  <c r="AE32" i="89"/>
  <c r="AD32" i="89"/>
  <c r="AC32" i="89"/>
  <c r="AB32" i="89"/>
  <c r="AA32" i="89"/>
  <c r="Z32" i="89"/>
  <c r="Y32" i="89"/>
  <c r="X32" i="89"/>
  <c r="W32" i="89"/>
  <c r="V32" i="89"/>
  <c r="U32" i="89"/>
  <c r="T32" i="89"/>
  <c r="S32" i="89"/>
  <c r="R32" i="89"/>
  <c r="Q32" i="89"/>
  <c r="P32" i="89"/>
  <c r="O32" i="89"/>
  <c r="N32" i="89"/>
  <c r="M32" i="89"/>
  <c r="L32" i="89"/>
  <c r="K32" i="89"/>
  <c r="J32" i="89"/>
  <c r="I32" i="89"/>
  <c r="H32" i="89"/>
  <c r="G32" i="89"/>
  <c r="F32" i="89"/>
  <c r="E32" i="89"/>
  <c r="D32" i="89"/>
  <c r="C32" i="89"/>
  <c r="AE29" i="89"/>
  <c r="AD29" i="89"/>
  <c r="AC29" i="89"/>
  <c r="AB29" i="89"/>
  <c r="AA29" i="89"/>
  <c r="Z29" i="89"/>
  <c r="Y29" i="89"/>
  <c r="X29" i="89"/>
  <c r="W29" i="89"/>
  <c r="V29" i="89"/>
  <c r="U29" i="89"/>
  <c r="T29" i="89"/>
  <c r="S29" i="89"/>
  <c r="R29" i="89"/>
  <c r="Q29" i="89"/>
  <c r="L29" i="89"/>
  <c r="K29" i="89"/>
  <c r="I29" i="89"/>
  <c r="H29" i="89"/>
  <c r="G29" i="89"/>
  <c r="F29" i="89"/>
  <c r="E29" i="89"/>
  <c r="D29" i="89"/>
  <c r="C29" i="89"/>
  <c r="B29" i="89"/>
  <c r="AI23" i="1" l="1"/>
  <c r="B8" i="100"/>
  <c r="E8" i="100"/>
  <c r="G8" i="100"/>
  <c r="L8" i="100"/>
  <c r="N8" i="100"/>
  <c r="AF31" i="100"/>
  <c r="AE31" i="100"/>
  <c r="AD31" i="100"/>
  <c r="AC31" i="100"/>
  <c r="AB31" i="100"/>
  <c r="AA31" i="100"/>
  <c r="Z31" i="100"/>
  <c r="Y31" i="100"/>
  <c r="X31" i="100"/>
  <c r="W31" i="100"/>
  <c r="V31" i="100"/>
  <c r="U31" i="100"/>
  <c r="T31" i="100"/>
  <c r="S31" i="100"/>
  <c r="R31" i="100"/>
  <c r="Q31" i="100"/>
  <c r="P31" i="100"/>
  <c r="O31" i="100"/>
  <c r="N31" i="100"/>
  <c r="M31" i="100"/>
  <c r="L31" i="100"/>
  <c r="K31" i="100"/>
  <c r="J31" i="100"/>
  <c r="I31" i="100"/>
  <c r="H31" i="100"/>
  <c r="G31" i="100"/>
  <c r="F31" i="100"/>
  <c r="D31" i="100"/>
  <c r="C31" i="100"/>
  <c r="B31" i="100"/>
  <c r="C25" i="100"/>
  <c r="AE29" i="100"/>
  <c r="AD29" i="100"/>
  <c r="AC29" i="100"/>
  <c r="AB29" i="100"/>
  <c r="AA29" i="100"/>
  <c r="Z29" i="100"/>
  <c r="Y29" i="100"/>
  <c r="X29" i="100"/>
  <c r="W29" i="100"/>
  <c r="V29" i="100"/>
  <c r="U29" i="100"/>
  <c r="T29" i="100"/>
  <c r="S29" i="100"/>
  <c r="R29" i="100"/>
  <c r="Q29" i="100"/>
  <c r="P29" i="100"/>
  <c r="O29" i="100"/>
  <c r="N29" i="100"/>
  <c r="L29" i="100"/>
  <c r="K29" i="100"/>
  <c r="J29" i="100"/>
  <c r="I29" i="100"/>
  <c r="H29" i="100"/>
  <c r="G29" i="100"/>
  <c r="F29" i="100"/>
  <c r="E29" i="100"/>
  <c r="D29" i="100"/>
  <c r="C29" i="100"/>
  <c r="B29" i="100"/>
  <c r="AF31" i="111"/>
  <c r="Y31" i="111"/>
  <c r="Q31" i="111"/>
  <c r="P31" i="111"/>
  <c r="N31" i="111"/>
  <c r="V31" i="111"/>
  <c r="AF29" i="111"/>
  <c r="AE29" i="111"/>
  <c r="AD29" i="111"/>
  <c r="AC29" i="111"/>
  <c r="AB29" i="111"/>
  <c r="AA29" i="111"/>
  <c r="Z29" i="111"/>
  <c r="Y29" i="111"/>
  <c r="X29" i="111"/>
  <c r="W29" i="111"/>
  <c r="V29" i="111"/>
  <c r="U29" i="111"/>
  <c r="T29" i="111"/>
  <c r="S29" i="111"/>
  <c r="R29" i="111"/>
  <c r="Q29" i="111"/>
  <c r="P29" i="111"/>
  <c r="O29" i="111"/>
  <c r="N29" i="111"/>
  <c r="M29" i="111"/>
  <c r="L29" i="111"/>
  <c r="K29" i="111"/>
  <c r="J29" i="111"/>
  <c r="I29" i="111"/>
  <c r="H29" i="111"/>
  <c r="G29" i="111"/>
  <c r="F29" i="111"/>
  <c r="E29" i="111"/>
  <c r="D29" i="111"/>
  <c r="C29" i="111"/>
  <c r="B29" i="111"/>
  <c r="AE19" i="77" l="1"/>
  <c r="Y19" i="77"/>
  <c r="X19" i="77"/>
  <c r="X33" i="77" s="1"/>
  <c r="R19" i="77"/>
  <c r="Q19" i="77"/>
  <c r="Q33" i="77" s="1"/>
  <c r="O19" i="77"/>
  <c r="K19" i="77"/>
  <c r="G19" i="77"/>
  <c r="E19" i="77"/>
  <c r="C19" i="77"/>
  <c r="R18" i="77"/>
  <c r="X18" i="77"/>
  <c r="AE18" i="77"/>
  <c r="Y18" i="77"/>
  <c r="Y33" i="77" s="1"/>
  <c r="Q18" i="77"/>
  <c r="O18" i="77"/>
  <c r="K18" i="77"/>
  <c r="G18" i="77"/>
  <c r="E18" i="77"/>
  <c r="E33" i="77" s="1"/>
  <c r="C18" i="77"/>
  <c r="AF19" i="100"/>
  <c r="AF33" i="100" s="1"/>
  <c r="AD19" i="100"/>
  <c r="AC19" i="100"/>
  <c r="AC33" i="100" s="1"/>
  <c r="AB19" i="100"/>
  <c r="AA19" i="100"/>
  <c r="Z19" i="100"/>
  <c r="Y19" i="100"/>
  <c r="Y33" i="100" s="1"/>
  <c r="X19" i="100"/>
  <c r="W19" i="100"/>
  <c r="V19" i="100"/>
  <c r="U19" i="100"/>
  <c r="U33" i="100" s="1"/>
  <c r="T19" i="100"/>
  <c r="R19" i="100"/>
  <c r="Q19" i="100"/>
  <c r="P19" i="100"/>
  <c r="P33" i="100" s="1"/>
  <c r="O19" i="100"/>
  <c r="M19" i="100"/>
  <c r="K19" i="100"/>
  <c r="J19" i="100"/>
  <c r="J33" i="100" s="1"/>
  <c r="H19" i="100"/>
  <c r="G19" i="100"/>
  <c r="F19" i="100"/>
  <c r="E19" i="100"/>
  <c r="E33" i="100" s="1"/>
  <c r="D19" i="100"/>
  <c r="C19" i="100"/>
  <c r="B19" i="100"/>
  <c r="AF18" i="100"/>
  <c r="AD18" i="100"/>
  <c r="AC18" i="100"/>
  <c r="AB18" i="100"/>
  <c r="AA18" i="100"/>
  <c r="AA33" i="100" s="1"/>
  <c r="Z18" i="100"/>
  <c r="Y18" i="100"/>
  <c r="X18" i="100"/>
  <c r="X33" i="100" s="1"/>
  <c r="W18" i="100"/>
  <c r="V18" i="100"/>
  <c r="U18" i="100"/>
  <c r="T18" i="100"/>
  <c r="R18" i="100"/>
  <c r="R33" i="100" s="1"/>
  <c r="Q18" i="100"/>
  <c r="P18" i="100"/>
  <c r="O18" i="100"/>
  <c r="M18" i="100"/>
  <c r="K18" i="100"/>
  <c r="J18" i="100"/>
  <c r="H18" i="100"/>
  <c r="G18" i="100"/>
  <c r="F18" i="100"/>
  <c r="F33" i="100" s="1"/>
  <c r="E18" i="100"/>
  <c r="D18" i="100"/>
  <c r="C18" i="100"/>
  <c r="B18" i="100"/>
  <c r="AF19" i="111"/>
  <c r="AE19" i="111"/>
  <c r="AD19" i="111"/>
  <c r="AB19" i="111"/>
  <c r="AA19" i="111"/>
  <c r="Z19" i="111"/>
  <c r="Y19" i="111"/>
  <c r="X19" i="111"/>
  <c r="W19" i="111"/>
  <c r="V19" i="111"/>
  <c r="T19" i="111"/>
  <c r="S19" i="111"/>
  <c r="R19" i="111"/>
  <c r="Q19" i="111"/>
  <c r="P19" i="111"/>
  <c r="O19" i="111"/>
  <c r="N19" i="111"/>
  <c r="M19" i="111"/>
  <c r="L19" i="111"/>
  <c r="K19" i="111"/>
  <c r="I19" i="111"/>
  <c r="H19" i="111"/>
  <c r="G19" i="111"/>
  <c r="F19" i="111"/>
  <c r="D19" i="111"/>
  <c r="C19" i="111"/>
  <c r="B19" i="111"/>
  <c r="AF18" i="111"/>
  <c r="AE18" i="111"/>
  <c r="AD18" i="111"/>
  <c r="AB18" i="111"/>
  <c r="AA18" i="111"/>
  <c r="Z18" i="111"/>
  <c r="Y18" i="111"/>
  <c r="X18" i="111"/>
  <c r="W18" i="111"/>
  <c r="V18" i="111"/>
  <c r="T18" i="111"/>
  <c r="S18" i="111"/>
  <c r="R18" i="111"/>
  <c r="Q18" i="111"/>
  <c r="P18" i="111"/>
  <c r="O18" i="111"/>
  <c r="N18" i="111"/>
  <c r="M18" i="111"/>
  <c r="L18" i="111"/>
  <c r="K18" i="111"/>
  <c r="I18" i="111"/>
  <c r="H18" i="111"/>
  <c r="G18" i="111"/>
  <c r="F18" i="111"/>
  <c r="D18" i="111"/>
  <c r="C18" i="111"/>
  <c r="B18" i="111"/>
  <c r="AF20" i="111"/>
  <c r="AE20" i="111"/>
  <c r="AD20" i="111"/>
  <c r="AC20" i="111"/>
  <c r="AC33" i="111" s="1"/>
  <c r="AB20" i="111"/>
  <c r="AA20" i="111"/>
  <c r="Z20" i="111"/>
  <c r="Y20" i="111"/>
  <c r="X20" i="111"/>
  <c r="W20" i="111"/>
  <c r="V20" i="111"/>
  <c r="U20" i="111"/>
  <c r="U33" i="111" s="1"/>
  <c r="T20" i="111"/>
  <c r="S20" i="111"/>
  <c r="R20" i="111"/>
  <c r="Q20" i="111"/>
  <c r="P20" i="111"/>
  <c r="O20" i="111"/>
  <c r="N20" i="111"/>
  <c r="M20" i="111"/>
  <c r="L20" i="111"/>
  <c r="K20" i="111"/>
  <c r="J20" i="111"/>
  <c r="J33" i="111" s="1"/>
  <c r="I20" i="111"/>
  <c r="H20" i="111"/>
  <c r="G20" i="111"/>
  <c r="F20" i="111"/>
  <c r="E20" i="111"/>
  <c r="D20" i="111"/>
  <c r="D33" i="111" s="1"/>
  <c r="C20" i="111"/>
  <c r="B20" i="111"/>
  <c r="AF24" i="111"/>
  <c r="AD24" i="111"/>
  <c r="AE24" i="111"/>
  <c r="AC24" i="111"/>
  <c r="AB24" i="111"/>
  <c r="AA24" i="111"/>
  <c r="Z24" i="111"/>
  <c r="Y24" i="111"/>
  <c r="X24" i="111"/>
  <c r="W24" i="111"/>
  <c r="V24" i="111"/>
  <c r="U24" i="111"/>
  <c r="T24" i="111"/>
  <c r="S24" i="111"/>
  <c r="R24" i="111"/>
  <c r="Q24" i="111"/>
  <c r="P24" i="111"/>
  <c r="O24" i="111"/>
  <c r="N24" i="111"/>
  <c r="M24" i="111"/>
  <c r="L24" i="111"/>
  <c r="K24" i="111"/>
  <c r="J24" i="111"/>
  <c r="I24" i="111"/>
  <c r="H24" i="111"/>
  <c r="G24" i="111"/>
  <c r="F24" i="111"/>
  <c r="E24" i="111"/>
  <c r="D24" i="111"/>
  <c r="C24" i="111"/>
  <c r="B24" i="111"/>
  <c r="AF33" i="122"/>
  <c r="AE33" i="122"/>
  <c r="AD33" i="122"/>
  <c r="AC33" i="122"/>
  <c r="AB33" i="122"/>
  <c r="AA33" i="122"/>
  <c r="Z33" i="122"/>
  <c r="Y33" i="122"/>
  <c r="X33" i="122"/>
  <c r="W33" i="122"/>
  <c r="V33" i="122"/>
  <c r="U33" i="122"/>
  <c r="T33" i="122"/>
  <c r="S33" i="122"/>
  <c r="R33" i="122"/>
  <c r="Q33" i="122"/>
  <c r="P33" i="122"/>
  <c r="O33" i="122"/>
  <c r="N33" i="122"/>
  <c r="M33" i="122"/>
  <c r="L33" i="122"/>
  <c r="K33" i="122"/>
  <c r="J33" i="122"/>
  <c r="I33" i="122"/>
  <c r="H33" i="122"/>
  <c r="G33" i="122"/>
  <c r="F33" i="122"/>
  <c r="E33" i="122"/>
  <c r="D33" i="122"/>
  <c r="C33" i="122"/>
  <c r="B33" i="122"/>
  <c r="AG32" i="122"/>
  <c r="AF20" i="1" s="1"/>
  <c r="AG32" i="111"/>
  <c r="AG31" i="111"/>
  <c r="AG30" i="111"/>
  <c r="AG29" i="111"/>
  <c r="AG28" i="111"/>
  <c r="AG27" i="111"/>
  <c r="AG26" i="111"/>
  <c r="AG25" i="111"/>
  <c r="AG23" i="111"/>
  <c r="AG22" i="111"/>
  <c r="AG21" i="111"/>
  <c r="S33" i="111"/>
  <c r="E33" i="111"/>
  <c r="AG17" i="111"/>
  <c r="AG16" i="111"/>
  <c r="AG15" i="111"/>
  <c r="AG14" i="111"/>
  <c r="AG13" i="111"/>
  <c r="AG12" i="111"/>
  <c r="AG11" i="111"/>
  <c r="AG10" i="111"/>
  <c r="AG9" i="111"/>
  <c r="AG8" i="111"/>
  <c r="AG7" i="111"/>
  <c r="AG6" i="111"/>
  <c r="AG5" i="111"/>
  <c r="AG4" i="111"/>
  <c r="AG3" i="111"/>
  <c r="AG4" i="110"/>
  <c r="AG5" i="110"/>
  <c r="AG6" i="110"/>
  <c r="AG7" i="110"/>
  <c r="AG8" i="110"/>
  <c r="AG9" i="110"/>
  <c r="AG10" i="110"/>
  <c r="AG11" i="110"/>
  <c r="AG12" i="110"/>
  <c r="AG13" i="110"/>
  <c r="AG14" i="110"/>
  <c r="AG15" i="110"/>
  <c r="AG16" i="110"/>
  <c r="AG17" i="110"/>
  <c r="AG21" i="110"/>
  <c r="AG22" i="110"/>
  <c r="AG23" i="110"/>
  <c r="AG25" i="110"/>
  <c r="AG26" i="110"/>
  <c r="AG27" i="110"/>
  <c r="AG28" i="110"/>
  <c r="AG30" i="110"/>
  <c r="AG32" i="110"/>
  <c r="AE33" i="100"/>
  <c r="AG32" i="100"/>
  <c r="AG30" i="100"/>
  <c r="G33" i="100"/>
  <c r="AG28" i="100"/>
  <c r="AG27" i="100"/>
  <c r="AG26" i="100"/>
  <c r="AG25" i="100"/>
  <c r="AG24" i="100"/>
  <c r="AG23" i="100"/>
  <c r="AG22" i="100"/>
  <c r="AG21" i="100"/>
  <c r="N33" i="100"/>
  <c r="AG20" i="100"/>
  <c r="Z33" i="100"/>
  <c r="S33" i="100"/>
  <c r="M33" i="100"/>
  <c r="L33" i="100"/>
  <c r="I33" i="100"/>
  <c r="AG17" i="100"/>
  <c r="AG16" i="100"/>
  <c r="AG15" i="100"/>
  <c r="AG14" i="100"/>
  <c r="AG13" i="100"/>
  <c r="AG12" i="100"/>
  <c r="AG11" i="100"/>
  <c r="AG10" i="100"/>
  <c r="AG9" i="100"/>
  <c r="AG8" i="100"/>
  <c r="AG7" i="100"/>
  <c r="AG6" i="100"/>
  <c r="AG5" i="100"/>
  <c r="AG4" i="100"/>
  <c r="AG3" i="100"/>
  <c r="AG4" i="99"/>
  <c r="AG5" i="99"/>
  <c r="AG6" i="99"/>
  <c r="AG7" i="99"/>
  <c r="AG8" i="99"/>
  <c r="AG9" i="99"/>
  <c r="AG10" i="99"/>
  <c r="AG11" i="99"/>
  <c r="AG12" i="99"/>
  <c r="AG13" i="99"/>
  <c r="AG14" i="99"/>
  <c r="AG15" i="99"/>
  <c r="AG16" i="99"/>
  <c r="AG17" i="99"/>
  <c r="AG21" i="99"/>
  <c r="AG22" i="99"/>
  <c r="AG23" i="99"/>
  <c r="AG24" i="99"/>
  <c r="AG25" i="99"/>
  <c r="AG26" i="99"/>
  <c r="AG27" i="99"/>
  <c r="AG28" i="99"/>
  <c r="AG30" i="99"/>
  <c r="AG32" i="99"/>
  <c r="AG3" i="99"/>
  <c r="AE33" i="99"/>
  <c r="AF33" i="99"/>
  <c r="AF33" i="89"/>
  <c r="AE33" i="89"/>
  <c r="AG32" i="89"/>
  <c r="H33" i="89"/>
  <c r="AG31" i="89"/>
  <c r="AG30" i="89"/>
  <c r="AD33" i="89"/>
  <c r="AC33" i="89"/>
  <c r="AB33" i="89"/>
  <c r="AA33" i="89"/>
  <c r="Z33" i="89"/>
  <c r="Y33" i="89"/>
  <c r="X33" i="89"/>
  <c r="W33" i="89"/>
  <c r="V33" i="89"/>
  <c r="U33" i="89"/>
  <c r="T33" i="89"/>
  <c r="S33" i="89"/>
  <c r="R33" i="89"/>
  <c r="Q33" i="89"/>
  <c r="P33" i="89"/>
  <c r="O33" i="89"/>
  <c r="N33" i="89"/>
  <c r="M33" i="89"/>
  <c r="L33" i="89"/>
  <c r="K33" i="89"/>
  <c r="J33" i="89"/>
  <c r="I33" i="89"/>
  <c r="G33" i="89"/>
  <c r="F33" i="89"/>
  <c r="E33" i="89"/>
  <c r="D33" i="89"/>
  <c r="C33" i="89"/>
  <c r="B33" i="89"/>
  <c r="AG28" i="89"/>
  <c r="AG27" i="89"/>
  <c r="AG26" i="89"/>
  <c r="AG25" i="89"/>
  <c r="AG24" i="89"/>
  <c r="AG23" i="89"/>
  <c r="AG22" i="89"/>
  <c r="AG21" i="89"/>
  <c r="AG20" i="89"/>
  <c r="AG19" i="89"/>
  <c r="AG18" i="89"/>
  <c r="AG17" i="89"/>
  <c r="AG16" i="89"/>
  <c r="AG15" i="89"/>
  <c r="AG14" i="89"/>
  <c r="AG13" i="89"/>
  <c r="AG12" i="89"/>
  <c r="AG11" i="89"/>
  <c r="AG10" i="89"/>
  <c r="AG9" i="89"/>
  <c r="AG8" i="89"/>
  <c r="AG7" i="89"/>
  <c r="AG6" i="89"/>
  <c r="AG5" i="89"/>
  <c r="AG4" i="89"/>
  <c r="AG3" i="89"/>
  <c r="AG4" i="88"/>
  <c r="AG5" i="88"/>
  <c r="AG6" i="88"/>
  <c r="AG7" i="88"/>
  <c r="AG8" i="88"/>
  <c r="AG9" i="88"/>
  <c r="AG10" i="88"/>
  <c r="AG11" i="88"/>
  <c r="AG12" i="88"/>
  <c r="AG13" i="88"/>
  <c r="AG14" i="88"/>
  <c r="AG15" i="88"/>
  <c r="AG16" i="88"/>
  <c r="AG17" i="88"/>
  <c r="AG18" i="88"/>
  <c r="AG19" i="88"/>
  <c r="AG20" i="88"/>
  <c r="AG21" i="88"/>
  <c r="AG22" i="88"/>
  <c r="AG23" i="88"/>
  <c r="AG24" i="88"/>
  <c r="AG25" i="88"/>
  <c r="AG26" i="88"/>
  <c r="AG27" i="88"/>
  <c r="AG28" i="88"/>
  <c r="AG30" i="88"/>
  <c r="AG32" i="88"/>
  <c r="AG3" i="88"/>
  <c r="AE33" i="88"/>
  <c r="AF33" i="88"/>
  <c r="AF33" i="77"/>
  <c r="AE33" i="77"/>
  <c r="T33" i="77"/>
  <c r="H33" i="77"/>
  <c r="F33" i="77"/>
  <c r="C33" i="77"/>
  <c r="AG32" i="77"/>
  <c r="AG31" i="77"/>
  <c r="AG30" i="77"/>
  <c r="AC33" i="77"/>
  <c r="AA33" i="77"/>
  <c r="W33" i="77"/>
  <c r="V33" i="77"/>
  <c r="P33" i="77"/>
  <c r="M33" i="77"/>
  <c r="K33" i="77"/>
  <c r="AG28" i="77"/>
  <c r="AG27" i="77"/>
  <c r="AG26" i="77"/>
  <c r="AG25" i="77"/>
  <c r="AG24" i="77"/>
  <c r="AG23" i="77"/>
  <c r="AG22" i="77"/>
  <c r="AG21" i="77"/>
  <c r="AG20" i="77"/>
  <c r="AB33" i="77"/>
  <c r="S33" i="77"/>
  <c r="N33" i="77"/>
  <c r="J33" i="77"/>
  <c r="I33" i="77"/>
  <c r="B33" i="77"/>
  <c r="AG17" i="77"/>
  <c r="AG16" i="77"/>
  <c r="AG15" i="77"/>
  <c r="AG14" i="77"/>
  <c r="AG13" i="77"/>
  <c r="AG12" i="77"/>
  <c r="AG11" i="77"/>
  <c r="AG10" i="77"/>
  <c r="AG9" i="77"/>
  <c r="AG8" i="77"/>
  <c r="AG7" i="77"/>
  <c r="AG6" i="77"/>
  <c r="AG5" i="77"/>
  <c r="AG4" i="77"/>
  <c r="AG3" i="77"/>
  <c r="AG4" i="76"/>
  <c r="AG5" i="76"/>
  <c r="AG6" i="76"/>
  <c r="AG7" i="76"/>
  <c r="AG8" i="76"/>
  <c r="AG9" i="76"/>
  <c r="AG10" i="76"/>
  <c r="AG11" i="76"/>
  <c r="AG12" i="76"/>
  <c r="AG13" i="76"/>
  <c r="AG14" i="76"/>
  <c r="AG15" i="76"/>
  <c r="AG16" i="76"/>
  <c r="AG17" i="76"/>
  <c r="AG20" i="76"/>
  <c r="AG21" i="76"/>
  <c r="AG22" i="76"/>
  <c r="AG23" i="76"/>
  <c r="AG24" i="76"/>
  <c r="AG25" i="76"/>
  <c r="AG26" i="76"/>
  <c r="AG27" i="76"/>
  <c r="AG28" i="76"/>
  <c r="AG30" i="76"/>
  <c r="AG31" i="76"/>
  <c r="AG32" i="76"/>
  <c r="AG3" i="76"/>
  <c r="C33" i="76"/>
  <c r="E33" i="76"/>
  <c r="F33" i="76"/>
  <c r="H33" i="76"/>
  <c r="AE33" i="76"/>
  <c r="AF33" i="76"/>
  <c r="H33" i="111" l="1"/>
  <c r="Y33" i="111"/>
  <c r="C33" i="100"/>
  <c r="W33" i="100"/>
  <c r="O33" i="100"/>
  <c r="R33" i="111"/>
  <c r="T33" i="111"/>
  <c r="L33" i="111"/>
  <c r="P33" i="111"/>
  <c r="C33" i="111"/>
  <c r="D33" i="100"/>
  <c r="Q33" i="100"/>
  <c r="AG24" i="111"/>
  <c r="W33" i="111"/>
  <c r="I33" i="111"/>
  <c r="AA33" i="111"/>
  <c r="O33" i="111"/>
  <c r="B33" i="100"/>
  <c r="K33" i="100"/>
  <c r="V33" i="100"/>
  <c r="AD33" i="100"/>
  <c r="H33" i="100"/>
  <c r="T33" i="100"/>
  <c r="AB33" i="100"/>
  <c r="O33" i="77"/>
  <c r="G33" i="77"/>
  <c r="AF33" i="111"/>
  <c r="Q33" i="111"/>
  <c r="AG20" i="111"/>
  <c r="B33" i="111"/>
  <c r="AG19" i="77"/>
  <c r="D22" i="1"/>
  <c r="F22" i="1"/>
  <c r="J22" i="1"/>
  <c r="L22" i="1"/>
  <c r="O22" i="1"/>
  <c r="N22" i="1"/>
  <c r="G33" i="111"/>
  <c r="AG18" i="111"/>
  <c r="F33" i="111"/>
  <c r="K33" i="111"/>
  <c r="M33" i="111"/>
  <c r="V33" i="111"/>
  <c r="X33" i="111"/>
  <c r="Z33" i="111"/>
  <c r="AB33" i="111"/>
  <c r="AE33" i="111"/>
  <c r="E22" i="1"/>
  <c r="G22" i="1"/>
  <c r="K22" i="1"/>
  <c r="M22" i="1"/>
  <c r="Q22" i="1"/>
  <c r="V22" i="1"/>
  <c r="U22" i="1"/>
  <c r="X22" i="1"/>
  <c r="W22" i="1"/>
  <c r="AB22" i="1"/>
  <c r="AG20" i="1"/>
  <c r="G6" i="56" s="1"/>
  <c r="N33" i="111"/>
  <c r="AD33" i="111"/>
  <c r="Y22" i="1"/>
  <c r="P22" i="1"/>
  <c r="I22" i="1"/>
  <c r="AG34" i="122"/>
  <c r="AG33" i="122"/>
  <c r="H22" i="1"/>
  <c r="AA22" i="1"/>
  <c r="Z22" i="1"/>
  <c r="AG19" i="111"/>
  <c r="AG19" i="100"/>
  <c r="AG29" i="100"/>
  <c r="AG31" i="100"/>
  <c r="AG18" i="100"/>
  <c r="AG33" i="89"/>
  <c r="AG29" i="89"/>
  <c r="U33" i="77"/>
  <c r="D33" i="77"/>
  <c r="L33" i="77"/>
  <c r="R33" i="77"/>
  <c r="Z33" i="77"/>
  <c r="AD33" i="77"/>
  <c r="AG18" i="77"/>
  <c r="AG29" i="77"/>
  <c r="C33" i="70"/>
  <c r="D33" i="70"/>
  <c r="E33" i="70"/>
  <c r="F33" i="70"/>
  <c r="G33" i="70"/>
  <c r="H33" i="70"/>
  <c r="I33" i="70"/>
  <c r="J33" i="70"/>
  <c r="K33" i="70"/>
  <c r="L33" i="70"/>
  <c r="M33" i="70"/>
  <c r="N33" i="70"/>
  <c r="O33" i="70"/>
  <c r="P33" i="70"/>
  <c r="Q33" i="70"/>
  <c r="R33" i="70"/>
  <c r="S33" i="70"/>
  <c r="T33" i="70"/>
  <c r="U33" i="70"/>
  <c r="V33" i="70"/>
  <c r="W33" i="70"/>
  <c r="X33" i="70"/>
  <c r="Y33" i="70"/>
  <c r="Z33" i="70"/>
  <c r="AA33" i="70"/>
  <c r="AB33" i="70"/>
  <c r="AC33" i="70"/>
  <c r="AD33" i="70"/>
  <c r="AE33" i="70"/>
  <c r="AF33" i="70"/>
  <c r="B33" i="70"/>
  <c r="AD31" i="88"/>
  <c r="AC31" i="88"/>
  <c r="AB31" i="88"/>
  <c r="AA31" i="88"/>
  <c r="Z31" i="88"/>
  <c r="Y31" i="88"/>
  <c r="X31" i="88"/>
  <c r="W31" i="88"/>
  <c r="V31" i="88"/>
  <c r="U31" i="88"/>
  <c r="T31" i="88"/>
  <c r="S31" i="88"/>
  <c r="R31" i="88"/>
  <c r="Q31" i="88"/>
  <c r="P31" i="88"/>
  <c r="O31" i="88"/>
  <c r="N31" i="88"/>
  <c r="M31" i="88"/>
  <c r="L31" i="88"/>
  <c r="K31" i="88"/>
  <c r="J31" i="88"/>
  <c r="I31" i="88"/>
  <c r="H31" i="88"/>
  <c r="H33" i="88" s="1"/>
  <c r="G31" i="88"/>
  <c r="F31" i="88"/>
  <c r="E31" i="88"/>
  <c r="D31" i="88"/>
  <c r="C31" i="88"/>
  <c r="B31" i="88"/>
  <c r="AD31" i="99"/>
  <c r="AC31" i="99"/>
  <c r="AB31" i="99"/>
  <c r="AA31" i="99"/>
  <c r="Z31" i="99"/>
  <c r="Y31" i="99"/>
  <c r="X31" i="99"/>
  <c r="W31" i="99"/>
  <c r="V31" i="99"/>
  <c r="U31" i="99"/>
  <c r="T31" i="99"/>
  <c r="S31" i="99"/>
  <c r="R31" i="99"/>
  <c r="Q31" i="99"/>
  <c r="P31" i="99"/>
  <c r="O31" i="99"/>
  <c r="N31" i="99"/>
  <c r="M31" i="99"/>
  <c r="L31" i="99"/>
  <c r="K31" i="99"/>
  <c r="J31" i="99"/>
  <c r="I31" i="99"/>
  <c r="H31" i="99"/>
  <c r="G31" i="99"/>
  <c r="F31" i="99"/>
  <c r="E31" i="99"/>
  <c r="D31" i="99"/>
  <c r="C31" i="99"/>
  <c r="B31" i="99"/>
  <c r="AD31" i="110"/>
  <c r="AC31" i="110"/>
  <c r="AB31" i="110"/>
  <c r="AA31" i="110"/>
  <c r="Z31" i="110"/>
  <c r="Y31" i="110"/>
  <c r="X31" i="110"/>
  <c r="W31" i="110"/>
  <c r="V31" i="110"/>
  <c r="U31" i="110"/>
  <c r="T31" i="110"/>
  <c r="S31" i="110"/>
  <c r="R31" i="110"/>
  <c r="Q31" i="110"/>
  <c r="P31" i="110"/>
  <c r="O31" i="110"/>
  <c r="N31" i="110"/>
  <c r="M31" i="110"/>
  <c r="L31" i="110"/>
  <c r="K31" i="110"/>
  <c r="J31" i="110"/>
  <c r="I31" i="110"/>
  <c r="H31" i="110"/>
  <c r="G31" i="110"/>
  <c r="F31" i="110"/>
  <c r="E31" i="110"/>
  <c r="D31" i="110"/>
  <c r="C31" i="110"/>
  <c r="B31" i="110"/>
  <c r="AD29" i="99"/>
  <c r="AC29" i="99"/>
  <c r="AB29" i="99"/>
  <c r="AA29" i="99"/>
  <c r="Z29" i="99"/>
  <c r="Y29" i="99"/>
  <c r="X29" i="99"/>
  <c r="W29" i="99"/>
  <c r="V29" i="99"/>
  <c r="U29" i="99"/>
  <c r="T29" i="99"/>
  <c r="S29" i="99"/>
  <c r="R29" i="99"/>
  <c r="Q29" i="99"/>
  <c r="P29" i="99"/>
  <c r="O29" i="99"/>
  <c r="N29" i="99"/>
  <c r="M29" i="99"/>
  <c r="L29" i="99"/>
  <c r="K29" i="99"/>
  <c r="J29" i="99"/>
  <c r="I29" i="99"/>
  <c r="H29" i="99"/>
  <c r="G29" i="99"/>
  <c r="F29" i="99"/>
  <c r="E29" i="99"/>
  <c r="D29" i="99"/>
  <c r="C29" i="99"/>
  <c r="B29" i="99"/>
  <c r="AD19" i="99"/>
  <c r="AB19" i="99"/>
  <c r="AA19" i="99"/>
  <c r="Z19" i="99"/>
  <c r="X19" i="99"/>
  <c r="W19" i="99"/>
  <c r="V19" i="99"/>
  <c r="U19" i="99"/>
  <c r="T19" i="99"/>
  <c r="S19" i="99"/>
  <c r="R19" i="99"/>
  <c r="Q19" i="99"/>
  <c r="P19" i="99"/>
  <c r="O19" i="99"/>
  <c r="M19" i="99"/>
  <c r="L19" i="99"/>
  <c r="K19" i="99"/>
  <c r="J19" i="99"/>
  <c r="I19" i="99"/>
  <c r="H19" i="99"/>
  <c r="F19" i="99"/>
  <c r="D19" i="99"/>
  <c r="B19" i="99"/>
  <c r="AD18" i="99"/>
  <c r="AB18" i="99"/>
  <c r="AA18" i="99"/>
  <c r="Z18" i="99"/>
  <c r="X18" i="99"/>
  <c r="W18" i="99"/>
  <c r="V18" i="99"/>
  <c r="U18" i="99"/>
  <c r="T18" i="99"/>
  <c r="S18" i="99"/>
  <c r="R18" i="99"/>
  <c r="Q18" i="99"/>
  <c r="P18" i="99"/>
  <c r="O18" i="99"/>
  <c r="M18" i="99"/>
  <c r="L18" i="99"/>
  <c r="K18" i="99"/>
  <c r="J18" i="99"/>
  <c r="I18" i="99"/>
  <c r="H18" i="99"/>
  <c r="F18" i="99"/>
  <c r="D18" i="99"/>
  <c r="B18" i="99"/>
  <c r="AD20" i="99"/>
  <c r="AC20" i="99"/>
  <c r="AB20" i="99"/>
  <c r="AA20" i="99"/>
  <c r="Z20" i="99"/>
  <c r="Y20" i="99"/>
  <c r="X20" i="99"/>
  <c r="W20" i="99"/>
  <c r="V20" i="99"/>
  <c r="U20" i="99"/>
  <c r="T20" i="99"/>
  <c r="S20" i="99"/>
  <c r="R20" i="99"/>
  <c r="Q20" i="99"/>
  <c r="P20" i="99"/>
  <c r="O20" i="99"/>
  <c r="N20" i="99"/>
  <c r="M20" i="99"/>
  <c r="L20" i="99"/>
  <c r="K20" i="99"/>
  <c r="J20" i="99"/>
  <c r="I20" i="99"/>
  <c r="H20" i="99"/>
  <c r="K6" i="1"/>
  <c r="AD29" i="110"/>
  <c r="AC29" i="110"/>
  <c r="AB29" i="110"/>
  <c r="AA29" i="110"/>
  <c r="Z29" i="110"/>
  <c r="Y29" i="110"/>
  <c r="X29" i="110"/>
  <c r="X33" i="110" s="1"/>
  <c r="W29" i="110"/>
  <c r="V29" i="110"/>
  <c r="U29" i="110"/>
  <c r="T29" i="110"/>
  <c r="S29" i="110"/>
  <c r="R29" i="110"/>
  <c r="Q29" i="110"/>
  <c r="P29" i="110"/>
  <c r="P33" i="110" s="1"/>
  <c r="O29" i="110"/>
  <c r="N29" i="110"/>
  <c r="M29" i="110"/>
  <c r="L29" i="110"/>
  <c r="K29" i="110"/>
  <c r="J29" i="110"/>
  <c r="I29" i="110"/>
  <c r="H29" i="110"/>
  <c r="G29" i="110"/>
  <c r="F29" i="110"/>
  <c r="E29" i="110"/>
  <c r="D29" i="110"/>
  <c r="C29" i="110"/>
  <c r="B29" i="110"/>
  <c r="I24" i="110"/>
  <c r="G24" i="110"/>
  <c r="F24" i="110"/>
  <c r="E24" i="110"/>
  <c r="D24" i="110"/>
  <c r="C24" i="110"/>
  <c r="B24" i="110"/>
  <c r="AD20" i="110"/>
  <c r="AC20" i="110"/>
  <c r="AB20" i="110"/>
  <c r="AA20" i="110"/>
  <c r="Z20" i="110"/>
  <c r="Y20" i="110"/>
  <c r="Y33" i="110" s="1"/>
  <c r="X20" i="110"/>
  <c r="W20" i="110"/>
  <c r="V20" i="110"/>
  <c r="U20" i="110"/>
  <c r="T20" i="110"/>
  <c r="S20" i="110"/>
  <c r="R20" i="110"/>
  <c r="Q20" i="110"/>
  <c r="P20" i="110"/>
  <c r="O20" i="110"/>
  <c r="N20" i="110"/>
  <c r="M20" i="110"/>
  <c r="L20" i="110"/>
  <c r="K20" i="110"/>
  <c r="J20" i="110"/>
  <c r="I20" i="110"/>
  <c r="I33" i="110" s="1"/>
  <c r="H20" i="110"/>
  <c r="G20" i="110"/>
  <c r="F20" i="110"/>
  <c r="E20" i="110"/>
  <c r="D20" i="110"/>
  <c r="C20" i="110"/>
  <c r="B20" i="110"/>
  <c r="AD19" i="110"/>
  <c r="AC19" i="110"/>
  <c r="AB19" i="110"/>
  <c r="AA19" i="110"/>
  <c r="Z19" i="110"/>
  <c r="W19" i="110"/>
  <c r="V19" i="110"/>
  <c r="U19" i="110"/>
  <c r="T19" i="110"/>
  <c r="S19" i="110"/>
  <c r="R19" i="110"/>
  <c r="Q19" i="110"/>
  <c r="P19" i="110"/>
  <c r="O19" i="110"/>
  <c r="N19" i="110"/>
  <c r="M19" i="110"/>
  <c r="L19" i="110"/>
  <c r="K19" i="110"/>
  <c r="J19" i="110"/>
  <c r="H19" i="110"/>
  <c r="G19" i="110"/>
  <c r="E19" i="110"/>
  <c r="C19" i="110"/>
  <c r="B19" i="110"/>
  <c r="AD18" i="110"/>
  <c r="AC18" i="110"/>
  <c r="AB18" i="110"/>
  <c r="AA18" i="110"/>
  <c r="Z18" i="110"/>
  <c r="W18" i="110"/>
  <c r="V18" i="110"/>
  <c r="U18" i="110"/>
  <c r="T18" i="110"/>
  <c r="T33" i="110" s="1"/>
  <c r="S18" i="110"/>
  <c r="R18" i="110"/>
  <c r="R33" i="110" s="1"/>
  <c r="Q18" i="110"/>
  <c r="P18" i="110"/>
  <c r="O18" i="110"/>
  <c r="N18" i="110"/>
  <c r="M18" i="110"/>
  <c r="L18" i="110"/>
  <c r="K18" i="110"/>
  <c r="J18" i="110"/>
  <c r="J33" i="110" s="1"/>
  <c r="H18" i="110"/>
  <c r="G18" i="110"/>
  <c r="E18" i="110"/>
  <c r="C18" i="110"/>
  <c r="B18" i="110"/>
  <c r="B33" i="110" s="1"/>
  <c r="AF33" i="110"/>
  <c r="AE33" i="110"/>
  <c r="AG3" i="110"/>
  <c r="O33" i="110" l="1"/>
  <c r="D33" i="110"/>
  <c r="L33" i="110"/>
  <c r="W33" i="110"/>
  <c r="H33" i="110"/>
  <c r="Q33" i="110"/>
  <c r="N33" i="110"/>
  <c r="V33" i="110"/>
  <c r="F33" i="110"/>
  <c r="AB33" i="110"/>
  <c r="E33" i="99"/>
  <c r="Z33" i="110"/>
  <c r="AD33" i="110"/>
  <c r="AG33" i="100"/>
  <c r="C33" i="110"/>
  <c r="K33" i="110"/>
  <c r="S33" i="110"/>
  <c r="AA33" i="110"/>
  <c r="AG31" i="99"/>
  <c r="Y33" i="99"/>
  <c r="AG16" i="1"/>
  <c r="G33" i="99"/>
  <c r="G33" i="110"/>
  <c r="AC33" i="110"/>
  <c r="F33" i="99"/>
  <c r="AC33" i="99"/>
  <c r="M33" i="110"/>
  <c r="U33" i="110"/>
  <c r="N33" i="99"/>
  <c r="C33" i="99"/>
  <c r="AG33" i="111"/>
  <c r="D33" i="99"/>
  <c r="AG24" i="110"/>
  <c r="AG29" i="99"/>
  <c r="AD22" i="1"/>
  <c r="AG34" i="111"/>
  <c r="AG19" i="1"/>
  <c r="F6" i="56" s="1"/>
  <c r="AG18" i="110"/>
  <c r="AG19" i="110"/>
  <c r="AG20" i="110"/>
  <c r="AG29" i="110"/>
  <c r="AG31" i="110"/>
  <c r="AG31" i="88"/>
  <c r="AF22" i="1"/>
  <c r="AE22" i="1"/>
  <c r="T22" i="1"/>
  <c r="S22" i="1"/>
  <c r="R22" i="1"/>
  <c r="AG18" i="99"/>
  <c r="B33" i="99"/>
  <c r="I33" i="99"/>
  <c r="K33" i="99"/>
  <c r="M33" i="99"/>
  <c r="P33" i="99"/>
  <c r="R33" i="99"/>
  <c r="T33" i="99"/>
  <c r="V33" i="99"/>
  <c r="X33" i="99"/>
  <c r="AA33" i="99"/>
  <c r="AD33" i="99"/>
  <c r="AG20" i="99"/>
  <c r="H33" i="99"/>
  <c r="J33" i="99"/>
  <c r="L33" i="99"/>
  <c r="O33" i="99"/>
  <c r="Q33" i="99"/>
  <c r="S33" i="99"/>
  <c r="U33" i="99"/>
  <c r="W33" i="99"/>
  <c r="Z33" i="99"/>
  <c r="AB33" i="99"/>
  <c r="AG19" i="99"/>
  <c r="AG34" i="89"/>
  <c r="AG34" i="100"/>
  <c r="AG33" i="77"/>
  <c r="AG34" i="77"/>
  <c r="E33" i="110"/>
  <c r="AD29" i="88"/>
  <c r="AD33" i="88" s="1"/>
  <c r="AC29" i="88"/>
  <c r="AC33" i="88" s="1"/>
  <c r="AB29" i="88"/>
  <c r="AB33" i="88" s="1"/>
  <c r="AA29" i="88"/>
  <c r="AA33" i="88" s="1"/>
  <c r="Z29" i="88"/>
  <c r="Z33" i="88" s="1"/>
  <c r="Y29" i="88"/>
  <c r="Y33" i="88" s="1"/>
  <c r="X29" i="88"/>
  <c r="X33" i="88" s="1"/>
  <c r="W29" i="88"/>
  <c r="W33" i="88" s="1"/>
  <c r="V29" i="88"/>
  <c r="V33" i="88" s="1"/>
  <c r="U29" i="88"/>
  <c r="U33" i="88" s="1"/>
  <c r="T29" i="88"/>
  <c r="T33" i="88" s="1"/>
  <c r="S29" i="88"/>
  <c r="S33" i="88" s="1"/>
  <c r="R29" i="88"/>
  <c r="R33" i="88" s="1"/>
  <c r="Q29" i="88"/>
  <c r="Q33" i="88" s="1"/>
  <c r="P29" i="88"/>
  <c r="P33" i="88" s="1"/>
  <c r="O29" i="88"/>
  <c r="O33" i="88" s="1"/>
  <c r="N29" i="88"/>
  <c r="N33" i="88" s="1"/>
  <c r="M29" i="88"/>
  <c r="M33" i="88" s="1"/>
  <c r="L29" i="88"/>
  <c r="L33" i="88" s="1"/>
  <c r="K29" i="88"/>
  <c r="K33" i="88" s="1"/>
  <c r="J29" i="88"/>
  <c r="J33" i="88" s="1"/>
  <c r="I29" i="88"/>
  <c r="I33" i="88" s="1"/>
  <c r="G29" i="88"/>
  <c r="G33" i="88" s="1"/>
  <c r="F29" i="88"/>
  <c r="F33" i="88" s="1"/>
  <c r="E29" i="88"/>
  <c r="E33" i="88" s="1"/>
  <c r="D29" i="88"/>
  <c r="D33" i="88" s="1"/>
  <c r="C29" i="88"/>
  <c r="C33" i="88" s="1"/>
  <c r="B29" i="88"/>
  <c r="AD29" i="76"/>
  <c r="AC29" i="76"/>
  <c r="AC33" i="76" s="1"/>
  <c r="AB29" i="76"/>
  <c r="AA29" i="76"/>
  <c r="AA33" i="76" s="1"/>
  <c r="Z29" i="76"/>
  <c r="Y29" i="76"/>
  <c r="Y33" i="76" s="1"/>
  <c r="X29" i="76"/>
  <c r="W29" i="76"/>
  <c r="W33" i="76" s="1"/>
  <c r="V29" i="76"/>
  <c r="V33" i="76" s="1"/>
  <c r="U29" i="76"/>
  <c r="T29" i="76"/>
  <c r="T33" i="76" s="1"/>
  <c r="S29" i="76"/>
  <c r="R29" i="76"/>
  <c r="Q29" i="76"/>
  <c r="Q33" i="76" s="1"/>
  <c r="P29" i="76"/>
  <c r="P33" i="76" s="1"/>
  <c r="O29" i="76"/>
  <c r="O33" i="76" s="1"/>
  <c r="N29" i="76"/>
  <c r="M29" i="76"/>
  <c r="M33" i="76" s="1"/>
  <c r="L29" i="76"/>
  <c r="K29" i="76"/>
  <c r="K33" i="76" s="1"/>
  <c r="J29" i="76"/>
  <c r="AD19" i="76"/>
  <c r="AB19" i="76"/>
  <c r="Z19" i="76"/>
  <c r="X19" i="76"/>
  <c r="U19" i="76"/>
  <c r="S19" i="76"/>
  <c r="R19" i="76"/>
  <c r="N19" i="76"/>
  <c r="L19" i="76"/>
  <c r="J19" i="76"/>
  <c r="I19" i="76"/>
  <c r="G19" i="76"/>
  <c r="D19" i="76"/>
  <c r="B19" i="76"/>
  <c r="AD18" i="76"/>
  <c r="AB18" i="76"/>
  <c r="Z18" i="76"/>
  <c r="X18" i="76"/>
  <c r="U18" i="76"/>
  <c r="S18" i="76"/>
  <c r="R18" i="76"/>
  <c r="N18" i="76"/>
  <c r="L18" i="76"/>
  <c r="J18" i="76"/>
  <c r="I18" i="76"/>
  <c r="G18" i="76"/>
  <c r="D18" i="76"/>
  <c r="B18" i="76"/>
  <c r="AF35" i="121"/>
  <c r="AE35" i="121"/>
  <c r="AD35" i="121"/>
  <c r="AC35" i="121"/>
  <c r="AG33" i="121"/>
  <c r="AG32" i="121"/>
  <c r="AE13" i="1" s="1"/>
  <c r="AG31" i="121"/>
  <c r="AG30" i="121"/>
  <c r="AC13" i="1" s="1"/>
  <c r="AG29" i="121"/>
  <c r="AG28" i="121"/>
  <c r="AG27" i="121"/>
  <c r="AG26" i="121"/>
  <c r="AG25" i="121"/>
  <c r="X13" i="1" s="1"/>
  <c r="AG24" i="121"/>
  <c r="AG23" i="121"/>
  <c r="AG22" i="121"/>
  <c r="U13" i="1" s="1"/>
  <c r="AG21" i="121"/>
  <c r="T13" i="1" s="1"/>
  <c r="AG20" i="121"/>
  <c r="S13" i="1" s="1"/>
  <c r="AG19" i="121"/>
  <c r="R13" i="1" s="1"/>
  <c r="AG18" i="121"/>
  <c r="AG17" i="121"/>
  <c r="AG16" i="121"/>
  <c r="AG15" i="121"/>
  <c r="N15" i="1" s="1"/>
  <c r="AG13" i="121"/>
  <c r="AG12" i="121"/>
  <c r="AG11" i="121"/>
  <c r="AG10" i="121"/>
  <c r="AG9" i="121"/>
  <c r="AG8" i="121"/>
  <c r="AG7" i="121"/>
  <c r="AG6" i="121"/>
  <c r="AG5" i="121"/>
  <c r="AG4" i="121"/>
  <c r="D13" i="1" s="1"/>
  <c r="AG3" i="121"/>
  <c r="C13" i="1" s="1"/>
  <c r="G13" i="1" l="1"/>
  <c r="G15" i="1" s="1"/>
  <c r="F13" i="1"/>
  <c r="F15" i="1" s="1"/>
  <c r="H13" i="1"/>
  <c r="H15" i="1" s="1"/>
  <c r="J13" i="1"/>
  <c r="J15" i="1" s="1"/>
  <c r="L13" i="1"/>
  <c r="L15" i="1" s="1"/>
  <c r="P13" i="1"/>
  <c r="P15" i="1" s="1"/>
  <c r="V13" i="1"/>
  <c r="V15" i="1" s="1"/>
  <c r="Z13" i="1"/>
  <c r="Z15" i="1" s="1"/>
  <c r="AB13" i="1"/>
  <c r="AB15" i="1" s="1"/>
  <c r="AD13" i="1"/>
  <c r="AD15" i="1" s="1"/>
  <c r="AF13" i="1"/>
  <c r="AF15" i="1" s="1"/>
  <c r="E13" i="1"/>
  <c r="E15" i="1" s="1"/>
  <c r="I13" i="1"/>
  <c r="I15" i="1" s="1"/>
  <c r="K13" i="1"/>
  <c r="K15" i="1" s="1"/>
  <c r="M13" i="1"/>
  <c r="M15" i="1" s="1"/>
  <c r="O13" i="1"/>
  <c r="O15" i="1" s="1"/>
  <c r="Q13" i="1"/>
  <c r="Q15" i="1" s="1"/>
  <c r="W13" i="1"/>
  <c r="W15" i="1" s="1"/>
  <c r="Y13" i="1"/>
  <c r="Y15" i="1" s="1"/>
  <c r="AA13" i="1"/>
  <c r="AA15" i="1" s="1"/>
  <c r="D15" i="1"/>
  <c r="AG36" i="121"/>
  <c r="X15" i="1"/>
  <c r="G33" i="76"/>
  <c r="X33" i="76"/>
  <c r="AG33" i="110"/>
  <c r="D33" i="76"/>
  <c r="U33" i="76"/>
  <c r="I33" i="76"/>
  <c r="Z33" i="76"/>
  <c r="J33" i="76"/>
  <c r="AB33" i="76"/>
  <c r="L33" i="76"/>
  <c r="AD33" i="76"/>
  <c r="N33" i="76"/>
  <c r="R33" i="76"/>
  <c r="S33" i="76"/>
  <c r="AG29" i="88"/>
  <c r="B33" i="88"/>
  <c r="AG33" i="88" s="1"/>
  <c r="AC22" i="1"/>
  <c r="AG17" i="1"/>
  <c r="AG18" i="1"/>
  <c r="AG12" i="1"/>
  <c r="F5" i="56" s="1"/>
  <c r="B33" i="76"/>
  <c r="AG18" i="76"/>
  <c r="AG19" i="76"/>
  <c r="AG29" i="76"/>
  <c r="U15" i="1"/>
  <c r="T15" i="1"/>
  <c r="AE15" i="1"/>
  <c r="AG34" i="110"/>
  <c r="AG34" i="99"/>
  <c r="AG35" i="121"/>
  <c r="AG33" i="99"/>
  <c r="AG24" i="72"/>
  <c r="V4" i="1" s="1"/>
  <c r="AG25" i="72"/>
  <c r="W4" i="1" s="1"/>
  <c r="AG11" i="72"/>
  <c r="AG20" i="70"/>
  <c r="AG13" i="1" l="1"/>
  <c r="G5" i="56" s="1"/>
  <c r="AI16" i="1"/>
  <c r="AG33" i="76"/>
  <c r="AG11" i="1"/>
  <c r="S15" i="1"/>
  <c r="AG10" i="1"/>
  <c r="AG34" i="88"/>
  <c r="AC15" i="1"/>
  <c r="AG34" i="76"/>
  <c r="AG32" i="70"/>
  <c r="AF2" i="1" s="1"/>
  <c r="AF5" i="1"/>
  <c r="C35" i="71"/>
  <c r="D35" i="71"/>
  <c r="E35" i="71"/>
  <c r="F35" i="71"/>
  <c r="G35" i="71"/>
  <c r="H35" i="71"/>
  <c r="I35" i="71"/>
  <c r="J35" i="71"/>
  <c r="K35" i="71"/>
  <c r="L35" i="71"/>
  <c r="M35" i="71"/>
  <c r="N35" i="71"/>
  <c r="O35" i="71"/>
  <c r="P35" i="71"/>
  <c r="Q35" i="71"/>
  <c r="R35" i="71"/>
  <c r="S35" i="71"/>
  <c r="T35" i="71"/>
  <c r="U35" i="71"/>
  <c r="V35" i="71"/>
  <c r="W35" i="71"/>
  <c r="X35" i="71"/>
  <c r="Y35" i="71"/>
  <c r="Z35" i="71"/>
  <c r="AA35" i="71"/>
  <c r="AB35" i="71"/>
  <c r="AC35" i="71"/>
  <c r="AD35" i="71"/>
  <c r="AE35" i="71"/>
  <c r="AF35" i="71"/>
  <c r="B35" i="71"/>
  <c r="AG34" i="72"/>
  <c r="AG4" i="73"/>
  <c r="AG5" i="73"/>
  <c r="AG6" i="73"/>
  <c r="AG7" i="73"/>
  <c r="AG8" i="73"/>
  <c r="AG9" i="73"/>
  <c r="AG10" i="73"/>
  <c r="AG11" i="73"/>
  <c r="AG12" i="73"/>
  <c r="AG13" i="73"/>
  <c r="AG14" i="73"/>
  <c r="AG15" i="73"/>
  <c r="AG16" i="73"/>
  <c r="AG17" i="73"/>
  <c r="AG18" i="73"/>
  <c r="AG19" i="73"/>
  <c r="AG20" i="73"/>
  <c r="AG21" i="73"/>
  <c r="AG22" i="73"/>
  <c r="AG23" i="73"/>
  <c r="AG24" i="73"/>
  <c r="AG25" i="73"/>
  <c r="AG26" i="73"/>
  <c r="AG27" i="73"/>
  <c r="AG28" i="73"/>
  <c r="AG29" i="73"/>
  <c r="AG30" i="73"/>
  <c r="AG31" i="73"/>
  <c r="AG32" i="73"/>
  <c r="AF3" i="1" s="1"/>
  <c r="AG3" i="73"/>
  <c r="AG35" i="71" l="1"/>
  <c r="AG9" i="1"/>
  <c r="AI9" i="1" s="1"/>
  <c r="R15" i="1"/>
  <c r="J13" i="56"/>
  <c r="E29" i="56" s="1"/>
  <c r="AE39" i="131"/>
  <c r="AD39" i="131"/>
  <c r="AC39" i="131"/>
  <c r="AB39" i="131"/>
  <c r="AA39" i="131"/>
  <c r="Z39" i="131"/>
  <c r="Y39" i="131"/>
  <c r="X39" i="131"/>
  <c r="W39" i="131"/>
  <c r="V39" i="131"/>
  <c r="U39" i="131"/>
  <c r="T39" i="131"/>
  <c r="S39" i="131"/>
  <c r="R39" i="131"/>
  <c r="Q39" i="131"/>
  <c r="P39" i="131"/>
  <c r="O39" i="131"/>
  <c r="N39" i="131"/>
  <c r="M39" i="131"/>
  <c r="L39" i="131"/>
  <c r="K39" i="131"/>
  <c r="J39" i="131"/>
  <c r="I39" i="131"/>
  <c r="H39" i="131"/>
  <c r="G39" i="131"/>
  <c r="F39" i="131"/>
  <c r="E39" i="131"/>
  <c r="D39" i="131"/>
  <c r="C39" i="131"/>
  <c r="B39" i="131"/>
  <c r="AF38" i="98" l="1"/>
  <c r="AE38" i="98"/>
  <c r="AD38" i="98"/>
  <c r="AC38" i="98"/>
  <c r="AB38" i="98"/>
  <c r="AA38" i="98"/>
  <c r="Z38" i="98"/>
  <c r="Y38" i="98"/>
  <c r="X38" i="98"/>
  <c r="W38" i="98"/>
  <c r="V38" i="98"/>
  <c r="U38" i="98"/>
  <c r="T38" i="98"/>
  <c r="S38" i="98"/>
  <c r="R38" i="98"/>
  <c r="Q38" i="98"/>
  <c r="P38" i="98"/>
  <c r="O38" i="98"/>
  <c r="N38" i="98"/>
  <c r="M38" i="98"/>
  <c r="L38" i="98"/>
  <c r="K38" i="98"/>
  <c r="J38" i="98"/>
  <c r="I38" i="98"/>
  <c r="H38" i="98"/>
  <c r="G38" i="98"/>
  <c r="F38" i="98"/>
  <c r="E38" i="98"/>
  <c r="D38" i="98"/>
  <c r="C38" i="98"/>
  <c r="B38" i="98"/>
  <c r="AA38" i="120"/>
  <c r="AF38" i="120"/>
  <c r="AE38" i="120"/>
  <c r="AD38" i="120"/>
  <c r="AC38" i="120"/>
  <c r="AB38" i="120"/>
  <c r="Z38" i="120"/>
  <c r="Y38" i="120"/>
  <c r="X38" i="120"/>
  <c r="W38" i="120"/>
  <c r="V38" i="120"/>
  <c r="U38" i="120"/>
  <c r="T38" i="120"/>
  <c r="S38" i="120"/>
  <c r="R38" i="120"/>
  <c r="Q38" i="120"/>
  <c r="P38" i="120"/>
  <c r="O38" i="120"/>
  <c r="N38" i="120"/>
  <c r="M38" i="120"/>
  <c r="L38" i="120"/>
  <c r="K38" i="120"/>
  <c r="J38" i="120"/>
  <c r="I38" i="120"/>
  <c r="H38" i="120"/>
  <c r="G38" i="120"/>
  <c r="F38" i="120"/>
  <c r="E38" i="120"/>
  <c r="D38" i="120"/>
  <c r="C38" i="120"/>
  <c r="B38" i="120"/>
  <c r="AF38" i="109"/>
  <c r="AE38" i="109"/>
  <c r="AD38" i="109"/>
  <c r="AC38" i="109"/>
  <c r="AB38" i="109"/>
  <c r="AA38" i="109"/>
  <c r="Z38" i="109"/>
  <c r="Y38" i="109"/>
  <c r="X38" i="109"/>
  <c r="W38" i="109"/>
  <c r="V38" i="109"/>
  <c r="U38" i="109"/>
  <c r="T38" i="109"/>
  <c r="S38" i="109"/>
  <c r="R38" i="109"/>
  <c r="Q38" i="109"/>
  <c r="P38" i="109"/>
  <c r="O38" i="109"/>
  <c r="N38" i="109"/>
  <c r="M38" i="109"/>
  <c r="L38" i="109"/>
  <c r="K38" i="109"/>
  <c r="J38" i="109"/>
  <c r="H38" i="109"/>
  <c r="G38" i="109"/>
  <c r="F38" i="109"/>
  <c r="E38" i="109"/>
  <c r="D38" i="109"/>
  <c r="C38" i="109"/>
  <c r="B38" i="109"/>
  <c r="R39" i="119"/>
  <c r="R39" i="130"/>
  <c r="AF29" i="120"/>
  <c r="AE29" i="120"/>
  <c r="AD29" i="120"/>
  <c r="AC29" i="120"/>
  <c r="AB29" i="120"/>
  <c r="AA29" i="120"/>
  <c r="Z29" i="120"/>
  <c r="Y29" i="120"/>
  <c r="X29" i="120"/>
  <c r="W29" i="120"/>
  <c r="V29" i="120"/>
  <c r="U29" i="120"/>
  <c r="T29" i="120"/>
  <c r="S29" i="120"/>
  <c r="R29" i="120"/>
  <c r="Q29" i="120"/>
  <c r="P29" i="120"/>
  <c r="O29" i="120"/>
  <c r="N29" i="120"/>
  <c r="M29" i="120"/>
  <c r="L29" i="120"/>
  <c r="K29" i="120"/>
  <c r="J29" i="120"/>
  <c r="I29" i="120"/>
  <c r="H29" i="120"/>
  <c r="G29" i="120"/>
  <c r="F29" i="120"/>
  <c r="E29" i="120"/>
  <c r="D29" i="120"/>
  <c r="C29" i="120"/>
  <c r="B29" i="120"/>
  <c r="AG11" i="109"/>
  <c r="AG12" i="109"/>
  <c r="AG13" i="109"/>
  <c r="AF17" i="109"/>
  <c r="AD17" i="109"/>
  <c r="AC17" i="109"/>
  <c r="AB17" i="109"/>
  <c r="AA17" i="109"/>
  <c r="Z17" i="109"/>
  <c r="Y17" i="109"/>
  <c r="X17" i="109"/>
  <c r="W17" i="109"/>
  <c r="V17" i="109"/>
  <c r="U17" i="109"/>
  <c r="T17" i="109"/>
  <c r="S17" i="109"/>
  <c r="R17" i="109"/>
  <c r="Q17" i="109"/>
  <c r="P17" i="109"/>
  <c r="O17" i="109"/>
  <c r="M17" i="109"/>
  <c r="L17" i="109"/>
  <c r="K17" i="109"/>
  <c r="J17" i="109"/>
  <c r="I17" i="109"/>
  <c r="H17" i="109"/>
  <c r="G17" i="109"/>
  <c r="F17" i="109"/>
  <c r="E17" i="109"/>
  <c r="D17" i="109"/>
  <c r="C17" i="109"/>
  <c r="B17" i="109"/>
  <c r="AC26" i="86"/>
  <c r="AG16" i="86"/>
  <c r="AG17" i="86"/>
  <c r="AG18" i="86"/>
  <c r="AG29" i="86"/>
  <c r="AE28" i="86"/>
  <c r="AB28" i="86"/>
  <c r="AA28" i="86"/>
  <c r="Y28" i="86"/>
  <c r="X28" i="86"/>
  <c r="V28" i="86"/>
  <c r="R28" i="86"/>
  <c r="O28" i="86"/>
  <c r="M28" i="86"/>
  <c r="K28" i="86"/>
  <c r="J28" i="86"/>
  <c r="G28" i="86"/>
  <c r="E28" i="86"/>
  <c r="D28" i="86"/>
  <c r="AE27" i="86"/>
  <c r="AB27" i="86"/>
  <c r="AA27" i="86"/>
  <c r="Y27" i="86"/>
  <c r="X27" i="86"/>
  <c r="V27" i="86"/>
  <c r="R27" i="86"/>
  <c r="O27" i="86"/>
  <c r="M27" i="86"/>
  <c r="K27" i="86"/>
  <c r="J27" i="86"/>
  <c r="G27" i="86"/>
  <c r="E27" i="86"/>
  <c r="D27" i="86"/>
  <c r="AF42" i="131" l="1"/>
  <c r="AE42" i="131"/>
  <c r="AD42" i="131"/>
  <c r="AC42" i="131"/>
  <c r="AB42" i="131"/>
  <c r="AA42" i="131"/>
  <c r="Z42" i="131"/>
  <c r="Y42" i="131"/>
  <c r="X42" i="131"/>
  <c r="W42" i="131"/>
  <c r="V42" i="131"/>
  <c r="U42" i="131"/>
  <c r="T42" i="131"/>
  <c r="S42" i="131"/>
  <c r="R42" i="131"/>
  <c r="Q42" i="131"/>
  <c r="P42" i="131"/>
  <c r="O42" i="131"/>
  <c r="N42" i="131"/>
  <c r="M42" i="131"/>
  <c r="L42" i="131"/>
  <c r="K42" i="131"/>
  <c r="J42" i="131"/>
  <c r="I42" i="131"/>
  <c r="H42" i="131"/>
  <c r="G42" i="131"/>
  <c r="F42" i="131"/>
  <c r="E42" i="131"/>
  <c r="D42" i="131"/>
  <c r="C42" i="131"/>
  <c r="B42" i="131"/>
  <c r="AG41" i="131"/>
  <c r="AG40" i="131"/>
  <c r="AG39" i="131"/>
  <c r="AG38" i="131"/>
  <c r="AG37" i="131"/>
  <c r="AG36" i="131"/>
  <c r="AG35" i="131"/>
  <c r="AG34" i="131"/>
  <c r="AG33" i="131"/>
  <c r="AG32" i="131"/>
  <c r="AG31" i="131"/>
  <c r="AG30" i="131"/>
  <c r="AG29" i="131"/>
  <c r="AG28" i="131"/>
  <c r="AG27" i="131"/>
  <c r="AG26" i="131"/>
  <c r="AG25" i="131"/>
  <c r="AG24" i="131"/>
  <c r="AG23" i="131"/>
  <c r="AG22" i="131"/>
  <c r="AG21" i="131"/>
  <c r="AG20" i="131"/>
  <c r="AG19" i="131"/>
  <c r="AG18" i="131"/>
  <c r="AG17" i="131"/>
  <c r="AG16" i="131"/>
  <c r="AG15" i="131"/>
  <c r="AG14" i="131"/>
  <c r="AG13" i="131"/>
  <c r="AG12" i="131"/>
  <c r="AG11" i="131"/>
  <c r="AG10" i="131"/>
  <c r="AG9" i="131"/>
  <c r="AG8" i="131"/>
  <c r="AG7" i="131"/>
  <c r="AG6" i="131"/>
  <c r="AG5" i="131"/>
  <c r="AG4" i="131"/>
  <c r="AG3" i="131"/>
  <c r="AF42" i="120"/>
  <c r="AE42" i="120"/>
  <c r="AD42" i="120"/>
  <c r="AC42" i="120"/>
  <c r="AB42" i="120"/>
  <c r="AA42" i="120"/>
  <c r="Z42" i="120"/>
  <c r="Y42" i="120"/>
  <c r="X42" i="120"/>
  <c r="W42" i="120"/>
  <c r="V42" i="120"/>
  <c r="U42" i="120"/>
  <c r="T42" i="120"/>
  <c r="S42" i="120"/>
  <c r="R42" i="120"/>
  <c r="Q42" i="120"/>
  <c r="P42" i="120"/>
  <c r="O42" i="120"/>
  <c r="N42" i="120"/>
  <c r="M42" i="120"/>
  <c r="L42" i="120"/>
  <c r="K42" i="120"/>
  <c r="J42" i="120"/>
  <c r="I42" i="120"/>
  <c r="H42" i="120"/>
  <c r="G42" i="120"/>
  <c r="F42" i="120"/>
  <c r="E42" i="120"/>
  <c r="D42" i="120"/>
  <c r="C42" i="120"/>
  <c r="B42" i="120"/>
  <c r="AG41" i="120"/>
  <c r="AG40" i="120"/>
  <c r="AG39" i="120"/>
  <c r="AG38" i="120"/>
  <c r="AG37" i="120"/>
  <c r="AG36" i="120"/>
  <c r="AG35" i="120"/>
  <c r="AG34" i="120"/>
  <c r="AG33" i="120"/>
  <c r="AG32" i="120"/>
  <c r="AG31" i="120"/>
  <c r="AG30" i="120"/>
  <c r="AG29" i="120"/>
  <c r="AG28" i="120"/>
  <c r="AG27" i="120"/>
  <c r="AG26" i="120"/>
  <c r="AG25" i="120"/>
  <c r="AG24" i="120"/>
  <c r="AG23" i="120"/>
  <c r="AG22" i="120"/>
  <c r="AG21" i="120"/>
  <c r="AG20" i="120"/>
  <c r="AG19" i="120"/>
  <c r="AG18" i="120"/>
  <c r="AG17" i="120"/>
  <c r="AG16" i="120"/>
  <c r="AG15" i="120"/>
  <c r="AG14" i="120"/>
  <c r="AG13" i="120"/>
  <c r="AG12" i="120"/>
  <c r="AG11" i="120"/>
  <c r="AG10" i="120"/>
  <c r="AG9" i="120"/>
  <c r="AG8" i="120"/>
  <c r="AG7" i="120"/>
  <c r="AG6" i="120"/>
  <c r="AG5" i="120"/>
  <c r="AG4" i="120"/>
  <c r="AG3" i="120"/>
  <c r="AF42" i="109"/>
  <c r="AE42" i="109"/>
  <c r="AD42" i="109"/>
  <c r="AC42" i="109"/>
  <c r="AB42" i="109"/>
  <c r="AA42" i="109"/>
  <c r="Z42" i="109"/>
  <c r="Y42" i="109"/>
  <c r="X42" i="109"/>
  <c r="W42" i="109"/>
  <c r="V42" i="109"/>
  <c r="U42" i="109"/>
  <c r="T42" i="109"/>
  <c r="S42" i="109"/>
  <c r="R42" i="109"/>
  <c r="Q42" i="109"/>
  <c r="P42" i="109"/>
  <c r="O42" i="109"/>
  <c r="N42" i="109"/>
  <c r="M42" i="109"/>
  <c r="L42" i="109"/>
  <c r="K42" i="109"/>
  <c r="J42" i="109"/>
  <c r="I42" i="109"/>
  <c r="H42" i="109"/>
  <c r="G42" i="109"/>
  <c r="F42" i="109"/>
  <c r="E42" i="109"/>
  <c r="D42" i="109"/>
  <c r="C42" i="109"/>
  <c r="B42" i="109"/>
  <c r="AG41" i="109"/>
  <c r="AG40" i="109"/>
  <c r="AG39" i="109"/>
  <c r="AG38" i="109"/>
  <c r="AG37" i="109"/>
  <c r="AG36" i="109"/>
  <c r="AG35" i="109"/>
  <c r="AG34" i="109"/>
  <c r="AG33" i="109"/>
  <c r="AG32" i="109"/>
  <c r="AG31" i="109"/>
  <c r="AG30" i="109"/>
  <c r="AG29" i="109"/>
  <c r="AG28" i="109"/>
  <c r="AG27" i="109"/>
  <c r="AG26" i="109"/>
  <c r="AG25" i="109"/>
  <c r="AG24" i="109"/>
  <c r="AG23" i="109"/>
  <c r="AG22" i="109"/>
  <c r="AG21" i="109"/>
  <c r="AG20" i="109"/>
  <c r="AG19" i="109"/>
  <c r="AG18" i="109"/>
  <c r="AG17" i="109"/>
  <c r="AG16" i="109"/>
  <c r="AG15" i="109"/>
  <c r="AG14" i="109"/>
  <c r="AG10" i="109"/>
  <c r="AG9" i="109"/>
  <c r="AG8" i="109"/>
  <c r="AG7" i="109"/>
  <c r="AG6" i="109"/>
  <c r="AG5" i="109"/>
  <c r="AG4" i="109"/>
  <c r="AG3" i="109"/>
  <c r="AF42" i="98"/>
  <c r="AE42" i="98"/>
  <c r="AD42" i="98"/>
  <c r="AC42" i="98"/>
  <c r="AB42" i="98"/>
  <c r="AA42" i="98"/>
  <c r="Z42" i="98"/>
  <c r="Y42" i="98"/>
  <c r="X42" i="98"/>
  <c r="W42" i="98"/>
  <c r="V42" i="98"/>
  <c r="U42" i="98"/>
  <c r="T42" i="98"/>
  <c r="S42" i="98"/>
  <c r="R42" i="98"/>
  <c r="Q42" i="98"/>
  <c r="P42" i="98"/>
  <c r="O42" i="98"/>
  <c r="N42" i="98"/>
  <c r="M42" i="98"/>
  <c r="L42" i="98"/>
  <c r="K42" i="98"/>
  <c r="J42" i="98"/>
  <c r="I42" i="98"/>
  <c r="H42" i="98"/>
  <c r="G42" i="98"/>
  <c r="F42" i="98"/>
  <c r="E42" i="98"/>
  <c r="D42" i="98"/>
  <c r="C42" i="98"/>
  <c r="B42" i="98"/>
  <c r="AG41" i="98"/>
  <c r="AG40" i="98"/>
  <c r="AG39" i="98"/>
  <c r="AG38" i="98"/>
  <c r="AG37" i="98"/>
  <c r="AG36" i="98"/>
  <c r="AG35" i="98"/>
  <c r="AG34" i="98"/>
  <c r="AG33" i="98"/>
  <c r="AG32" i="98"/>
  <c r="AG31" i="98"/>
  <c r="AG30" i="98"/>
  <c r="AG29" i="98"/>
  <c r="AG28" i="98"/>
  <c r="AG27" i="98"/>
  <c r="AG26" i="98"/>
  <c r="AG25" i="98"/>
  <c r="AG24" i="98"/>
  <c r="AG23" i="98"/>
  <c r="AG22" i="98"/>
  <c r="AG21" i="98"/>
  <c r="AG20" i="98"/>
  <c r="AG19" i="98"/>
  <c r="AG18" i="98"/>
  <c r="AG17" i="98"/>
  <c r="AG16" i="98"/>
  <c r="AG15" i="98"/>
  <c r="AG14" i="98"/>
  <c r="AG13" i="98"/>
  <c r="AG12" i="98"/>
  <c r="AG11" i="98"/>
  <c r="AG10" i="98"/>
  <c r="AG9" i="98"/>
  <c r="AG8" i="98"/>
  <c r="AG7" i="98"/>
  <c r="AG6" i="98"/>
  <c r="AG5" i="98"/>
  <c r="AG4" i="98"/>
  <c r="AG3" i="98"/>
  <c r="AF42" i="86"/>
  <c r="AC42" i="86"/>
  <c r="Y42" i="86"/>
  <c r="X42" i="86"/>
  <c r="W42" i="86"/>
  <c r="T42" i="86"/>
  <c r="R42" i="86"/>
  <c r="Q42" i="86"/>
  <c r="O42" i="86"/>
  <c r="N42" i="86"/>
  <c r="L42" i="86"/>
  <c r="K42" i="86"/>
  <c r="J42" i="86"/>
  <c r="I42" i="86"/>
  <c r="E42" i="86"/>
  <c r="D42" i="86"/>
  <c r="C42" i="86"/>
  <c r="AG41" i="86"/>
  <c r="AG40" i="86"/>
  <c r="AG39" i="86"/>
  <c r="AG38" i="86"/>
  <c r="AG37" i="86"/>
  <c r="AG36" i="86"/>
  <c r="AG35" i="86"/>
  <c r="AG34" i="86"/>
  <c r="AG33" i="86"/>
  <c r="AG32" i="86"/>
  <c r="AG31" i="86"/>
  <c r="AG30" i="86"/>
  <c r="AG28" i="86"/>
  <c r="AE42" i="86"/>
  <c r="AD42" i="86"/>
  <c r="AB42" i="86"/>
  <c r="AA42" i="86"/>
  <c r="Z42" i="86"/>
  <c r="V42" i="86"/>
  <c r="U42" i="86"/>
  <c r="S42" i="86"/>
  <c r="P42" i="86"/>
  <c r="M42" i="86"/>
  <c r="H42" i="86"/>
  <c r="G42" i="86"/>
  <c r="F42" i="86"/>
  <c r="B42" i="86"/>
  <c r="AG26" i="86"/>
  <c r="AG25" i="86"/>
  <c r="AG24" i="86"/>
  <c r="AG23" i="86"/>
  <c r="AG22" i="86"/>
  <c r="AG21" i="86"/>
  <c r="AG20" i="86"/>
  <c r="AG19" i="86"/>
  <c r="AG15" i="86"/>
  <c r="AG14" i="86"/>
  <c r="AG13" i="86"/>
  <c r="AG12" i="86"/>
  <c r="AG11" i="86"/>
  <c r="AG10" i="86"/>
  <c r="AG9" i="86"/>
  <c r="AG8" i="86"/>
  <c r="AG7" i="86"/>
  <c r="AG6" i="86"/>
  <c r="AG5" i="86"/>
  <c r="AG4" i="86"/>
  <c r="AG3" i="86"/>
  <c r="AG41" i="85"/>
  <c r="AE9" i="108"/>
  <c r="AD9" i="108"/>
  <c r="AC9" i="108"/>
  <c r="AB9" i="108"/>
  <c r="AA9" i="108"/>
  <c r="Z9" i="108"/>
  <c r="Y9" i="108"/>
  <c r="X9" i="108"/>
  <c r="W9" i="108"/>
  <c r="V9" i="108"/>
  <c r="U9" i="108"/>
  <c r="T9" i="108"/>
  <c r="S9" i="108"/>
  <c r="R9" i="108"/>
  <c r="Q9" i="108"/>
  <c r="P9" i="108"/>
  <c r="N9" i="108"/>
  <c r="M9" i="108"/>
  <c r="L9" i="108"/>
  <c r="K9" i="108"/>
  <c r="J9" i="108"/>
  <c r="I9" i="108"/>
  <c r="H9" i="108"/>
  <c r="G9" i="108"/>
  <c r="F9" i="108"/>
  <c r="E9" i="108"/>
  <c r="D9" i="108"/>
  <c r="C9" i="108"/>
  <c r="B9" i="108"/>
  <c r="AE29" i="108"/>
  <c r="AD29" i="108"/>
  <c r="AC29" i="108"/>
  <c r="AB29" i="108"/>
  <c r="AA29" i="108"/>
  <c r="Z29" i="108"/>
  <c r="Y29" i="108"/>
  <c r="X29" i="108"/>
  <c r="W29" i="108"/>
  <c r="V29" i="108"/>
  <c r="U29" i="108"/>
  <c r="T29" i="108"/>
  <c r="S29" i="108"/>
  <c r="R29" i="108"/>
  <c r="Q29" i="108"/>
  <c r="P29" i="108"/>
  <c r="O29" i="108"/>
  <c r="N29" i="108"/>
  <c r="M29" i="108"/>
  <c r="L29" i="108"/>
  <c r="K29" i="108"/>
  <c r="J29" i="108"/>
  <c r="I29" i="108"/>
  <c r="H29" i="108"/>
  <c r="G29" i="108"/>
  <c r="F29" i="108"/>
  <c r="E29" i="108"/>
  <c r="D29" i="108"/>
  <c r="C29" i="108"/>
  <c r="B29" i="108"/>
  <c r="AE33" i="119"/>
  <c r="AD33" i="119"/>
  <c r="AC33" i="119"/>
  <c r="AB33" i="119"/>
  <c r="AA33" i="119"/>
  <c r="Z33" i="119"/>
  <c r="Y33" i="119"/>
  <c r="X33" i="119"/>
  <c r="W33" i="119"/>
  <c r="V33" i="119"/>
  <c r="U33" i="119"/>
  <c r="T33" i="119"/>
  <c r="S33" i="119"/>
  <c r="R33" i="119"/>
  <c r="Q33" i="119"/>
  <c r="P33" i="119"/>
  <c r="O33" i="119"/>
  <c r="N33" i="119"/>
  <c r="M33" i="119"/>
  <c r="L33" i="119"/>
  <c r="K33" i="119"/>
  <c r="J33" i="119"/>
  <c r="I33" i="119"/>
  <c r="H33" i="119"/>
  <c r="G33" i="119"/>
  <c r="F33" i="119"/>
  <c r="E33" i="119"/>
  <c r="D33" i="119"/>
  <c r="C33" i="119"/>
  <c r="B33" i="119"/>
  <c r="AE9" i="119"/>
  <c r="AD9" i="119"/>
  <c r="AC9" i="119"/>
  <c r="AB9" i="119"/>
  <c r="AA9" i="119"/>
  <c r="Z9" i="119"/>
  <c r="Y9" i="119"/>
  <c r="X9" i="119"/>
  <c r="W9" i="119"/>
  <c r="V9" i="119"/>
  <c r="U9" i="119"/>
  <c r="T9" i="119"/>
  <c r="S9" i="119"/>
  <c r="R9" i="119"/>
  <c r="Q9" i="119"/>
  <c r="P9" i="119"/>
  <c r="O9" i="119"/>
  <c r="N9" i="119"/>
  <c r="M9" i="119"/>
  <c r="L9" i="119"/>
  <c r="K9" i="119"/>
  <c r="J9" i="119"/>
  <c r="AG43" i="98" l="1"/>
  <c r="AG42" i="98"/>
  <c r="AG43" i="131"/>
  <c r="AG42" i="131"/>
  <c r="AG43" i="120"/>
  <c r="AG42" i="120"/>
  <c r="AG43" i="109"/>
  <c r="AG42" i="109"/>
  <c r="AG42" i="86"/>
  <c r="AG27" i="86"/>
  <c r="G9" i="119"/>
  <c r="I9" i="119"/>
  <c r="H9" i="119"/>
  <c r="F9" i="119"/>
  <c r="E9" i="119"/>
  <c r="D9" i="119"/>
  <c r="C9" i="119"/>
  <c r="B9" i="119"/>
  <c r="AE29" i="119"/>
  <c r="AD29" i="119"/>
  <c r="AC29" i="119"/>
  <c r="AB29" i="119"/>
  <c r="AA29" i="119"/>
  <c r="Z29" i="119"/>
  <c r="Y29" i="119"/>
  <c r="X29" i="119"/>
  <c r="W29" i="119"/>
  <c r="V29" i="119"/>
  <c r="U29" i="119"/>
  <c r="T29" i="119"/>
  <c r="S29" i="119"/>
  <c r="R29" i="119"/>
  <c r="Q29" i="119"/>
  <c r="P29" i="119"/>
  <c r="O29" i="119"/>
  <c r="N29" i="119"/>
  <c r="M29" i="119"/>
  <c r="L29" i="119"/>
  <c r="K29" i="119"/>
  <c r="J29" i="119"/>
  <c r="I29" i="119"/>
  <c r="H29" i="119"/>
  <c r="G29" i="119"/>
  <c r="F29" i="119"/>
  <c r="E29" i="119"/>
  <c r="D29" i="119"/>
  <c r="C29" i="119"/>
  <c r="B29" i="119"/>
  <c r="AG43" i="86" l="1"/>
  <c r="Q38" i="97"/>
  <c r="P38" i="97"/>
  <c r="O38" i="97"/>
  <c r="N38" i="97"/>
  <c r="M38" i="97"/>
  <c r="L38" i="97"/>
  <c r="K38" i="97"/>
  <c r="J38" i="97"/>
  <c r="I38" i="97"/>
  <c r="H38" i="97"/>
  <c r="G38" i="97"/>
  <c r="F38" i="97"/>
  <c r="E38" i="97"/>
  <c r="D38" i="97"/>
  <c r="C38" i="97"/>
  <c r="B38" i="97"/>
  <c r="AE38" i="97"/>
  <c r="AD38" i="97"/>
  <c r="AC38" i="97"/>
  <c r="AB38" i="97"/>
  <c r="AA38" i="97"/>
  <c r="X38" i="97"/>
  <c r="Z38" i="97"/>
  <c r="Y38" i="97"/>
  <c r="W38" i="97"/>
  <c r="V38" i="97"/>
  <c r="U38" i="97"/>
  <c r="T38" i="97"/>
  <c r="S38" i="97"/>
  <c r="R38" i="97"/>
  <c r="AE28" i="85" l="1"/>
  <c r="AD28" i="85"/>
  <c r="AB28" i="85"/>
  <c r="AA28" i="85"/>
  <c r="Z28" i="85"/>
  <c r="V28" i="85"/>
  <c r="U28" i="85"/>
  <c r="S28" i="85"/>
  <c r="P28" i="85"/>
  <c r="M28" i="85"/>
  <c r="H28" i="85"/>
  <c r="G28" i="85"/>
  <c r="F28" i="85"/>
  <c r="B28" i="85"/>
  <c r="AE27" i="85"/>
  <c r="AD27" i="85"/>
  <c r="AB27" i="85"/>
  <c r="AA27" i="85"/>
  <c r="Z27" i="85"/>
  <c r="V27" i="85"/>
  <c r="U27" i="85"/>
  <c r="S27" i="85"/>
  <c r="P27" i="85"/>
  <c r="M27" i="85"/>
  <c r="H27" i="85"/>
  <c r="G27" i="85"/>
  <c r="F27" i="85"/>
  <c r="B27" i="85"/>
  <c r="C41" i="130" l="1"/>
  <c r="D41" i="130"/>
  <c r="E41" i="130"/>
  <c r="F41" i="130"/>
  <c r="G41" i="130"/>
  <c r="H41" i="130"/>
  <c r="I41" i="130"/>
  <c r="J41" i="130"/>
  <c r="K41" i="130"/>
  <c r="L41" i="130"/>
  <c r="M41" i="130"/>
  <c r="N41" i="130"/>
  <c r="O41" i="130"/>
  <c r="P41" i="130"/>
  <c r="Q41" i="130"/>
  <c r="R41" i="130"/>
  <c r="S41" i="130"/>
  <c r="T41" i="130"/>
  <c r="U41" i="130"/>
  <c r="V41" i="130"/>
  <c r="W41" i="130"/>
  <c r="X41" i="130"/>
  <c r="Y41" i="130"/>
  <c r="Z41" i="130"/>
  <c r="AA41" i="130"/>
  <c r="AB41" i="130"/>
  <c r="AC41" i="130"/>
  <c r="AD41" i="130"/>
  <c r="AE41" i="130"/>
  <c r="AF41" i="130"/>
  <c r="B41" i="130"/>
  <c r="AG41" i="119"/>
  <c r="AG40" i="119"/>
  <c r="AG39" i="119"/>
  <c r="B42" i="119"/>
  <c r="AG37" i="119"/>
  <c r="AG36" i="119"/>
  <c r="AG35" i="119"/>
  <c r="AG34" i="119"/>
  <c r="AG33" i="119"/>
  <c r="AG32" i="119"/>
  <c r="AG31" i="119"/>
  <c r="AG30" i="119"/>
  <c r="AG29" i="119"/>
  <c r="AG28" i="119"/>
  <c r="AG27" i="119"/>
  <c r="AG26" i="119"/>
  <c r="AG25" i="119"/>
  <c r="AG24" i="119"/>
  <c r="AD42" i="119"/>
  <c r="AG23" i="119"/>
  <c r="AG22" i="119"/>
  <c r="AG21" i="119"/>
  <c r="AG20" i="119"/>
  <c r="AG19" i="119"/>
  <c r="AG18" i="119"/>
  <c r="AG17" i="119"/>
  <c r="AG16" i="119"/>
  <c r="AG15" i="119"/>
  <c r="AG14" i="119"/>
  <c r="AG13" i="119"/>
  <c r="AG12" i="119"/>
  <c r="AG11" i="119"/>
  <c r="AG10" i="119"/>
  <c r="AF42" i="119"/>
  <c r="AE42" i="119"/>
  <c r="AC42" i="119"/>
  <c r="AB42" i="119"/>
  <c r="AA42" i="119"/>
  <c r="Z42" i="119"/>
  <c r="Y42" i="119"/>
  <c r="X42" i="119"/>
  <c r="W42" i="119"/>
  <c r="V42" i="119"/>
  <c r="U42" i="119"/>
  <c r="T42" i="119"/>
  <c r="S42" i="119"/>
  <c r="R42" i="119"/>
  <c r="Q42" i="119"/>
  <c r="P42" i="119"/>
  <c r="O42" i="119"/>
  <c r="N42" i="119"/>
  <c r="M42" i="119"/>
  <c r="L42" i="119"/>
  <c r="K42" i="119"/>
  <c r="J42" i="119"/>
  <c r="I42" i="119"/>
  <c r="H42" i="119"/>
  <c r="G42" i="119"/>
  <c r="F42" i="119"/>
  <c r="E42" i="119"/>
  <c r="D42" i="119"/>
  <c r="AG9" i="119"/>
  <c r="AG8" i="119"/>
  <c r="AG7" i="119"/>
  <c r="AG6" i="119"/>
  <c r="AG5" i="119"/>
  <c r="AG4" i="119"/>
  <c r="AG3" i="119"/>
  <c r="AG41" i="108"/>
  <c r="AG40" i="108"/>
  <c r="AG39" i="108"/>
  <c r="AG38" i="108"/>
  <c r="AG37" i="108"/>
  <c r="AG36" i="108"/>
  <c r="AG35" i="108"/>
  <c r="AG34" i="108"/>
  <c r="AG33" i="108"/>
  <c r="AG32" i="108"/>
  <c r="AG31" i="108"/>
  <c r="AG30" i="108"/>
  <c r="AG29" i="108"/>
  <c r="AG28" i="108"/>
  <c r="AG27" i="108"/>
  <c r="AG26" i="108"/>
  <c r="AG25" i="108"/>
  <c r="AG24" i="108"/>
  <c r="AG23" i="108"/>
  <c r="AG22" i="108"/>
  <c r="AG21" i="108"/>
  <c r="AG20" i="108"/>
  <c r="AG19" i="108"/>
  <c r="AG18" i="108"/>
  <c r="AG17" i="108"/>
  <c r="AG16" i="108"/>
  <c r="AG15" i="108"/>
  <c r="AG14" i="108"/>
  <c r="AG13" i="108"/>
  <c r="AG12" i="108"/>
  <c r="AG11" i="108"/>
  <c r="AG10" i="108"/>
  <c r="AF42" i="108"/>
  <c r="AE42" i="108"/>
  <c r="AD42" i="108"/>
  <c r="AC42" i="108"/>
  <c r="AB42" i="108"/>
  <c r="AA42" i="108"/>
  <c r="Z42" i="108"/>
  <c r="Y42" i="108"/>
  <c r="X42" i="108"/>
  <c r="W42" i="108"/>
  <c r="V42" i="108"/>
  <c r="U42" i="108"/>
  <c r="T42" i="108"/>
  <c r="S42" i="108"/>
  <c r="R42" i="108"/>
  <c r="Q42" i="108"/>
  <c r="P42" i="108"/>
  <c r="O42" i="108"/>
  <c r="N42" i="108"/>
  <c r="M42" i="108"/>
  <c r="L42" i="108"/>
  <c r="K42" i="108"/>
  <c r="J42" i="108"/>
  <c r="I42" i="108"/>
  <c r="H42" i="108"/>
  <c r="G42" i="108"/>
  <c r="F42" i="108"/>
  <c r="E42" i="108"/>
  <c r="D42" i="108"/>
  <c r="C42" i="108"/>
  <c r="B42" i="108"/>
  <c r="AG8" i="108"/>
  <c r="AG7" i="108"/>
  <c r="AG6" i="108"/>
  <c r="AG5" i="108"/>
  <c r="AG4" i="108"/>
  <c r="AG5" i="107"/>
  <c r="AG6" i="107"/>
  <c r="AG7" i="107"/>
  <c r="AG8" i="107"/>
  <c r="AG10" i="107"/>
  <c r="AG11" i="107"/>
  <c r="AG12" i="107"/>
  <c r="AG13" i="107"/>
  <c r="AG14" i="107"/>
  <c r="AG15" i="107"/>
  <c r="AG16" i="107"/>
  <c r="AG17" i="107"/>
  <c r="AG18" i="107"/>
  <c r="AG19" i="107"/>
  <c r="AG20" i="107"/>
  <c r="AG21" i="107"/>
  <c r="AG22" i="107"/>
  <c r="AG23" i="107"/>
  <c r="AG24" i="107"/>
  <c r="AG25" i="107"/>
  <c r="AG26" i="107"/>
  <c r="AG27" i="107"/>
  <c r="AG28" i="107"/>
  <c r="AG29" i="107"/>
  <c r="AG30" i="107"/>
  <c r="AG31" i="107"/>
  <c r="AG32" i="107"/>
  <c r="AG33" i="107"/>
  <c r="AG34" i="107"/>
  <c r="AG35" i="107"/>
  <c r="AG36" i="107"/>
  <c r="AG37" i="107"/>
  <c r="AG39" i="107"/>
  <c r="AG40" i="107"/>
  <c r="AG41" i="107"/>
  <c r="Q42" i="97"/>
  <c r="AG40" i="97"/>
  <c r="AG39" i="97"/>
  <c r="AF42" i="97"/>
  <c r="AE42" i="97"/>
  <c r="AD42" i="97"/>
  <c r="AC42" i="97"/>
  <c r="AB42" i="97"/>
  <c r="AA42" i="97"/>
  <c r="Z42" i="97"/>
  <c r="Y42" i="97"/>
  <c r="X42" i="97"/>
  <c r="W42" i="97"/>
  <c r="V42" i="97"/>
  <c r="U42" i="97"/>
  <c r="T42" i="97"/>
  <c r="S42" i="97"/>
  <c r="R42" i="97"/>
  <c r="P42" i="97"/>
  <c r="O42" i="97"/>
  <c r="N42" i="97"/>
  <c r="M42" i="97"/>
  <c r="L42" i="97"/>
  <c r="K42" i="97"/>
  <c r="J42" i="97"/>
  <c r="I42" i="97"/>
  <c r="H42" i="97"/>
  <c r="G42" i="97"/>
  <c r="F42" i="97"/>
  <c r="E42" i="97"/>
  <c r="D42" i="97"/>
  <c r="C42" i="97"/>
  <c r="B42" i="97"/>
  <c r="AG37" i="97"/>
  <c r="AG36" i="97"/>
  <c r="AG35" i="97"/>
  <c r="AG34" i="97"/>
  <c r="AG33" i="97"/>
  <c r="AG32" i="97"/>
  <c r="AG31" i="97"/>
  <c r="AG30" i="97"/>
  <c r="AG29" i="97"/>
  <c r="AG28" i="97"/>
  <c r="AG27" i="97"/>
  <c r="AG26" i="97"/>
  <c r="AG25" i="97"/>
  <c r="AG24" i="97"/>
  <c r="AG23" i="97"/>
  <c r="AG22" i="97"/>
  <c r="AG21" i="97"/>
  <c r="AG20" i="97"/>
  <c r="AG19" i="97"/>
  <c r="AG18" i="97"/>
  <c r="AG17" i="97"/>
  <c r="AG16" i="97"/>
  <c r="AG15" i="97"/>
  <c r="AG14" i="97"/>
  <c r="AG13" i="97"/>
  <c r="AG12" i="97"/>
  <c r="AG11" i="97"/>
  <c r="AG10" i="97"/>
  <c r="AG9" i="97"/>
  <c r="AG8" i="97"/>
  <c r="AG7" i="97"/>
  <c r="AG6" i="97"/>
  <c r="AG5" i="97"/>
  <c r="AG4" i="97"/>
  <c r="AF42" i="85"/>
  <c r="AE42" i="85"/>
  <c r="AD42" i="85"/>
  <c r="AC42" i="85"/>
  <c r="AB42" i="85"/>
  <c r="AA42" i="85"/>
  <c r="Z42" i="85"/>
  <c r="Y42" i="85"/>
  <c r="X42" i="85"/>
  <c r="W42" i="85"/>
  <c r="V42" i="85"/>
  <c r="U42" i="85"/>
  <c r="T42" i="85"/>
  <c r="S42" i="85"/>
  <c r="R42" i="85"/>
  <c r="Q42" i="85"/>
  <c r="P42" i="85"/>
  <c r="O42" i="85"/>
  <c r="N42" i="85"/>
  <c r="M42" i="85"/>
  <c r="L42" i="85"/>
  <c r="K42" i="85"/>
  <c r="J42" i="85"/>
  <c r="I42" i="85"/>
  <c r="H42" i="85"/>
  <c r="G42" i="85"/>
  <c r="F42" i="85"/>
  <c r="E42" i="85"/>
  <c r="D42" i="85"/>
  <c r="C42" i="85"/>
  <c r="B42" i="85"/>
  <c r="AG40" i="85"/>
  <c r="AG39" i="85"/>
  <c r="AG38" i="85"/>
  <c r="AG37" i="85"/>
  <c r="AG36" i="85"/>
  <c r="AG35" i="85"/>
  <c r="AG34" i="85"/>
  <c r="AG33" i="85"/>
  <c r="AG32" i="85"/>
  <c r="AG31" i="85"/>
  <c r="AG30" i="85"/>
  <c r="AG29" i="85"/>
  <c r="AG28" i="85"/>
  <c r="AG27" i="85"/>
  <c r="AG26" i="85"/>
  <c r="AG25" i="85"/>
  <c r="AG24" i="85"/>
  <c r="AG23" i="85"/>
  <c r="AG22" i="85"/>
  <c r="AG21" i="85"/>
  <c r="AG20" i="85"/>
  <c r="AG19" i="85"/>
  <c r="AG18" i="85"/>
  <c r="AG17" i="85"/>
  <c r="AG16" i="85"/>
  <c r="AG15" i="85"/>
  <c r="AG14" i="85"/>
  <c r="AG13" i="85"/>
  <c r="AG12" i="85"/>
  <c r="AG11" i="85"/>
  <c r="AG10" i="85"/>
  <c r="AG9" i="85"/>
  <c r="AG8" i="85"/>
  <c r="AG7" i="85"/>
  <c r="AG6" i="85"/>
  <c r="AG5" i="85"/>
  <c r="AG4" i="85"/>
  <c r="AG3" i="85"/>
  <c r="AE9" i="117"/>
  <c r="AD9" i="117"/>
  <c r="AC9" i="117"/>
  <c r="AB9" i="117"/>
  <c r="AA9" i="117"/>
  <c r="Z9" i="117"/>
  <c r="Y9" i="117"/>
  <c r="X9" i="117"/>
  <c r="W9" i="117"/>
  <c r="V9" i="117"/>
  <c r="T9" i="117"/>
  <c r="S9" i="117"/>
  <c r="R9" i="117"/>
  <c r="Q9" i="117"/>
  <c r="P9" i="117"/>
  <c r="O9" i="117"/>
  <c r="N9" i="117"/>
  <c r="M9" i="117"/>
  <c r="L9" i="117"/>
  <c r="K9" i="117"/>
  <c r="J9" i="117"/>
  <c r="I9" i="117"/>
  <c r="H9" i="117"/>
  <c r="G9" i="117"/>
  <c r="F9" i="117"/>
  <c r="E9" i="117"/>
  <c r="D9" i="117"/>
  <c r="C9" i="117"/>
  <c r="B9" i="117"/>
  <c r="AE9" i="106"/>
  <c r="AD9" i="106"/>
  <c r="AC9" i="106"/>
  <c r="AB9" i="106"/>
  <c r="AA9" i="106"/>
  <c r="Z9" i="106"/>
  <c r="Y9" i="106"/>
  <c r="X9" i="106"/>
  <c r="V9" i="106"/>
  <c r="U9" i="106"/>
  <c r="T9" i="106"/>
  <c r="S9" i="106"/>
  <c r="R9" i="106"/>
  <c r="Q9" i="106"/>
  <c r="P9" i="106"/>
  <c r="O9" i="106"/>
  <c r="N9" i="106"/>
  <c r="M9" i="106"/>
  <c r="L9" i="106"/>
  <c r="K9" i="106"/>
  <c r="J9" i="106"/>
  <c r="I9" i="106"/>
  <c r="H9" i="106"/>
  <c r="G9" i="106"/>
  <c r="F9" i="106"/>
  <c r="E9" i="106"/>
  <c r="D9" i="106"/>
  <c r="C9" i="106"/>
  <c r="B9" i="106"/>
  <c r="AF9" i="118"/>
  <c r="AF9" i="107"/>
  <c r="AF42" i="107" s="1"/>
  <c r="AE9" i="107"/>
  <c r="AE42" i="107" s="1"/>
  <c r="AD9" i="107"/>
  <c r="AD42" i="107" s="1"/>
  <c r="AC9" i="107"/>
  <c r="AC42" i="107" s="1"/>
  <c r="AB9" i="107"/>
  <c r="AB42" i="107" s="1"/>
  <c r="AA9" i="107"/>
  <c r="AA42" i="107" s="1"/>
  <c r="Z9" i="107"/>
  <c r="Z42" i="107" s="1"/>
  <c r="Y9" i="107"/>
  <c r="Y42" i="107" s="1"/>
  <c r="X9" i="107"/>
  <c r="X42" i="107" s="1"/>
  <c r="W9" i="107"/>
  <c r="W42" i="107" s="1"/>
  <c r="V9" i="107"/>
  <c r="V42" i="107" s="1"/>
  <c r="U9" i="107"/>
  <c r="U42" i="107" s="1"/>
  <c r="T9" i="107"/>
  <c r="T42" i="107" s="1"/>
  <c r="S9" i="107"/>
  <c r="S42" i="107" s="1"/>
  <c r="R9" i="107"/>
  <c r="R42" i="107" s="1"/>
  <c r="Q9" i="107"/>
  <c r="Q42" i="107" s="1"/>
  <c r="P9" i="107"/>
  <c r="P42" i="107" s="1"/>
  <c r="O9" i="107"/>
  <c r="O42" i="107" s="1"/>
  <c r="N9" i="107"/>
  <c r="N42" i="107" s="1"/>
  <c r="M9" i="107"/>
  <c r="M42" i="107" s="1"/>
  <c r="L9" i="107"/>
  <c r="L42" i="107" s="1"/>
  <c r="K9" i="107"/>
  <c r="K42" i="107" s="1"/>
  <c r="J9" i="107"/>
  <c r="J42" i="107" s="1"/>
  <c r="I9" i="107"/>
  <c r="I42" i="107" s="1"/>
  <c r="H9" i="107"/>
  <c r="G9" i="107"/>
  <c r="F9" i="107"/>
  <c r="E9" i="107"/>
  <c r="D9" i="107"/>
  <c r="C9" i="107"/>
  <c r="B9" i="107"/>
  <c r="AE9" i="118"/>
  <c r="AC9" i="118"/>
  <c r="AB9" i="118"/>
  <c r="AA9" i="118"/>
  <c r="Z9" i="118"/>
  <c r="Y9" i="118"/>
  <c r="X9" i="118"/>
  <c r="W9" i="118"/>
  <c r="V9" i="118"/>
  <c r="U9" i="118"/>
  <c r="T9" i="118"/>
  <c r="S9" i="118"/>
  <c r="R9" i="118"/>
  <c r="Q9" i="118"/>
  <c r="P9" i="118"/>
  <c r="O9" i="118"/>
  <c r="N9" i="118"/>
  <c r="M9" i="118"/>
  <c r="L9" i="118"/>
  <c r="K9" i="118"/>
  <c r="J9" i="118"/>
  <c r="I9" i="118"/>
  <c r="H9" i="118"/>
  <c r="G9" i="118"/>
  <c r="F9" i="118"/>
  <c r="E9" i="118"/>
  <c r="D9" i="118"/>
  <c r="C9" i="118"/>
  <c r="AG9" i="107" l="1"/>
  <c r="AG43" i="85"/>
  <c r="AG42" i="108"/>
  <c r="AG42" i="97"/>
  <c r="AG42" i="85"/>
  <c r="C42" i="119"/>
  <c r="AG42" i="119" s="1"/>
  <c r="AG38" i="119"/>
  <c r="AG9" i="108"/>
  <c r="AG38" i="97"/>
  <c r="AG43" i="108" l="1"/>
  <c r="AG43" i="119"/>
  <c r="AG43" i="97"/>
  <c r="AF85" i="1" l="1"/>
  <c r="AF50" i="1"/>
  <c r="AF43" i="1"/>
  <c r="AF36" i="1"/>
  <c r="AF29" i="1"/>
  <c r="J14" i="56" l="1"/>
  <c r="E30" i="56" s="1"/>
  <c r="AG41" i="118" l="1"/>
  <c r="AG16" i="118"/>
  <c r="R23" i="118" l="1"/>
  <c r="AF23" i="118"/>
  <c r="AE23" i="118"/>
  <c r="AD23" i="118"/>
  <c r="AC23" i="118"/>
  <c r="AB23" i="118"/>
  <c r="AA23" i="118"/>
  <c r="Z23" i="118"/>
  <c r="Y23" i="118"/>
  <c r="X23" i="118"/>
  <c r="W23" i="118"/>
  <c r="V23" i="118"/>
  <c r="U23" i="118"/>
  <c r="T23" i="118"/>
  <c r="S23" i="118"/>
  <c r="Q23" i="118"/>
  <c r="P23" i="118"/>
  <c r="O23" i="118"/>
  <c r="N23" i="118"/>
  <c r="M23" i="118"/>
  <c r="L23" i="118"/>
  <c r="K23" i="118"/>
  <c r="J23" i="118"/>
  <c r="P33" i="118" l="1"/>
  <c r="H33" i="118"/>
  <c r="AG33" i="96"/>
  <c r="AF38" i="96"/>
  <c r="AF42" i="96" s="1"/>
  <c r="AE38" i="96"/>
  <c r="AE42" i="96" s="1"/>
  <c r="AD38" i="96"/>
  <c r="AD42" i="96" s="1"/>
  <c r="AC38" i="96"/>
  <c r="AC42" i="96" s="1"/>
  <c r="AB38" i="96"/>
  <c r="AB42" i="96" s="1"/>
  <c r="AA38" i="96"/>
  <c r="Z38" i="96"/>
  <c r="Y38" i="96"/>
  <c r="Y42" i="96" s="1"/>
  <c r="X38" i="96"/>
  <c r="W38" i="96"/>
  <c r="W42" i="96" s="1"/>
  <c r="V38" i="96"/>
  <c r="V42" i="96" s="1"/>
  <c r="U38" i="96"/>
  <c r="U42" i="96" s="1"/>
  <c r="T38" i="96"/>
  <c r="T42" i="96" s="1"/>
  <c r="S38" i="96"/>
  <c r="R38" i="96"/>
  <c r="P38" i="96"/>
  <c r="P42" i="96" s="1"/>
  <c r="O38" i="96"/>
  <c r="O42" i="96" s="1"/>
  <c r="N38" i="96"/>
  <c r="N42" i="96" s="1"/>
  <c r="M38" i="96"/>
  <c r="M42" i="96" s="1"/>
  <c r="L38" i="96"/>
  <c r="K38" i="96"/>
  <c r="K42" i="96" s="1"/>
  <c r="J38" i="96"/>
  <c r="I38" i="96"/>
  <c r="H38" i="96"/>
  <c r="H42" i="96" s="1"/>
  <c r="G38" i="96"/>
  <c r="G42" i="96" s="1"/>
  <c r="F38" i="96"/>
  <c r="E38" i="96"/>
  <c r="E42" i="96" s="1"/>
  <c r="D38" i="96"/>
  <c r="D42" i="96" s="1"/>
  <c r="C38" i="96"/>
  <c r="C42" i="96" s="1"/>
  <c r="B38" i="96"/>
  <c r="C41" i="129"/>
  <c r="D41" i="129"/>
  <c r="E41" i="129"/>
  <c r="F41" i="129"/>
  <c r="G41" i="129"/>
  <c r="H41" i="129"/>
  <c r="I41" i="129"/>
  <c r="J41" i="129"/>
  <c r="K41" i="129"/>
  <c r="L41" i="129"/>
  <c r="M41" i="129"/>
  <c r="N41" i="129"/>
  <c r="O41" i="129"/>
  <c r="P41" i="129"/>
  <c r="Q41" i="129"/>
  <c r="R41" i="129"/>
  <c r="S41" i="129"/>
  <c r="T41" i="129"/>
  <c r="U41" i="129"/>
  <c r="V41" i="129"/>
  <c r="W41" i="129"/>
  <c r="X41" i="129"/>
  <c r="Y41" i="129"/>
  <c r="Z41" i="129"/>
  <c r="AA41" i="129"/>
  <c r="AB41" i="129"/>
  <c r="AC41" i="129"/>
  <c r="AD41" i="129"/>
  <c r="AE41" i="129"/>
  <c r="AF41" i="129"/>
  <c r="B41" i="129"/>
  <c r="C41" i="128"/>
  <c r="D41" i="128"/>
  <c r="E41" i="128"/>
  <c r="F41" i="128"/>
  <c r="G41" i="128"/>
  <c r="H41" i="128"/>
  <c r="I41" i="128"/>
  <c r="K41" i="128"/>
  <c r="M41" i="128"/>
  <c r="O41" i="128"/>
  <c r="Q41" i="128"/>
  <c r="R41" i="128"/>
  <c r="S41" i="128"/>
  <c r="T41" i="128"/>
  <c r="U41" i="128"/>
  <c r="W41" i="128"/>
  <c r="AC41" i="128"/>
  <c r="AE41" i="128"/>
  <c r="AF41" i="128"/>
  <c r="B41" i="128"/>
  <c r="Q42" i="118"/>
  <c r="C42" i="84"/>
  <c r="D42" i="84"/>
  <c r="E42" i="84"/>
  <c r="F42" i="84"/>
  <c r="G42" i="84"/>
  <c r="H42" i="84"/>
  <c r="I42" i="84"/>
  <c r="J42" i="84"/>
  <c r="K42" i="84"/>
  <c r="L42" i="84"/>
  <c r="M42" i="84"/>
  <c r="N42" i="84"/>
  <c r="O42" i="84"/>
  <c r="P42" i="84"/>
  <c r="Q42" i="84"/>
  <c r="R42" i="84"/>
  <c r="S42" i="84"/>
  <c r="T42" i="84"/>
  <c r="U42" i="84"/>
  <c r="V42" i="84"/>
  <c r="W42" i="84"/>
  <c r="X42" i="84"/>
  <c r="Y42" i="84"/>
  <c r="Z42" i="84"/>
  <c r="AA42" i="84"/>
  <c r="AB42" i="84"/>
  <c r="AC42" i="84"/>
  <c r="AD42" i="84"/>
  <c r="AE42" i="84"/>
  <c r="AF42" i="84"/>
  <c r="B42" i="84"/>
  <c r="F42" i="96"/>
  <c r="I42" i="96"/>
  <c r="J42" i="96"/>
  <c r="L42" i="96"/>
  <c r="Q42" i="96"/>
  <c r="R42" i="96"/>
  <c r="S42" i="96"/>
  <c r="X42" i="96"/>
  <c r="Z42" i="96"/>
  <c r="AA42" i="96"/>
  <c r="B42" i="96"/>
  <c r="H38" i="107"/>
  <c r="H42" i="107" s="1"/>
  <c r="G38" i="107"/>
  <c r="G42" i="107" s="1"/>
  <c r="F38" i="107"/>
  <c r="F42" i="107" s="1"/>
  <c r="E38" i="107"/>
  <c r="E42" i="107" s="1"/>
  <c r="D38" i="107"/>
  <c r="D42" i="107" s="1"/>
  <c r="C38" i="107"/>
  <c r="C42" i="107" s="1"/>
  <c r="B38" i="107"/>
  <c r="L38" i="118"/>
  <c r="L42" i="118" s="1"/>
  <c r="AF38" i="118"/>
  <c r="AF42" i="118" s="1"/>
  <c r="AE38" i="118"/>
  <c r="AE42" i="118" s="1"/>
  <c r="AD38" i="118"/>
  <c r="AD42" i="118" s="1"/>
  <c r="AC38" i="118"/>
  <c r="AC42" i="118" s="1"/>
  <c r="AB38" i="118"/>
  <c r="AB42" i="118" s="1"/>
  <c r="AA38" i="118"/>
  <c r="AA42" i="118" s="1"/>
  <c r="Z38" i="118"/>
  <c r="Z42" i="118" s="1"/>
  <c r="Y38" i="118"/>
  <c r="Y42" i="118" s="1"/>
  <c r="X38" i="118"/>
  <c r="X42" i="118" s="1"/>
  <c r="W38" i="118"/>
  <c r="W42" i="118" s="1"/>
  <c r="V38" i="118"/>
  <c r="V42" i="118" s="1"/>
  <c r="U38" i="118"/>
  <c r="U42" i="118" s="1"/>
  <c r="T38" i="118"/>
  <c r="T42" i="118" s="1"/>
  <c r="S38" i="118"/>
  <c r="S42" i="118" s="1"/>
  <c r="R38" i="118"/>
  <c r="R42" i="118" s="1"/>
  <c r="P38" i="118"/>
  <c r="P42" i="118" s="1"/>
  <c r="O38" i="118"/>
  <c r="O42" i="118" s="1"/>
  <c r="N38" i="118"/>
  <c r="N42" i="118" s="1"/>
  <c r="M38" i="118"/>
  <c r="M42" i="118" s="1"/>
  <c r="K38" i="118"/>
  <c r="K42" i="118" s="1"/>
  <c r="J38" i="118"/>
  <c r="J42" i="118" s="1"/>
  <c r="I38" i="118"/>
  <c r="I42" i="118" s="1"/>
  <c r="H38" i="118"/>
  <c r="H42" i="118" s="1"/>
  <c r="G38" i="118"/>
  <c r="G42" i="118" s="1"/>
  <c r="F38" i="118"/>
  <c r="F42" i="118" s="1"/>
  <c r="E38" i="118"/>
  <c r="E42" i="118" s="1"/>
  <c r="D38" i="118"/>
  <c r="D42" i="118" s="1"/>
  <c r="C38" i="118"/>
  <c r="C42" i="118" s="1"/>
  <c r="B38" i="118"/>
  <c r="B42" i="118" s="1"/>
  <c r="AG38" i="107" l="1"/>
  <c r="B42" i="107"/>
  <c r="AD39" i="128"/>
  <c r="AD41" i="128" s="1"/>
  <c r="AB39" i="128"/>
  <c r="AB41" i="128" s="1"/>
  <c r="AA39" i="128"/>
  <c r="AA41" i="128" s="1"/>
  <c r="Z39" i="128"/>
  <c r="Z41" i="128" s="1"/>
  <c r="Y39" i="128"/>
  <c r="Y41" i="128" s="1"/>
  <c r="X39" i="128"/>
  <c r="X41" i="128" s="1"/>
  <c r="V39" i="128"/>
  <c r="V41" i="128" s="1"/>
  <c r="P39" i="128"/>
  <c r="P41" i="128" s="1"/>
  <c r="N39" i="128"/>
  <c r="N41" i="128" s="1"/>
  <c r="L39" i="128"/>
  <c r="L41" i="128" s="1"/>
  <c r="J39" i="128"/>
  <c r="J41" i="128" s="1"/>
  <c r="Y39" i="117"/>
  <c r="W39" i="117"/>
  <c r="U39" i="117"/>
  <c r="M39" i="117"/>
  <c r="G39" i="117"/>
  <c r="AF87" i="1" l="1"/>
  <c r="G33" i="106" l="1"/>
  <c r="C33" i="106"/>
  <c r="AE40" i="106"/>
  <c r="AD40" i="106"/>
  <c r="AC40" i="106"/>
  <c r="AB40" i="106"/>
  <c r="AA40" i="106"/>
  <c r="Z40" i="106"/>
  <c r="Y40" i="106"/>
  <c r="X40" i="106"/>
  <c r="W40" i="106"/>
  <c r="V40" i="106"/>
  <c r="U40" i="106"/>
  <c r="T40" i="106"/>
  <c r="S40" i="106"/>
  <c r="R40" i="106"/>
  <c r="Q40" i="106"/>
  <c r="P40" i="106"/>
  <c r="O40" i="106"/>
  <c r="N40" i="106"/>
  <c r="M40" i="106"/>
  <c r="L40" i="106"/>
  <c r="K40" i="106"/>
  <c r="J40" i="106"/>
  <c r="I40" i="106"/>
  <c r="H40" i="106"/>
  <c r="G40" i="106"/>
  <c r="F40" i="106"/>
  <c r="E40" i="106"/>
  <c r="D40" i="106"/>
  <c r="C40" i="106"/>
  <c r="B40" i="106"/>
  <c r="Q38" i="106"/>
  <c r="AC38" i="106"/>
  <c r="AB38" i="106"/>
  <c r="AD38" i="106"/>
  <c r="AE38" i="106"/>
  <c r="AA38" i="106"/>
  <c r="Z38" i="106"/>
  <c r="Y38" i="106"/>
  <c r="X38" i="106"/>
  <c r="W38" i="106"/>
  <c r="V38" i="106"/>
  <c r="U38" i="106"/>
  <c r="T38" i="106"/>
  <c r="S38" i="106"/>
  <c r="R38" i="106"/>
  <c r="P38" i="106"/>
  <c r="O38" i="106"/>
  <c r="N38" i="106"/>
  <c r="M38" i="106"/>
  <c r="L38" i="106"/>
  <c r="K38" i="106"/>
  <c r="J38" i="106"/>
  <c r="I38" i="106"/>
  <c r="D38" i="106"/>
  <c r="H38" i="106"/>
  <c r="G38" i="106"/>
  <c r="F38" i="106"/>
  <c r="E38" i="106"/>
  <c r="C38" i="106"/>
  <c r="B38" i="106"/>
  <c r="G33" i="117" l="1"/>
  <c r="M23" i="117"/>
  <c r="AE40" i="117"/>
  <c r="AD40" i="117"/>
  <c r="AD42" i="117" s="1"/>
  <c r="AC40" i="117"/>
  <c r="AB40" i="117"/>
  <c r="AA40" i="117"/>
  <c r="Z40" i="117"/>
  <c r="Y40" i="117"/>
  <c r="X40" i="117"/>
  <c r="W40" i="117"/>
  <c r="V40" i="117"/>
  <c r="V42" i="117" s="1"/>
  <c r="U40" i="117"/>
  <c r="T40" i="117"/>
  <c r="S40" i="117"/>
  <c r="R40" i="117"/>
  <c r="Q40" i="117"/>
  <c r="P40" i="117"/>
  <c r="O40" i="117"/>
  <c r="N40" i="117"/>
  <c r="N42" i="117" s="1"/>
  <c r="M40" i="117"/>
  <c r="M42" i="117" s="1"/>
  <c r="L40" i="117"/>
  <c r="K40" i="117"/>
  <c r="J40" i="117"/>
  <c r="I40" i="117"/>
  <c r="H40" i="117"/>
  <c r="G40" i="117"/>
  <c r="F40" i="117"/>
  <c r="F42" i="117" s="1"/>
  <c r="E40" i="117"/>
  <c r="D40" i="117"/>
  <c r="C40" i="117"/>
  <c r="B40" i="117"/>
  <c r="AE38" i="117"/>
  <c r="AD38" i="117"/>
  <c r="AC38" i="117"/>
  <c r="AB38" i="117"/>
  <c r="AA38" i="117"/>
  <c r="AA42" i="117" s="1"/>
  <c r="Z38" i="117"/>
  <c r="Y38" i="117"/>
  <c r="X38" i="117"/>
  <c r="X42" i="117" s="1"/>
  <c r="W38" i="117"/>
  <c r="V38" i="117"/>
  <c r="U38" i="117"/>
  <c r="T38" i="117"/>
  <c r="S38" i="117"/>
  <c r="S42" i="117" s="1"/>
  <c r="R38" i="117"/>
  <c r="Q38" i="117"/>
  <c r="P38" i="117"/>
  <c r="P42" i="117" s="1"/>
  <c r="O38" i="117"/>
  <c r="N38" i="117"/>
  <c r="M38" i="117"/>
  <c r="L38" i="117"/>
  <c r="K38" i="117"/>
  <c r="K42" i="117" s="1"/>
  <c r="J38" i="117"/>
  <c r="I38" i="117"/>
  <c r="H38" i="117"/>
  <c r="H42" i="117" s="1"/>
  <c r="G38" i="117"/>
  <c r="F38" i="117"/>
  <c r="E38" i="117"/>
  <c r="D38" i="117"/>
  <c r="C38" i="117"/>
  <c r="B38" i="117"/>
  <c r="B42" i="117" s="1"/>
  <c r="E41" i="83"/>
  <c r="H41" i="83"/>
  <c r="I41" i="83"/>
  <c r="L41" i="83"/>
  <c r="N41" i="83"/>
  <c r="O41" i="83"/>
  <c r="P41" i="83"/>
  <c r="Q41" i="83"/>
  <c r="S41" i="83"/>
  <c r="V41" i="83"/>
  <c r="W41" i="83"/>
  <c r="AA41" i="83"/>
  <c r="AC41" i="83"/>
  <c r="AF41" i="83"/>
  <c r="B41" i="83"/>
  <c r="AG41" i="95"/>
  <c r="AF42" i="95"/>
  <c r="AG39" i="106"/>
  <c r="AG40" i="106"/>
  <c r="AG41" i="106"/>
  <c r="C42" i="106"/>
  <c r="D42" i="106"/>
  <c r="E42" i="106"/>
  <c r="F42" i="106"/>
  <c r="G42" i="106"/>
  <c r="H42" i="106"/>
  <c r="I42" i="106"/>
  <c r="J42" i="106"/>
  <c r="K42" i="106"/>
  <c r="L42" i="106"/>
  <c r="M42" i="106"/>
  <c r="N42" i="106"/>
  <c r="O42" i="106"/>
  <c r="P42" i="106"/>
  <c r="Q42" i="106"/>
  <c r="R42" i="106"/>
  <c r="S42" i="106"/>
  <c r="T42" i="106"/>
  <c r="U42" i="106"/>
  <c r="V42" i="106"/>
  <c r="W42" i="106"/>
  <c r="X42" i="106"/>
  <c r="Y42" i="106"/>
  <c r="Z42" i="106"/>
  <c r="AA42" i="106"/>
  <c r="AB42" i="106"/>
  <c r="AC42" i="106"/>
  <c r="AD42" i="106"/>
  <c r="AE42" i="106"/>
  <c r="AF42" i="106"/>
  <c r="B42" i="106"/>
  <c r="AG5" i="117"/>
  <c r="AG6" i="117"/>
  <c r="AG7" i="117"/>
  <c r="AG8" i="117"/>
  <c r="AG9" i="117"/>
  <c r="AG10" i="117"/>
  <c r="AG11" i="117"/>
  <c r="AG12" i="117"/>
  <c r="AG13" i="117"/>
  <c r="AG14" i="117"/>
  <c r="AG15" i="117"/>
  <c r="AG16" i="117"/>
  <c r="AG17" i="117"/>
  <c r="AG18" i="117"/>
  <c r="AG19" i="117"/>
  <c r="AG20" i="117"/>
  <c r="AG21" i="117"/>
  <c r="AG22" i="117"/>
  <c r="AG23" i="117"/>
  <c r="AG24" i="117"/>
  <c r="AG25" i="117"/>
  <c r="AG26" i="117"/>
  <c r="AG27" i="117"/>
  <c r="AG28" i="117"/>
  <c r="AG29" i="117"/>
  <c r="AG30" i="117"/>
  <c r="AG31" i="117"/>
  <c r="AG32" i="117"/>
  <c r="AG33" i="117"/>
  <c r="AG34" i="117"/>
  <c r="AG35" i="117"/>
  <c r="AG36" i="117"/>
  <c r="AG37" i="117"/>
  <c r="AG39" i="117"/>
  <c r="AG41" i="117"/>
  <c r="C42" i="117"/>
  <c r="I42" i="117"/>
  <c r="Q42" i="117"/>
  <c r="Y42" i="117"/>
  <c r="AC42" i="117"/>
  <c r="AF42" i="117"/>
  <c r="AE40" i="95"/>
  <c r="AD40" i="95"/>
  <c r="AC40" i="95"/>
  <c r="AB40" i="95"/>
  <c r="AA40" i="95"/>
  <c r="Z40" i="95"/>
  <c r="Y40" i="95"/>
  <c r="X40" i="95"/>
  <c r="W40" i="95"/>
  <c r="V40" i="95"/>
  <c r="U40" i="95"/>
  <c r="T40" i="95"/>
  <c r="S40" i="95"/>
  <c r="R40" i="95"/>
  <c r="K40" i="95"/>
  <c r="L40" i="95"/>
  <c r="M40" i="95"/>
  <c r="N40" i="95"/>
  <c r="O40" i="95"/>
  <c r="P40" i="95"/>
  <c r="Q40" i="95"/>
  <c r="I40" i="95"/>
  <c r="G40" i="95"/>
  <c r="J40" i="95"/>
  <c r="H40" i="95"/>
  <c r="F40" i="95"/>
  <c r="C40" i="95"/>
  <c r="B40" i="95"/>
  <c r="Z38" i="95"/>
  <c r="AA38" i="95"/>
  <c r="AA42" i="95" s="1"/>
  <c r="AB38" i="95"/>
  <c r="AC38" i="95"/>
  <c r="AC42" i="95" s="1"/>
  <c r="AD38" i="95"/>
  <c r="AE38" i="95"/>
  <c r="Y38" i="95"/>
  <c r="X38" i="95"/>
  <c r="W38" i="95"/>
  <c r="V38" i="95"/>
  <c r="U38" i="95"/>
  <c r="U42" i="95" s="1"/>
  <c r="T38" i="95"/>
  <c r="S38" i="95"/>
  <c r="S42" i="95" s="1"/>
  <c r="R38" i="95"/>
  <c r="Q38" i="95"/>
  <c r="W42" i="95" l="1"/>
  <c r="D42" i="117"/>
  <c r="G42" i="117"/>
  <c r="W42" i="117"/>
  <c r="AE42" i="117"/>
  <c r="Q42" i="95"/>
  <c r="R42" i="95"/>
  <c r="AE42" i="95"/>
  <c r="R42" i="117"/>
  <c r="Z42" i="117"/>
  <c r="L42" i="117"/>
  <c r="AB42" i="117"/>
  <c r="Z42" i="95"/>
  <c r="AB42" i="95"/>
  <c r="T42" i="95"/>
  <c r="AD42" i="95"/>
  <c r="V42" i="95"/>
  <c r="T42" i="117"/>
  <c r="X42" i="95"/>
  <c r="Y42" i="95"/>
  <c r="O42" i="117"/>
  <c r="U42" i="117"/>
  <c r="AG40" i="117"/>
  <c r="J42" i="117"/>
  <c r="AG38" i="117"/>
  <c r="E42" i="117"/>
  <c r="P38" i="95"/>
  <c r="P42" i="95" s="1"/>
  <c r="O38" i="95"/>
  <c r="O42" i="95" s="1"/>
  <c r="N38" i="95"/>
  <c r="N42" i="95" s="1"/>
  <c r="M38" i="95"/>
  <c r="M42" i="95" s="1"/>
  <c r="L38" i="95"/>
  <c r="L42" i="95" s="1"/>
  <c r="K38" i="95"/>
  <c r="K42" i="95" s="1"/>
  <c r="J38" i="95"/>
  <c r="J42" i="95" s="1"/>
  <c r="I38" i="95"/>
  <c r="I42" i="95" s="1"/>
  <c r="H38" i="95"/>
  <c r="H42" i="95" s="1"/>
  <c r="G38" i="95"/>
  <c r="G42" i="95" s="1"/>
  <c r="F38" i="95"/>
  <c r="F42" i="95" s="1"/>
  <c r="E38" i="95"/>
  <c r="E42" i="95" s="1"/>
  <c r="D38" i="95"/>
  <c r="D42" i="95" s="1"/>
  <c r="C38" i="95"/>
  <c r="C42" i="95" s="1"/>
  <c r="B38" i="95"/>
  <c r="B42" i="95" s="1"/>
  <c r="AG42" i="117" l="1"/>
  <c r="AD38" i="83"/>
  <c r="AD41" i="83" s="1"/>
  <c r="AB38" i="83"/>
  <c r="G38" i="83"/>
  <c r="AE28" i="83"/>
  <c r="AB28" i="83"/>
  <c r="Z28" i="83"/>
  <c r="Y28" i="83"/>
  <c r="X28" i="83"/>
  <c r="U28" i="83"/>
  <c r="T28" i="83"/>
  <c r="R28" i="83"/>
  <c r="M28" i="83"/>
  <c r="K28" i="83"/>
  <c r="J28" i="83"/>
  <c r="G28" i="83"/>
  <c r="F28" i="83"/>
  <c r="D28" i="83"/>
  <c r="C28" i="83"/>
  <c r="AE27" i="83"/>
  <c r="AB27" i="83"/>
  <c r="Z27" i="83"/>
  <c r="Y27" i="83"/>
  <c r="X27" i="83"/>
  <c r="U27" i="83"/>
  <c r="T27" i="83"/>
  <c r="R27" i="83"/>
  <c r="M27" i="83"/>
  <c r="K27" i="83"/>
  <c r="J27" i="83"/>
  <c r="G27" i="83"/>
  <c r="F27" i="83"/>
  <c r="D27" i="83"/>
  <c r="C27" i="83"/>
  <c r="Y41" i="83" l="1"/>
  <c r="D41" i="83"/>
  <c r="K41" i="83"/>
  <c r="U41" i="83"/>
  <c r="R41" i="83"/>
  <c r="AB41" i="83"/>
  <c r="G41" i="83"/>
  <c r="C41" i="83"/>
  <c r="F41" i="83"/>
  <c r="J41" i="83"/>
  <c r="M41" i="83"/>
  <c r="T41" i="83"/>
  <c r="X41" i="83"/>
  <c r="Z41" i="83"/>
  <c r="AE41" i="83"/>
  <c r="AG56" i="1"/>
  <c r="AG42" i="1"/>
  <c r="AG49" i="1"/>
  <c r="AG46" i="1" l="1"/>
  <c r="E10" i="56" l="1"/>
  <c r="J8" i="56"/>
  <c r="E24" i="56" s="1"/>
  <c r="P43" i="1"/>
  <c r="AB36" i="1"/>
  <c r="Z36" i="1"/>
  <c r="V36" i="1"/>
  <c r="R36" i="1"/>
  <c r="O36" i="1"/>
  <c r="J36" i="1"/>
  <c r="J6" i="56"/>
  <c r="C6" i="1"/>
  <c r="D6" i="1"/>
  <c r="G6" i="1"/>
  <c r="H6" i="1"/>
  <c r="I6" i="1"/>
  <c r="J6" i="1"/>
  <c r="L6" i="1"/>
  <c r="AG33" i="72"/>
  <c r="AE4" i="1" s="1"/>
  <c r="D5" i="1"/>
  <c r="E5" i="1"/>
  <c r="F5" i="1"/>
  <c r="G5" i="1"/>
  <c r="H5" i="1"/>
  <c r="I5" i="1"/>
  <c r="J5" i="1"/>
  <c r="M5" i="1"/>
  <c r="N5" i="1"/>
  <c r="O5" i="1"/>
  <c r="Q5" i="1"/>
  <c r="R5" i="1"/>
  <c r="T5" i="1"/>
  <c r="U5" i="1"/>
  <c r="V5" i="1"/>
  <c r="X5" i="1"/>
  <c r="Y5" i="1"/>
  <c r="Z5" i="1"/>
  <c r="AA5" i="1"/>
  <c r="AD5" i="1"/>
  <c r="AE5" i="1"/>
  <c r="J7" i="56"/>
  <c r="E23" i="56" s="1"/>
  <c r="J9" i="56"/>
  <c r="J10" i="56"/>
  <c r="E26" i="56" s="1"/>
  <c r="J11" i="56"/>
  <c r="E27" i="56" s="1"/>
  <c r="J12" i="56"/>
  <c r="E28" i="56" s="1"/>
  <c r="J15" i="56"/>
  <c r="E31" i="56" s="1"/>
  <c r="AG21" i="70"/>
  <c r="U2" i="1" s="1"/>
  <c r="AB3" i="1"/>
  <c r="AA3" i="1"/>
  <c r="Z3" i="1"/>
  <c r="Y3" i="1"/>
  <c r="W5" i="1"/>
  <c r="W3" i="1"/>
  <c r="U3" i="1"/>
  <c r="S3" i="1"/>
  <c r="R3" i="1"/>
  <c r="P3" i="1"/>
  <c r="N3" i="1"/>
  <c r="M3" i="1"/>
  <c r="K3" i="1"/>
  <c r="I3" i="1"/>
  <c r="G3" i="1"/>
  <c r="F3" i="1"/>
  <c r="E3" i="1"/>
  <c r="D3" i="1"/>
  <c r="C3" i="1"/>
  <c r="AG7" i="1"/>
  <c r="C5" i="1"/>
  <c r="AG41" i="130"/>
  <c r="AG40" i="130"/>
  <c r="AG39" i="130"/>
  <c r="AG38" i="130"/>
  <c r="AG37" i="130"/>
  <c r="AG36" i="130"/>
  <c r="AG35" i="130"/>
  <c r="AG34" i="130"/>
  <c r="AG33" i="130"/>
  <c r="AG32" i="130"/>
  <c r="AG31" i="130"/>
  <c r="AG30" i="130"/>
  <c r="AG29" i="130"/>
  <c r="AG28" i="130"/>
  <c r="AG27" i="130"/>
  <c r="AG26" i="130"/>
  <c r="AG25" i="130"/>
  <c r="AG24" i="130"/>
  <c r="AG23" i="130"/>
  <c r="AG22" i="130"/>
  <c r="AG21" i="130"/>
  <c r="AG20" i="130"/>
  <c r="AG19" i="130"/>
  <c r="AG18" i="130"/>
  <c r="AG17" i="130"/>
  <c r="AG16" i="130"/>
  <c r="AG15" i="130"/>
  <c r="AG14" i="130"/>
  <c r="AG13" i="130"/>
  <c r="AG12" i="130"/>
  <c r="AG11" i="130"/>
  <c r="AG10" i="130"/>
  <c r="AG9" i="130"/>
  <c r="AG8" i="130"/>
  <c r="AG7" i="130"/>
  <c r="AG6" i="130"/>
  <c r="AG5" i="130"/>
  <c r="AG4" i="130"/>
  <c r="AG3" i="130"/>
  <c r="AG41" i="129"/>
  <c r="AG40" i="129"/>
  <c r="AG39" i="129"/>
  <c r="AG38" i="129"/>
  <c r="AG37" i="129"/>
  <c r="AG36" i="129"/>
  <c r="AG35" i="129"/>
  <c r="AG34" i="129"/>
  <c r="AG33" i="129"/>
  <c r="AG32" i="129"/>
  <c r="AG31" i="129"/>
  <c r="AG30" i="129"/>
  <c r="AG29" i="129"/>
  <c r="AG28" i="129"/>
  <c r="AG27" i="129"/>
  <c r="AG26" i="129"/>
  <c r="AG25" i="129"/>
  <c r="AG24" i="129"/>
  <c r="AG23" i="129"/>
  <c r="AG22" i="129"/>
  <c r="AG21" i="129"/>
  <c r="AG20" i="129"/>
  <c r="AG19" i="129"/>
  <c r="AG18" i="129"/>
  <c r="AG17" i="129"/>
  <c r="AG16" i="129"/>
  <c r="AG15" i="129"/>
  <c r="AG14" i="129"/>
  <c r="AG13" i="129"/>
  <c r="AG12" i="129"/>
  <c r="AG11" i="129"/>
  <c r="AG10" i="129"/>
  <c r="AG9" i="129"/>
  <c r="AG8" i="129"/>
  <c r="AG7" i="129"/>
  <c r="AG6" i="129"/>
  <c r="AG5" i="129"/>
  <c r="AG4" i="129"/>
  <c r="AG3" i="129"/>
  <c r="AG40" i="128"/>
  <c r="AG39" i="128"/>
  <c r="AG38" i="128"/>
  <c r="AG37" i="128"/>
  <c r="AG36" i="128"/>
  <c r="AG35" i="128"/>
  <c r="AG34" i="128"/>
  <c r="AG33" i="128"/>
  <c r="AG32" i="128"/>
  <c r="AG31" i="128"/>
  <c r="AG30" i="128"/>
  <c r="AG29" i="128"/>
  <c r="AG28" i="128"/>
  <c r="AG27" i="128"/>
  <c r="AG26" i="128"/>
  <c r="AG25" i="128"/>
  <c r="AG24" i="128"/>
  <c r="AG23" i="128"/>
  <c r="AG22" i="128"/>
  <c r="AG21" i="128"/>
  <c r="AG20" i="128"/>
  <c r="AG19" i="128"/>
  <c r="AG18" i="128"/>
  <c r="AG17" i="128"/>
  <c r="AG16" i="128"/>
  <c r="AG15" i="128"/>
  <c r="AG14" i="128"/>
  <c r="AG13" i="128"/>
  <c r="AG12" i="128"/>
  <c r="AG11" i="128"/>
  <c r="AG10" i="128"/>
  <c r="AG9" i="128"/>
  <c r="AG8" i="128"/>
  <c r="AG7" i="128"/>
  <c r="AG6" i="128"/>
  <c r="AG5" i="128"/>
  <c r="AG4" i="128"/>
  <c r="AG3" i="128"/>
  <c r="AG48" i="1"/>
  <c r="G10" i="56" s="1"/>
  <c r="AG40" i="118"/>
  <c r="AG39" i="118"/>
  <c r="AG38" i="118"/>
  <c r="AG37" i="118"/>
  <c r="AG36" i="118"/>
  <c r="AG35" i="118"/>
  <c r="AG34" i="118"/>
  <c r="AG33" i="118"/>
  <c r="AG32" i="118"/>
  <c r="AG31" i="118"/>
  <c r="AG30" i="118"/>
  <c r="AG29" i="118"/>
  <c r="AG28" i="118"/>
  <c r="AG27" i="118"/>
  <c r="AG26" i="118"/>
  <c r="AG25" i="118"/>
  <c r="AG24" i="118"/>
  <c r="AG23" i="118"/>
  <c r="AG22" i="118"/>
  <c r="AG21" i="118"/>
  <c r="AG20" i="118"/>
  <c r="AG19" i="118"/>
  <c r="AG18" i="118"/>
  <c r="AG17" i="118"/>
  <c r="AG15" i="118"/>
  <c r="AG14" i="118"/>
  <c r="AG13" i="118"/>
  <c r="AG12" i="118"/>
  <c r="AG11" i="118"/>
  <c r="AG10" i="118"/>
  <c r="AG9" i="118"/>
  <c r="AG8" i="118"/>
  <c r="AG7" i="118"/>
  <c r="AG6" i="118"/>
  <c r="AG5" i="118"/>
  <c r="AG4" i="118"/>
  <c r="AG3" i="118"/>
  <c r="AG4" i="117"/>
  <c r="AG3" i="117"/>
  <c r="AD43" i="1"/>
  <c r="M50" i="1"/>
  <c r="R50" i="1"/>
  <c r="X50" i="1"/>
  <c r="AG4" i="107"/>
  <c r="AG3" i="107"/>
  <c r="AG38" i="106"/>
  <c r="AG37" i="106"/>
  <c r="AG36" i="106"/>
  <c r="AG35" i="106"/>
  <c r="AG34" i="106"/>
  <c r="AG33" i="106"/>
  <c r="AG32" i="106"/>
  <c r="AG31" i="106"/>
  <c r="AG30" i="106"/>
  <c r="AG29" i="106"/>
  <c r="AG28" i="106"/>
  <c r="AG27" i="106"/>
  <c r="AG26" i="106"/>
  <c r="AG25" i="106"/>
  <c r="AG24" i="106"/>
  <c r="AG23" i="106"/>
  <c r="AG22" i="106"/>
  <c r="AG21" i="106"/>
  <c r="AG20" i="106"/>
  <c r="AG19" i="106"/>
  <c r="AG18" i="106"/>
  <c r="AG17" i="106"/>
  <c r="AG16" i="106"/>
  <c r="AG15" i="106"/>
  <c r="AG14" i="106"/>
  <c r="AG13" i="106"/>
  <c r="AG12" i="106"/>
  <c r="AG11" i="106"/>
  <c r="AG10" i="106"/>
  <c r="AG9" i="106"/>
  <c r="AG60" i="1" s="1"/>
  <c r="AG8" i="106"/>
  <c r="AG7" i="106"/>
  <c r="AG6" i="106"/>
  <c r="AG5" i="106"/>
  <c r="AG4" i="106"/>
  <c r="AG3" i="106"/>
  <c r="Q43" i="1"/>
  <c r="AG40" i="96"/>
  <c r="AG39" i="96"/>
  <c r="AG38" i="96"/>
  <c r="AG37" i="96"/>
  <c r="AG36" i="96"/>
  <c r="AG35" i="96"/>
  <c r="AG34" i="96"/>
  <c r="AG32" i="96"/>
  <c r="AG31" i="96"/>
  <c r="AG30" i="96"/>
  <c r="AG29" i="96"/>
  <c r="AG28" i="96"/>
  <c r="AG27" i="96"/>
  <c r="AG26" i="96"/>
  <c r="AG25" i="96"/>
  <c r="AG24" i="96"/>
  <c r="AG23" i="96"/>
  <c r="AG22" i="96"/>
  <c r="AG21" i="96"/>
  <c r="AG20" i="96"/>
  <c r="AG19" i="96"/>
  <c r="AG18" i="96"/>
  <c r="AG17" i="96"/>
  <c r="AG16" i="96"/>
  <c r="AG15" i="96"/>
  <c r="AG14" i="96"/>
  <c r="AG13" i="96"/>
  <c r="AG12" i="96"/>
  <c r="AG11" i="96"/>
  <c r="AG10" i="96"/>
  <c r="AG9" i="96"/>
  <c r="AG8" i="96"/>
  <c r="AG7" i="96"/>
  <c r="AG6" i="96"/>
  <c r="AG5" i="96"/>
  <c r="AG4" i="96"/>
  <c r="AG3" i="96"/>
  <c r="AG40" i="95"/>
  <c r="AG39" i="95"/>
  <c r="AG38" i="95"/>
  <c r="AG37" i="95"/>
  <c r="AG36" i="95"/>
  <c r="AG35" i="95"/>
  <c r="AG34" i="95"/>
  <c r="AG33" i="95"/>
  <c r="AG32" i="95"/>
  <c r="AG31" i="95"/>
  <c r="AG30" i="95"/>
  <c r="AG29" i="95"/>
  <c r="AG28" i="95"/>
  <c r="AG27" i="95"/>
  <c r="AG26" i="95"/>
  <c r="AG25" i="95"/>
  <c r="AG24" i="95"/>
  <c r="AG23" i="95"/>
  <c r="AG22" i="95"/>
  <c r="AG21" i="95"/>
  <c r="AG20" i="95"/>
  <c r="AG19" i="95"/>
  <c r="AG18" i="95"/>
  <c r="AG17" i="95"/>
  <c r="AG16" i="95"/>
  <c r="AG15" i="95"/>
  <c r="AG14" i="95"/>
  <c r="AG13" i="95"/>
  <c r="AG12" i="95"/>
  <c r="AG11" i="95"/>
  <c r="AG10" i="95"/>
  <c r="AG9" i="95"/>
  <c r="AG59" i="1" s="1"/>
  <c r="AG8" i="95"/>
  <c r="AG7" i="95"/>
  <c r="AG6" i="95"/>
  <c r="AG5" i="95"/>
  <c r="AG4" i="95"/>
  <c r="AG3" i="95"/>
  <c r="G43" i="1"/>
  <c r="AG40" i="84"/>
  <c r="AG39" i="84"/>
  <c r="AG38" i="84"/>
  <c r="AG37" i="84"/>
  <c r="AG36" i="84"/>
  <c r="AG35" i="84"/>
  <c r="AG34" i="84"/>
  <c r="AG33" i="84"/>
  <c r="AG32" i="84"/>
  <c r="AG31" i="84"/>
  <c r="AG30" i="84"/>
  <c r="AG29" i="84"/>
  <c r="AG28" i="84"/>
  <c r="AG27" i="84"/>
  <c r="AG26" i="84"/>
  <c r="AG25" i="84"/>
  <c r="AG24" i="84"/>
  <c r="AG23" i="84"/>
  <c r="AG22" i="84"/>
  <c r="AG21" i="84"/>
  <c r="AG20" i="84"/>
  <c r="AG19" i="84"/>
  <c r="AG18" i="84"/>
  <c r="AG17" i="84"/>
  <c r="AG16" i="84"/>
  <c r="AG15" i="84"/>
  <c r="AG14" i="84"/>
  <c r="AG13" i="84"/>
  <c r="AG12" i="84"/>
  <c r="AG11" i="84"/>
  <c r="AG10" i="84"/>
  <c r="AG9" i="84"/>
  <c r="AG8" i="84"/>
  <c r="AG7" i="84"/>
  <c r="AG6" i="84"/>
  <c r="AG5" i="84"/>
  <c r="AG4" i="84"/>
  <c r="AG3" i="84"/>
  <c r="AG40" i="83"/>
  <c r="AG39" i="83"/>
  <c r="AG38" i="83"/>
  <c r="AG37" i="83"/>
  <c r="AG36" i="83"/>
  <c r="AG35" i="83"/>
  <c r="AG34" i="83"/>
  <c r="AG33" i="83"/>
  <c r="AG32" i="83"/>
  <c r="AG31" i="83"/>
  <c r="AG30" i="83"/>
  <c r="AG29" i="83"/>
  <c r="AG28" i="83"/>
  <c r="AG27" i="83"/>
  <c r="AG26" i="83"/>
  <c r="AG25" i="83"/>
  <c r="AG24" i="83"/>
  <c r="AG23" i="83"/>
  <c r="AG22" i="83"/>
  <c r="AG21" i="83"/>
  <c r="AG20" i="83"/>
  <c r="AG19" i="83"/>
  <c r="AG18" i="83"/>
  <c r="AG17" i="83"/>
  <c r="AG16" i="83"/>
  <c r="AG15" i="83"/>
  <c r="AG14" i="83"/>
  <c r="AG13" i="83"/>
  <c r="AG12" i="83"/>
  <c r="AG11" i="83"/>
  <c r="AG10" i="83"/>
  <c r="AG9" i="83"/>
  <c r="AG8" i="83"/>
  <c r="AG7" i="83"/>
  <c r="AG6" i="83"/>
  <c r="AG5" i="83"/>
  <c r="AG4" i="83"/>
  <c r="AG3" i="83"/>
  <c r="X43" i="1"/>
  <c r="O43" i="1"/>
  <c r="M43" i="1"/>
  <c r="L43" i="1"/>
  <c r="J43" i="1"/>
  <c r="C43" i="1"/>
  <c r="AF41" i="75"/>
  <c r="AE41" i="75"/>
  <c r="AD41" i="75"/>
  <c r="AC41" i="75"/>
  <c r="AB41" i="75"/>
  <c r="AA41" i="75"/>
  <c r="Z41" i="75"/>
  <c r="Y41" i="75"/>
  <c r="X41" i="75"/>
  <c r="W41" i="75"/>
  <c r="V41" i="75"/>
  <c r="U41" i="75"/>
  <c r="T41" i="75"/>
  <c r="S41" i="75"/>
  <c r="R41" i="75"/>
  <c r="Q41" i="75"/>
  <c r="P41" i="75"/>
  <c r="O41" i="75"/>
  <c r="N41" i="75"/>
  <c r="M41" i="75"/>
  <c r="L41" i="75"/>
  <c r="K41" i="75"/>
  <c r="J41" i="75"/>
  <c r="I41" i="75"/>
  <c r="H41" i="75"/>
  <c r="G41" i="75"/>
  <c r="F41" i="75"/>
  <c r="E41" i="75"/>
  <c r="D41" i="75"/>
  <c r="C41" i="75"/>
  <c r="B41" i="75"/>
  <c r="AG40" i="75"/>
  <c r="AG39" i="75"/>
  <c r="AG38" i="75"/>
  <c r="AG37" i="75"/>
  <c r="AG36" i="75"/>
  <c r="AG35" i="75"/>
  <c r="AG34" i="75"/>
  <c r="AG33" i="75"/>
  <c r="AG32" i="75"/>
  <c r="AG31" i="75"/>
  <c r="AG30" i="75"/>
  <c r="AG29" i="75"/>
  <c r="AG28" i="75"/>
  <c r="AG27" i="75"/>
  <c r="AG26" i="75"/>
  <c r="AG25" i="75"/>
  <c r="AG24" i="75"/>
  <c r="AG23" i="75"/>
  <c r="AG22" i="75"/>
  <c r="AG21" i="75"/>
  <c r="AG20" i="75"/>
  <c r="AG19" i="75"/>
  <c r="AG18" i="75"/>
  <c r="AG17" i="75"/>
  <c r="AG16" i="75"/>
  <c r="AG15" i="75"/>
  <c r="AG14" i="75"/>
  <c r="AG13" i="75"/>
  <c r="AG12" i="75"/>
  <c r="AG11" i="75"/>
  <c r="AG10" i="75"/>
  <c r="AG9" i="75"/>
  <c r="AG8" i="75"/>
  <c r="AG7" i="75"/>
  <c r="AG6" i="75"/>
  <c r="AG5" i="75"/>
  <c r="AG4" i="75"/>
  <c r="AG3" i="75"/>
  <c r="AE3" i="1"/>
  <c r="AD3" i="1"/>
  <c r="AC3" i="1"/>
  <c r="X3" i="1"/>
  <c r="V3" i="1"/>
  <c r="T3" i="1"/>
  <c r="Q3" i="1"/>
  <c r="O3" i="1"/>
  <c r="L3" i="1"/>
  <c r="J3" i="1"/>
  <c r="H3" i="1"/>
  <c r="AG32" i="72"/>
  <c r="AD4" i="1" s="1"/>
  <c r="AG31" i="72"/>
  <c r="AC4" i="1" s="1"/>
  <c r="AG30" i="72"/>
  <c r="AB4" i="1" s="1"/>
  <c r="AG29" i="72"/>
  <c r="AA4" i="1" s="1"/>
  <c r="AG28" i="72"/>
  <c r="Z4" i="1" s="1"/>
  <c r="AG27" i="72"/>
  <c r="Y4" i="1" s="1"/>
  <c r="X4" i="1"/>
  <c r="AG23" i="72"/>
  <c r="U4" i="1" s="1"/>
  <c r="AG22" i="72"/>
  <c r="AG21" i="72"/>
  <c r="AG20" i="72"/>
  <c r="AG19" i="72"/>
  <c r="S4" i="1" s="1"/>
  <c r="AG18" i="72"/>
  <c r="AG17" i="72"/>
  <c r="Q4" i="1" s="1"/>
  <c r="AG16" i="72"/>
  <c r="P4" i="1" s="1"/>
  <c r="AG15" i="72"/>
  <c r="O4" i="1" s="1"/>
  <c r="AG14" i="72"/>
  <c r="N4" i="1" s="1"/>
  <c r="AG13" i="72"/>
  <c r="M4" i="1" s="1"/>
  <c r="AG12" i="72"/>
  <c r="K4" i="1"/>
  <c r="AG10" i="72"/>
  <c r="J4" i="1" s="1"/>
  <c r="I4" i="1"/>
  <c r="AG8" i="72"/>
  <c r="H4" i="1" s="1"/>
  <c r="AG7" i="72"/>
  <c r="G4" i="1" s="1"/>
  <c r="F4" i="1"/>
  <c r="AG5" i="72"/>
  <c r="E4" i="1" s="1"/>
  <c r="AG4" i="72"/>
  <c r="D4" i="1" s="1"/>
  <c r="AG3" i="72"/>
  <c r="C4" i="1" s="1"/>
  <c r="AC5" i="1"/>
  <c r="AB5" i="1"/>
  <c r="AB87" i="1" s="1"/>
  <c r="S5" i="1"/>
  <c r="L5" i="1"/>
  <c r="C2" i="1"/>
  <c r="AG4" i="70"/>
  <c r="D2" i="1" s="1"/>
  <c r="E2" i="1"/>
  <c r="AG6" i="70"/>
  <c r="F2" i="1" s="1"/>
  <c r="AG7" i="70"/>
  <c r="G2" i="1" s="1"/>
  <c r="AG8" i="70"/>
  <c r="H2" i="1" s="1"/>
  <c r="AG9" i="70"/>
  <c r="I2" i="1" s="1"/>
  <c r="AG10" i="70"/>
  <c r="J2" i="1" s="1"/>
  <c r="AG11" i="70"/>
  <c r="K2" i="1" s="1"/>
  <c r="AG12" i="70"/>
  <c r="L2" i="1" s="1"/>
  <c r="M2" i="1"/>
  <c r="AG14" i="70"/>
  <c r="N2" i="1" s="1"/>
  <c r="AG15" i="70"/>
  <c r="O2" i="1" s="1"/>
  <c r="AG16" i="70"/>
  <c r="P2" i="1" s="1"/>
  <c r="AG17" i="70"/>
  <c r="Q2" i="1" s="1"/>
  <c r="AG18" i="70"/>
  <c r="R2" i="1" s="1"/>
  <c r="AG19" i="70"/>
  <c r="S2" i="1" s="1"/>
  <c r="T2" i="1"/>
  <c r="AG22" i="70"/>
  <c r="V2" i="1" s="1"/>
  <c r="AG23" i="70"/>
  <c r="W2" i="1" s="1"/>
  <c r="X2" i="1"/>
  <c r="AG25" i="70"/>
  <c r="Y2" i="1" s="1"/>
  <c r="AG26" i="70"/>
  <c r="Z2" i="1" s="1"/>
  <c r="AG27" i="70"/>
  <c r="AA2" i="1" s="1"/>
  <c r="AG28" i="70"/>
  <c r="AB2" i="1" s="1"/>
  <c r="AG29" i="70"/>
  <c r="AC2" i="1" s="1"/>
  <c r="AG30" i="70"/>
  <c r="AD2" i="1" s="1"/>
  <c r="AG31" i="70"/>
  <c r="AE2" i="1" s="1"/>
  <c r="AG35" i="74"/>
  <c r="AG34" i="73"/>
  <c r="AG33" i="73"/>
  <c r="B9" i="69"/>
  <c r="H27" i="69"/>
  <c r="H19" i="69"/>
  <c r="C9" i="69"/>
  <c r="D9" i="69"/>
  <c r="E9" i="69"/>
  <c r="F9" i="69"/>
  <c r="G9" i="69"/>
  <c r="H9" i="69"/>
  <c r="I9" i="69"/>
  <c r="J9" i="69"/>
  <c r="K9" i="69"/>
  <c r="L9" i="69"/>
  <c r="M9" i="69"/>
  <c r="N9" i="69"/>
  <c r="O9" i="69"/>
  <c r="P9" i="69"/>
  <c r="AG77" i="1"/>
  <c r="AG75" i="1"/>
  <c r="G14" i="56" s="1"/>
  <c r="AG73" i="1"/>
  <c r="AG72" i="1"/>
  <c r="AG74" i="1"/>
  <c r="D16" i="56"/>
  <c r="C16" i="56"/>
  <c r="E22" i="56"/>
  <c r="E44" i="56"/>
  <c r="E39" i="56"/>
  <c r="E41" i="56"/>
  <c r="E42" i="56"/>
  <c r="E43" i="56"/>
  <c r="E37" i="56"/>
  <c r="E36" i="56"/>
  <c r="E35" i="56"/>
  <c r="P50" i="1"/>
  <c r="O50" i="1"/>
  <c r="K50" i="1"/>
  <c r="K43" i="1"/>
  <c r="U43" i="1"/>
  <c r="E50" i="1"/>
  <c r="F50" i="1"/>
  <c r="G50" i="1"/>
  <c r="H50" i="1"/>
  <c r="I50" i="1"/>
  <c r="J50" i="1"/>
  <c r="L50" i="1"/>
  <c r="N50" i="1"/>
  <c r="Q50" i="1"/>
  <c r="T50" i="1"/>
  <c r="U50" i="1"/>
  <c r="V50" i="1"/>
  <c r="W50" i="1"/>
  <c r="Y50" i="1"/>
  <c r="AA50" i="1"/>
  <c r="AB50" i="1"/>
  <c r="AC50" i="1"/>
  <c r="AD50" i="1"/>
  <c r="AE50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G80" i="1"/>
  <c r="AG81" i="1"/>
  <c r="AG82" i="1"/>
  <c r="G15" i="56" s="1"/>
  <c r="AG83" i="1"/>
  <c r="F15" i="56" s="1"/>
  <c r="AG84" i="1"/>
  <c r="AG79" i="1"/>
  <c r="C85" i="1"/>
  <c r="AG70" i="1"/>
  <c r="AG63" i="1"/>
  <c r="C50" i="1"/>
  <c r="D85" i="1"/>
  <c r="D50" i="1"/>
  <c r="D43" i="1"/>
  <c r="E36" i="1"/>
  <c r="T29" i="1"/>
  <c r="AG61" i="1"/>
  <c r="F12" i="56" s="1"/>
  <c r="E45" i="56"/>
  <c r="Z43" i="1"/>
  <c r="N43" i="1"/>
  <c r="M36" i="1"/>
  <c r="W36" i="1"/>
  <c r="J16" i="56" l="1"/>
  <c r="E40" i="56"/>
  <c r="E25" i="56"/>
  <c r="R4" i="1"/>
  <c r="AG37" i="72"/>
  <c r="L4" i="1"/>
  <c r="L8" i="1" s="1"/>
  <c r="P5" i="1"/>
  <c r="P87" i="1" s="1"/>
  <c r="AG6" i="1"/>
  <c r="G4" i="56" s="1"/>
  <c r="E46" i="56"/>
  <c r="T4" i="1"/>
  <c r="E38" i="56"/>
  <c r="M8" i="1"/>
  <c r="AF8" i="1"/>
  <c r="AG41" i="75"/>
  <c r="AE8" i="1"/>
  <c r="U8" i="1"/>
  <c r="AG42" i="75"/>
  <c r="AG43" i="107"/>
  <c r="N8" i="1"/>
  <c r="AA8" i="1"/>
  <c r="AD8" i="1"/>
  <c r="AB8" i="1"/>
  <c r="Z8" i="1"/>
  <c r="X8" i="1"/>
  <c r="V8" i="1"/>
  <c r="R8" i="1"/>
  <c r="H8" i="1"/>
  <c r="F8" i="1"/>
  <c r="D8" i="1"/>
  <c r="J8" i="1"/>
  <c r="AC8" i="1"/>
  <c r="Y8" i="1"/>
  <c r="W8" i="1"/>
  <c r="S8" i="1"/>
  <c r="Q8" i="1"/>
  <c r="O8" i="1"/>
  <c r="I8" i="1"/>
  <c r="G8" i="1"/>
  <c r="E8" i="1"/>
  <c r="AG2" i="1"/>
  <c r="AG34" i="70"/>
  <c r="AG43" i="117"/>
  <c r="AG3" i="1"/>
  <c r="Y36" i="1"/>
  <c r="T36" i="1"/>
  <c r="X36" i="1"/>
  <c r="K36" i="1"/>
  <c r="Q36" i="1"/>
  <c r="AE36" i="1"/>
  <c r="AA36" i="1"/>
  <c r="N36" i="1"/>
  <c r="Z29" i="1"/>
  <c r="N29" i="1"/>
  <c r="P29" i="1"/>
  <c r="R29" i="1"/>
  <c r="V29" i="1"/>
  <c r="X29" i="1"/>
  <c r="F29" i="1"/>
  <c r="L29" i="1"/>
  <c r="AE29" i="1"/>
  <c r="I29" i="1"/>
  <c r="H36" i="1"/>
  <c r="L36" i="1"/>
  <c r="H29" i="1"/>
  <c r="AG76" i="1"/>
  <c r="F14" i="56" s="1"/>
  <c r="H14" i="56" s="1"/>
  <c r="D87" i="1"/>
  <c r="I87" i="1"/>
  <c r="L87" i="1"/>
  <c r="Q87" i="1"/>
  <c r="S87" i="1"/>
  <c r="R43" i="1"/>
  <c r="S43" i="1"/>
  <c r="V43" i="1"/>
  <c r="Y43" i="1"/>
  <c r="K29" i="1"/>
  <c r="E29" i="1"/>
  <c r="C36" i="1"/>
  <c r="AC36" i="1"/>
  <c r="AD87" i="1"/>
  <c r="X87" i="1"/>
  <c r="C22" i="1"/>
  <c r="AG22" i="1" s="1"/>
  <c r="AA43" i="1"/>
  <c r="F36" i="1"/>
  <c r="E87" i="1"/>
  <c r="J87" i="1"/>
  <c r="N87" i="1"/>
  <c r="R87" i="1"/>
  <c r="U87" i="1"/>
  <c r="Z87" i="1"/>
  <c r="AC87" i="1"/>
  <c r="AD36" i="1"/>
  <c r="AC43" i="1"/>
  <c r="AG47" i="1"/>
  <c r="D36" i="1"/>
  <c r="E14" i="56"/>
  <c r="F43" i="1"/>
  <c r="F87" i="1"/>
  <c r="AA87" i="1"/>
  <c r="V87" i="1"/>
  <c r="T87" i="1"/>
  <c r="M87" i="1"/>
  <c r="C29" i="1"/>
  <c r="J29" i="1"/>
  <c r="S36" i="1"/>
  <c r="U36" i="1"/>
  <c r="T43" i="1"/>
  <c r="C87" i="1"/>
  <c r="G87" i="1"/>
  <c r="W87" i="1"/>
  <c r="Y87" i="1"/>
  <c r="AE87" i="1"/>
  <c r="O87" i="1"/>
  <c r="AC29" i="1"/>
  <c r="P36" i="1"/>
  <c r="G36" i="1"/>
  <c r="I36" i="1"/>
  <c r="AG36" i="71"/>
  <c r="K5" i="1"/>
  <c r="K87" i="1" s="1"/>
  <c r="AG33" i="70"/>
  <c r="C15" i="1"/>
  <c r="AG15" i="1" s="1"/>
  <c r="H15" i="56"/>
  <c r="E15" i="56"/>
  <c r="AG42" i="130"/>
  <c r="AG85" i="1"/>
  <c r="AG78" i="1"/>
  <c r="AG42" i="83"/>
  <c r="AG43" i="118"/>
  <c r="H87" i="1"/>
  <c r="AG65" i="1"/>
  <c r="AG66" i="1"/>
  <c r="AG69" i="1"/>
  <c r="F13" i="56" s="1"/>
  <c r="AG62" i="1"/>
  <c r="AG67" i="1"/>
  <c r="AG42" i="129"/>
  <c r="AG43" i="96"/>
  <c r="AG43" i="84"/>
  <c r="AG42" i="84"/>
  <c r="AG42" i="107"/>
  <c r="AG42" i="118"/>
  <c r="AG42" i="96"/>
  <c r="AG41" i="128"/>
  <c r="AG42" i="128"/>
  <c r="AG43" i="106"/>
  <c r="AG40" i="1"/>
  <c r="F9" i="56" s="1"/>
  <c r="AD29" i="1"/>
  <c r="AB29" i="1"/>
  <c r="AA29" i="1"/>
  <c r="Y29" i="1"/>
  <c r="W29" i="1"/>
  <c r="U29" i="1"/>
  <c r="S29" i="1"/>
  <c r="Q29" i="1"/>
  <c r="O29" i="1"/>
  <c r="M29" i="1"/>
  <c r="G29" i="1"/>
  <c r="D29" i="1"/>
  <c r="AG41" i="1"/>
  <c r="G9" i="56" s="1"/>
  <c r="E43" i="1"/>
  <c r="H43" i="1"/>
  <c r="W43" i="1"/>
  <c r="AB43" i="1"/>
  <c r="AE43" i="1"/>
  <c r="AG37" i="1"/>
  <c r="AG38" i="1"/>
  <c r="AG39" i="1"/>
  <c r="AG43" i="95"/>
  <c r="AG42" i="95"/>
  <c r="AG41" i="83"/>
  <c r="AG42" i="106"/>
  <c r="S50" i="1"/>
  <c r="AG55" i="1"/>
  <c r="G11" i="56" s="1"/>
  <c r="AG53" i="1"/>
  <c r="AG54" i="1"/>
  <c r="F11" i="56" s="1"/>
  <c r="AG51" i="1"/>
  <c r="Z50" i="1"/>
  <c r="I43" i="1"/>
  <c r="AG4" i="1" l="1"/>
  <c r="L45" i="56"/>
  <c r="F10" i="56"/>
  <c r="H10" i="56" s="1"/>
  <c r="T8" i="1"/>
  <c r="T86" i="1" s="1"/>
  <c r="T89" i="1" s="1"/>
  <c r="E4" i="56"/>
  <c r="AI2" i="1"/>
  <c r="G12" i="56"/>
  <c r="H12" i="56" s="1"/>
  <c r="AI37" i="1"/>
  <c r="P8" i="1"/>
  <c r="P86" i="1" s="1"/>
  <c r="J86" i="1"/>
  <c r="B15" i="56"/>
  <c r="I15" i="56" s="1"/>
  <c r="L15" i="56"/>
  <c r="B14" i="56"/>
  <c r="L30" i="56" s="1"/>
  <c r="L14" i="56"/>
  <c r="L10" i="56"/>
  <c r="AF86" i="1"/>
  <c r="B10" i="56"/>
  <c r="L26" i="56" s="1"/>
  <c r="E13" i="56"/>
  <c r="C8" i="1"/>
  <c r="C86" i="1" s="1"/>
  <c r="H7" i="56"/>
  <c r="AG5" i="1"/>
  <c r="K8" i="1"/>
  <c r="K86" i="1" s="1"/>
  <c r="AG36" i="1"/>
  <c r="E9" i="56"/>
  <c r="AG29" i="1"/>
  <c r="L38" i="56"/>
  <c r="E8" i="56"/>
  <c r="E7" i="56"/>
  <c r="L7" i="56" s="1"/>
  <c r="L37" i="56"/>
  <c r="H6" i="56"/>
  <c r="Q86" i="1"/>
  <c r="Q89" i="1" s="1"/>
  <c r="L41" i="56"/>
  <c r="V86" i="1"/>
  <c r="Z86" i="1"/>
  <c r="X86" i="1"/>
  <c r="AG50" i="1"/>
  <c r="F86" i="1"/>
  <c r="AG43" i="1"/>
  <c r="G13" i="56"/>
  <c r="L44" i="56" s="1"/>
  <c r="L86" i="1"/>
  <c r="E6" i="56"/>
  <c r="L6" i="56" s="1"/>
  <c r="M86" i="1"/>
  <c r="O86" i="1"/>
  <c r="Y86" i="1"/>
  <c r="U86" i="1"/>
  <c r="D86" i="1"/>
  <c r="E86" i="1"/>
  <c r="R86" i="1"/>
  <c r="AB86" i="1"/>
  <c r="I86" i="1"/>
  <c r="E5" i="56"/>
  <c r="L5" i="56" s="1"/>
  <c r="G86" i="1"/>
  <c r="S86" i="1"/>
  <c r="W86" i="1"/>
  <c r="AC86" i="1"/>
  <c r="AE86" i="1"/>
  <c r="AA86" i="1"/>
  <c r="AD86" i="1"/>
  <c r="N86" i="1"/>
  <c r="AG64" i="1"/>
  <c r="AG58" i="1"/>
  <c r="E12" i="56" s="1"/>
  <c r="L43" i="56"/>
  <c r="H11" i="56"/>
  <c r="L36" i="56"/>
  <c r="L39" i="56"/>
  <c r="H5" i="56"/>
  <c r="H8" i="56"/>
  <c r="L42" i="56"/>
  <c r="AG57" i="1"/>
  <c r="AG52" i="1"/>
  <c r="E11" i="56" s="1"/>
  <c r="L11" i="56" s="1"/>
  <c r="L40" i="56"/>
  <c r="H9" i="56"/>
  <c r="D61" i="56" l="1"/>
  <c r="D31" i="56"/>
  <c r="F4" i="56"/>
  <c r="H4" i="56" s="1"/>
  <c r="B4" i="56"/>
  <c r="L50" i="56" s="1"/>
  <c r="F16" i="56"/>
  <c r="K61" i="56"/>
  <c r="L61" i="56"/>
  <c r="D46" i="56"/>
  <c r="K46" i="56"/>
  <c r="K31" i="56"/>
  <c r="L31" i="56"/>
  <c r="I14" i="56"/>
  <c r="L60" i="56"/>
  <c r="B12" i="56"/>
  <c r="I12" i="56" s="1"/>
  <c r="L12" i="56"/>
  <c r="L13" i="56"/>
  <c r="B8" i="56"/>
  <c r="L54" i="56" s="1"/>
  <c r="L8" i="56"/>
  <c r="B9" i="56"/>
  <c r="I9" i="56" s="1"/>
  <c r="L9" i="56"/>
  <c r="I4" i="56"/>
  <c r="D20" i="56" s="1"/>
  <c r="B5" i="56"/>
  <c r="L21" i="56" s="1"/>
  <c r="B6" i="56"/>
  <c r="L22" i="56" s="1"/>
  <c r="AG8" i="1"/>
  <c r="H13" i="56"/>
  <c r="H86" i="1"/>
  <c r="I10" i="56"/>
  <c r="L56" i="56"/>
  <c r="B7" i="56"/>
  <c r="I7" i="56" s="1"/>
  <c r="D23" i="56" s="1"/>
  <c r="I6" i="56"/>
  <c r="K22" i="56" s="1"/>
  <c r="I5" i="56"/>
  <c r="B13" i="56"/>
  <c r="L59" i="56" s="1"/>
  <c r="G16" i="56"/>
  <c r="AG71" i="1"/>
  <c r="E16" i="56"/>
  <c r="B11" i="56"/>
  <c r="L57" i="56" s="1"/>
  <c r="D58" i="56" l="1"/>
  <c r="D28" i="56"/>
  <c r="D60" i="56"/>
  <c r="D30" i="56"/>
  <c r="K26" i="56"/>
  <c r="D26" i="56"/>
  <c r="D55" i="56"/>
  <c r="D25" i="56"/>
  <c r="K36" i="56"/>
  <c r="D21" i="56"/>
  <c r="L35" i="56"/>
  <c r="L4" i="56"/>
  <c r="K45" i="56"/>
  <c r="D45" i="56"/>
  <c r="K30" i="56"/>
  <c r="K60" i="56"/>
  <c r="L51" i="56"/>
  <c r="D43" i="56"/>
  <c r="K43" i="56"/>
  <c r="K58" i="56"/>
  <c r="L58" i="56"/>
  <c r="K28" i="56"/>
  <c r="L28" i="56"/>
  <c r="L25" i="56"/>
  <c r="L55" i="56"/>
  <c r="I8" i="56"/>
  <c r="L24" i="56"/>
  <c r="L52" i="56"/>
  <c r="K20" i="56"/>
  <c r="K50" i="56"/>
  <c r="D50" i="56"/>
  <c r="I13" i="56"/>
  <c r="K56" i="56"/>
  <c r="D41" i="56"/>
  <c r="D56" i="56"/>
  <c r="K41" i="56"/>
  <c r="L53" i="56"/>
  <c r="L23" i="56"/>
  <c r="K23" i="56"/>
  <c r="K38" i="56"/>
  <c r="D38" i="56"/>
  <c r="D53" i="56"/>
  <c r="K53" i="56"/>
  <c r="D37" i="56"/>
  <c r="K52" i="56"/>
  <c r="K37" i="56"/>
  <c r="D22" i="56"/>
  <c r="D52" i="56"/>
  <c r="D51" i="56"/>
  <c r="K21" i="56"/>
  <c r="K51" i="56"/>
  <c r="D36" i="56"/>
  <c r="L29" i="56"/>
  <c r="L20" i="56"/>
  <c r="D35" i="56"/>
  <c r="K35" i="56"/>
  <c r="B16" i="56"/>
  <c r="L27" i="56"/>
  <c r="I11" i="56"/>
  <c r="D40" i="56"/>
  <c r="K25" i="56"/>
  <c r="K40" i="56"/>
  <c r="K55" i="56"/>
  <c r="D59" i="56" l="1"/>
  <c r="D29" i="56"/>
  <c r="D57" i="56"/>
  <c r="D27" i="56"/>
  <c r="D54" i="56"/>
  <c r="D24" i="56"/>
  <c r="K54" i="56"/>
  <c r="K24" i="56"/>
  <c r="K39" i="56"/>
  <c r="D39" i="56"/>
  <c r="K44" i="56"/>
  <c r="K29" i="56"/>
  <c r="D44" i="56"/>
  <c r="K59" i="56"/>
  <c r="D42" i="56"/>
  <c r="I17" i="56"/>
  <c r="J17" i="56" s="1"/>
  <c r="K42" i="56"/>
  <c r="I16" i="56"/>
  <c r="K57" i="56"/>
  <c r="K27" i="56"/>
  <c r="AG35" i="236" l="1"/>
</calcChain>
</file>

<file path=xl/sharedStrings.xml><?xml version="1.0" encoding="utf-8"?>
<sst xmlns="http://schemas.openxmlformats.org/spreadsheetml/2006/main" count="5262" uniqueCount="267">
  <si>
    <t xml:space="preserve">ENERO </t>
  </si>
  <si>
    <t>PAPEL 1</t>
  </si>
  <si>
    <t>PLASTICO 1</t>
  </si>
  <si>
    <t>BOLSA GRIS 1</t>
  </si>
  <si>
    <t>BOLSA VERDE 1</t>
  </si>
  <si>
    <t>BOLSA NEGRA 1</t>
  </si>
  <si>
    <t>ICOPOR 1</t>
  </si>
  <si>
    <t>FEBRERO</t>
  </si>
  <si>
    <t>PAPEL 2</t>
  </si>
  <si>
    <t>PLASTICO 2</t>
  </si>
  <si>
    <t>BOLSA GRIS 2</t>
  </si>
  <si>
    <t>BOLSA VERDE 2</t>
  </si>
  <si>
    <t>BOLSA NEGRA 2</t>
  </si>
  <si>
    <t>ICOPOR 2</t>
  </si>
  <si>
    <t>MARZO</t>
  </si>
  <si>
    <t>PAPEL 3</t>
  </si>
  <si>
    <t>PLASTICO 3</t>
  </si>
  <si>
    <t>BOLSA GRIS 3</t>
  </si>
  <si>
    <t>BOLSA VERDE 3</t>
  </si>
  <si>
    <t>BOLSA NEGRA 3</t>
  </si>
  <si>
    <t>ICOPOR 3</t>
  </si>
  <si>
    <t>ABRIL</t>
  </si>
  <si>
    <t>PAPEL 4</t>
  </si>
  <si>
    <t>PLASTICO 4</t>
  </si>
  <si>
    <t>BOLSA GRIS 4</t>
  </si>
  <si>
    <t>BOLSA VERDE 4</t>
  </si>
  <si>
    <t>BOLSA NEGRA 4</t>
  </si>
  <si>
    <t>ICOPOR 4</t>
  </si>
  <si>
    <t>MAYO</t>
  </si>
  <si>
    <t>PAPEL 5</t>
  </si>
  <si>
    <t>PLASTICO 5</t>
  </si>
  <si>
    <t>BOLSA GRIS 5</t>
  </si>
  <si>
    <t>BOLSA VERDE 5</t>
  </si>
  <si>
    <t>BOLSA NEGRA 5</t>
  </si>
  <si>
    <t>ICOPOR 5</t>
  </si>
  <si>
    <t>JUNIO</t>
  </si>
  <si>
    <t>PAPEL 6</t>
  </si>
  <si>
    <t>PLASTICO 6</t>
  </si>
  <si>
    <t>BOLSA GRIS 6</t>
  </si>
  <si>
    <t>BOLSA VERDE 6</t>
  </si>
  <si>
    <t>BOLSA NEGRA 6</t>
  </si>
  <si>
    <t>ICOPOR 6</t>
  </si>
  <si>
    <t>JULIO</t>
  </si>
  <si>
    <t>PAPEL 7</t>
  </si>
  <si>
    <t>PLASTICO 7</t>
  </si>
  <si>
    <t>BOLSA GRIS 7</t>
  </si>
  <si>
    <t>BOLSA VERDE 7</t>
  </si>
  <si>
    <t>BOLSA NEGRA 7</t>
  </si>
  <si>
    <t>ICOPOR 7</t>
  </si>
  <si>
    <t>PAPEL 8</t>
  </si>
  <si>
    <t>PLASTICO 8</t>
  </si>
  <si>
    <t>BOLSA GRIS 8</t>
  </si>
  <si>
    <t>BOLSA VERDE 8</t>
  </si>
  <si>
    <t>BOLSA NEGRA 8</t>
  </si>
  <si>
    <t>ICOPOR 8</t>
  </si>
  <si>
    <t>PAPEL 9</t>
  </si>
  <si>
    <t>PLASTICO 9</t>
  </si>
  <si>
    <t>BOLSA GRIS 9</t>
  </si>
  <si>
    <t>BOLSA VERDE 9</t>
  </si>
  <si>
    <t>BOLSA NEGRA 9</t>
  </si>
  <si>
    <t>ICOPOR 9</t>
  </si>
  <si>
    <t>AREAS O SERVICIO</t>
  </si>
  <si>
    <t>TOTAL * SECCION</t>
  </si>
  <si>
    <t>DOCENCIA UNIVERSITARIA</t>
  </si>
  <si>
    <t xml:space="preserve">CENTRAL DE MEZCLAS </t>
  </si>
  <si>
    <t>CIRUGIA GENERAL</t>
  </si>
  <si>
    <t>CONSULTA EXTERNA</t>
  </si>
  <si>
    <t>CONTRIBUTIVO</t>
  </si>
  <si>
    <t>ESPECIALIDADES QUIRURGICAS  (ORTOPEDIA)</t>
  </si>
  <si>
    <t xml:space="preserve">FARMACIA </t>
  </si>
  <si>
    <t>FINANZAS APOYO LOGOSTICO, R HUMANOS</t>
  </si>
  <si>
    <t>GINECOLOGIA</t>
  </si>
  <si>
    <t>HEMODIALISIS</t>
  </si>
  <si>
    <t>LAVANDERIA</t>
  </si>
  <si>
    <t>NEONATAL</t>
  </si>
  <si>
    <t>ONCOLOGIA</t>
  </si>
  <si>
    <t>SALA DE PARTOS</t>
  </si>
  <si>
    <t xml:space="preserve">PATOLOGIA </t>
  </si>
  <si>
    <t>QUIROFANO</t>
  </si>
  <si>
    <t>RAYOS X</t>
  </si>
  <si>
    <t>REHABILITACION</t>
  </si>
  <si>
    <t>UCI ADULTOS</t>
  </si>
  <si>
    <t>URGENCIAS</t>
  </si>
  <si>
    <t>BANCO DE LECHE-MADRE CANGURO</t>
  </si>
  <si>
    <t>CAFETERIA</t>
  </si>
  <si>
    <t>JARDINERIA</t>
  </si>
  <si>
    <t>NUTRICION</t>
  </si>
  <si>
    <t>CONTROL DIARIO DE RESIDUOS BOLSA GRIS</t>
  </si>
  <si>
    <t xml:space="preserve">GESTION AMBIENTAL </t>
  </si>
  <si>
    <t>MEDICINA INTERNA – ORTOPEDIA</t>
  </si>
  <si>
    <t>CONTROL.INTERNO DE GESTION.C DISCIPLINARIO, CALIDAD, SISTEMAS, TERAPIA RESPIRATORIA, PLANEACION</t>
  </si>
  <si>
    <t>ESPECIALIDADES QUINTO PISO – PENSION</t>
  </si>
  <si>
    <t>MANTENIMIENTO</t>
  </si>
  <si>
    <t>COORDINACION GIT, DOCENCIA UNIVERSITARIA, EPIDEMIOLOGIA,SEGURIDAD PACIENTE, BIBLIOTECA.</t>
  </si>
  <si>
    <t>ADMINISTRACION (SUBGERENCIA ADMINISTRATIVA, GERENCIA, TALENTO HUMANO, FIANANZAS)</t>
  </si>
  <si>
    <t>AGOSTO</t>
  </si>
  <si>
    <t>SEPTIEMBRE</t>
  </si>
  <si>
    <t>TOTAL</t>
  </si>
  <si>
    <t>OCTUBRE</t>
  </si>
  <si>
    <t>NOVIEMBRE</t>
  </si>
  <si>
    <t>DICIEMBRE</t>
  </si>
  <si>
    <t>CONTROL DIARIO DE RESIDUO DE PAPEL</t>
  </si>
  <si>
    <t>ENERO</t>
  </si>
  <si>
    <t>TOTAL_RESIDUOS</t>
  </si>
  <si>
    <t>TOTAL PELIGROSOS</t>
  </si>
  <si>
    <t>AUTO/TOT_PELI</t>
  </si>
  <si>
    <t>RES_AUTOCLAVE</t>
  </si>
  <si>
    <t>RES_INCINERACION</t>
  </si>
  <si>
    <t>RES_NO_PELIGROSO</t>
  </si>
  <si>
    <t>INCINERACION</t>
  </si>
  <si>
    <t>AUTOCLAVE</t>
  </si>
  <si>
    <t>NO_PELIGROSO</t>
  </si>
  <si>
    <t>RECICLAJE</t>
  </si>
  <si>
    <t>AUTO/TOT_RESIDUOS</t>
  </si>
  <si>
    <t>NO_PEL/TOT_RESIDUOS</t>
  </si>
  <si>
    <t>INCI/TOL_RESIDUOS</t>
  </si>
  <si>
    <t>RES_APROVECHAMIENTO</t>
  </si>
  <si>
    <t>INDICADOR</t>
  </si>
  <si>
    <t>APROVECHAMIENTO</t>
  </si>
  <si>
    <t>RES_RELLENO</t>
  </si>
  <si>
    <t>RELLENO</t>
  </si>
  <si>
    <t>RES_PELIGROSOS</t>
  </si>
  <si>
    <t>INCI/TOL_RES_PELI</t>
  </si>
  <si>
    <t>RES_RECICLABLE</t>
  </si>
  <si>
    <t>PAPEL 10</t>
  </si>
  <si>
    <t>PLASTICO 10</t>
  </si>
  <si>
    <t>BOLSA GRIS 10</t>
  </si>
  <si>
    <t>BOLSA VERDE 10</t>
  </si>
  <si>
    <t>BOLSA NEGRA 10</t>
  </si>
  <si>
    <t>ICOPOR 10</t>
  </si>
  <si>
    <t>INCI/TOL_RES_incinerados</t>
  </si>
  <si>
    <t>recicl/TOL_RESIDUOS</t>
  </si>
  <si>
    <t>recicl/TOL_RESIDUOS _no peli</t>
  </si>
  <si>
    <t>Residuos reciclables</t>
  </si>
  <si>
    <t>Aprovechamiento</t>
  </si>
  <si>
    <t>Residuos Tratados en Autoclave</t>
  </si>
  <si>
    <t>Residuos Incinerados</t>
  </si>
  <si>
    <t>Residuos Relleno</t>
  </si>
  <si>
    <t xml:space="preserve">Capacitacion </t>
  </si>
  <si>
    <t xml:space="preserve">Segregacion </t>
  </si>
  <si>
    <t xml:space="preserve">Control de Plagas </t>
  </si>
  <si>
    <t>Encuesta Limpieza y Desinfeccion</t>
  </si>
  <si>
    <t>Disposición Adecuada de Residuos Peligrosos</t>
  </si>
  <si>
    <t>Areas Verdes</t>
  </si>
  <si>
    <t xml:space="preserve">Consumo de Energia </t>
  </si>
  <si>
    <t>Consumo de Agua</t>
  </si>
  <si>
    <t>Numero de trabajadores expuestos a radicacion ionizante</t>
  </si>
  <si>
    <t xml:space="preserve">promedio </t>
  </si>
  <si>
    <t>este queda en 100%</t>
  </si>
  <si>
    <t>AUDITORIO QUINTO PISO</t>
  </si>
  <si>
    <t>FACTURACION, CENTRAL, ARCHIVO</t>
  </si>
  <si>
    <t xml:space="preserve">GERENCIA ADMINISTRATIVA </t>
  </si>
  <si>
    <t>CUARTOS MEDICOS</t>
  </si>
  <si>
    <t>LABORATORIOBANCO DE SANGRE</t>
  </si>
  <si>
    <t>REFUERZO</t>
  </si>
  <si>
    <t xml:space="preserve">TOTAL </t>
  </si>
  <si>
    <t>CONTROL DIARIO DE RESIDUOS DE PLASTICO</t>
  </si>
  <si>
    <t>CONTROL DIARIO DE RESIDUOS BOLSA NEGRA</t>
  </si>
  <si>
    <t>CONTROL DIARIO DE RESIDUOS BOLSA VERDES</t>
  </si>
  <si>
    <t>CONTROL DIARIO DE RESIDUOS DE ICOPOR</t>
  </si>
  <si>
    <t>PAPEL 11</t>
  </si>
  <si>
    <t>PLASTICO 11</t>
  </si>
  <si>
    <t>BOLSA GRIS 11</t>
  </si>
  <si>
    <t>BOLSA VERDE 11</t>
  </si>
  <si>
    <t>BOLSA NEGRA 11</t>
  </si>
  <si>
    <t>ICOPOR 11</t>
  </si>
  <si>
    <t>PAPEL 12</t>
  </si>
  <si>
    <t>PLASTICO 12</t>
  </si>
  <si>
    <t>BOLSA GRIS 12</t>
  </si>
  <si>
    <t>BOLSA VERDE 12</t>
  </si>
  <si>
    <t>BOLSA NEGRA 12</t>
  </si>
  <si>
    <t>ICOPOR 12</t>
  </si>
  <si>
    <t>PROMEDIO</t>
  </si>
  <si>
    <t>4+4,3</t>
  </si>
  <si>
    <t>4,,8</t>
  </si>
  <si>
    <t>,9,</t>
  </si>
  <si>
    <t>4,8+4,6+5,8</t>
  </si>
  <si>
    <t>10+7,6+9,8</t>
  </si>
  <si>
    <t>CENTRAL DE ESTERILIZACION</t>
  </si>
  <si>
    <t xml:space="preserve">CENTRAL DE ESTERILIZACION </t>
  </si>
  <si>
    <t>1,,3</t>
  </si>
  <si>
    <t>ORDINARIOS</t>
  </si>
  <si>
    <t>,</t>
  </si>
  <si>
    <t>1,8/</t>
  </si>
  <si>
    <t>2,,3</t>
  </si>
  <si>
    <t>CONTROL DIARIO DE RESIDUO ORGANICOS</t>
  </si>
  <si>
    <t>CONTROL DIARIO DE RESIDUO DE PLASTICO</t>
  </si>
  <si>
    <t>CONTROL DIARIO DE RESIDUO DE GRIS</t>
  </si>
  <si>
    <t>CONTROL DIARIO DE RESIDUO DE VERDE</t>
  </si>
  <si>
    <t>2,2+2,1</t>
  </si>
  <si>
    <t>1,,2</t>
  </si>
  <si>
    <t>2,,9</t>
  </si>
  <si>
    <t>AREAS O SERVICIOS</t>
  </si>
  <si>
    <t>BANCO DE SANGRE- SERVICIO TRANSFUCIONAL</t>
  </si>
  <si>
    <t>LABORATORIO</t>
  </si>
  <si>
    <t>LABORATORIOB</t>
  </si>
  <si>
    <t>2,9/2</t>
  </si>
  <si>
    <t>3,5,</t>
  </si>
  <si>
    <t>1,,4</t>
  </si>
  <si>
    <t>1,,1</t>
  </si>
  <si>
    <t>3,,1</t>
  </si>
  <si>
    <t>2,,,8</t>
  </si>
  <si>
    <t>6,,6</t>
  </si>
  <si>
    <t>,1,1</t>
  </si>
  <si>
    <t>,7,</t>
  </si>
  <si>
    <t>,,3</t>
  </si>
  <si>
    <t>,,9</t>
  </si>
  <si>
    <t>2,7+1,9+1</t>
  </si>
  <si>
    <t>,,4</t>
  </si>
  <si>
    <t>CONTROL DIARIO DE RESIDUOS DE PAPEL</t>
  </si>
  <si>
    <t>3.2</t>
  </si>
  <si>
    <t>6.3</t>
  </si>
  <si>
    <t>5.9</t>
  </si>
  <si>
    <t>6.4</t>
  </si>
  <si>
    <t>7.4</t>
  </si>
  <si>
    <t>6.2</t>
  </si>
  <si>
    <t>3,63,9</t>
  </si>
  <si>
    <t>9.7</t>
  </si>
  <si>
    <t>|,5</t>
  </si>
  <si>
    <t>CONTROL DIARIO DE RESIDUOS BOLSA AZUL</t>
  </si>
  <si>
    <t>CONTROL DIARIO DE RESIDUOS BOLSA VERDE</t>
  </si>
  <si>
    <t>5.5</t>
  </si>
  <si>
    <t xml:space="preserve"> </t>
  </si>
  <si>
    <t xml:space="preserve">  *</t>
  </si>
  <si>
    <t xml:space="preserve">HEMODIALISIS </t>
  </si>
  <si>
    <t xml:space="preserve"> ORTOPEDIA</t>
  </si>
  <si>
    <t>HEMODIALISIS Y UCI INTERMEDIO</t>
  </si>
  <si>
    <t xml:space="preserve">MEDICINA INTERNA </t>
  </si>
  <si>
    <t>– ORTOPEDIA</t>
  </si>
  <si>
    <t>MANTENIMIENTO archivo</t>
  </si>
  <si>
    <t>CONSULTA EXTERNA urgencias</t>
  </si>
  <si>
    <t xml:space="preserve">MEDICINA INTERNA – </t>
  </si>
  <si>
    <t>ORTOPEDIA</t>
  </si>
  <si>
    <t>ARCHIVO CENTRAL Y FACTURACION</t>
  </si>
  <si>
    <t>apro</t>
  </si>
  <si>
    <t xml:space="preserve">ORTOPEDIA -MEDICINA INTERNA </t>
  </si>
  <si>
    <t>ORTOPEDIA  - MEDICINA INTERNA</t>
  </si>
  <si>
    <t>MEDICINA INTERNA - ORTOPEDIA</t>
  </si>
  <si>
    <t>ORTOPEDIA - MEDICINA INTERNA</t>
  </si>
  <si>
    <t>BANCO DE SANGRE - SERVICIO TRASNFUSI</t>
  </si>
  <si>
    <t>FACTURACION - ARCHIVO CENTRAL</t>
  </si>
  <si>
    <t>SERVICIO TRASNFUSIONAL - BANCO SANGRE</t>
  </si>
  <si>
    <t>BANCO DE SANGRE- SERVICIO TRASNFUSIONAL</t>
  </si>
  <si>
    <t>LABORATORIO BANCO DE SANGRE</t>
  </si>
  <si>
    <t xml:space="preserve">LABORATORIO </t>
  </si>
  <si>
    <t>BANCO DE SANGRE -SERVICIO TRASNFUSIONAL</t>
  </si>
  <si>
    <t>BANCO DE SANGRE - SERVICIO TRASNFUSIONAL</t>
  </si>
  <si>
    <t>SERVICIO TRANSFUSIONAL - BANCO DE SANGRE</t>
  </si>
  <si>
    <t>SERVICIO TRASNFUSIONAL - BANCO DE SANGRE</t>
  </si>
  <si>
    <t>BANCO DE SANGRE</t>
  </si>
  <si>
    <t>INDICE MESES 2022</t>
  </si>
  <si>
    <t>CENTRAL DE GASES</t>
  </si>
  <si>
    <t>MEDICINA INTERNA –ORTOPEDIA</t>
  </si>
  <si>
    <t>CONTROL DIARIO DE RESIDUOS BOLSA BLANCA</t>
  </si>
  <si>
    <t xml:space="preserve">    </t>
  </si>
  <si>
    <t>ESTADISTICA</t>
  </si>
  <si>
    <t>MES 2023</t>
  </si>
  <si>
    <t>MEDICINA INTERNA –</t>
  </si>
  <si>
    <t>CONSULTA EXTERNA 1eer piso</t>
  </si>
  <si>
    <t>CONSULTA EXTERNA 2do piso</t>
  </si>
  <si>
    <t>–ORTOPEDIA</t>
  </si>
  <si>
    <t>0,,3</t>
  </si>
  <si>
    <t>0,18+1,05+0,8</t>
  </si>
  <si>
    <t xml:space="preserve">CONSULTA EXTERNA 2 PISO </t>
  </si>
  <si>
    <t>CONSULTA EXTERNA 2 PISO</t>
  </si>
  <si>
    <t>UCI INTERMEDIO</t>
  </si>
  <si>
    <t xml:space="preserve">UCI ADULTOS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</si>
</sst>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37" x14ac:knownFonts="1">
    <font>
      <sz val="11"/>
      <color indexed="8"/>
      <name val="Calibri"/>
      <family val="2"/>
    </font>
    <font>
      <b/>
      <sz val="24"/>
      <color indexed="8"/>
      <name val="Calibri"/>
      <family val="2"/>
    </font>
    <font>
      <sz val="18"/>
      <color indexed="8"/>
      <name val="Calibri"/>
      <family val="2"/>
    </font>
    <font>
      <sz val="12"/>
      <color indexed="8"/>
      <name val="Calibri"/>
      <family val="2"/>
    </font>
    <font>
      <sz val="10"/>
      <color indexed="63"/>
      <name val="Calibri"/>
      <family val="2"/>
    </font>
    <font>
      <i/>
      <sz val="10"/>
      <color indexed="23"/>
      <name val="Calibri"/>
      <family val="2"/>
    </font>
    <font>
      <sz val="10"/>
      <color indexed="58"/>
      <name val="Calibri"/>
      <family val="2"/>
    </font>
    <font>
      <sz val="10"/>
      <color indexed="19"/>
      <name val="Calibri"/>
      <family val="2"/>
    </font>
    <font>
      <sz val="10"/>
      <color indexed="10"/>
      <name val="Calibri"/>
      <family val="2"/>
    </font>
    <font>
      <b/>
      <sz val="10"/>
      <color indexed="9"/>
      <name val="Calibri"/>
      <family val="2"/>
    </font>
    <font>
      <b/>
      <sz val="10"/>
      <color indexed="8"/>
      <name val="Calibri"/>
      <family val="2"/>
    </font>
    <font>
      <sz val="10"/>
      <color indexed="9"/>
      <name val="Calibri"/>
      <family val="2"/>
    </font>
    <font>
      <u/>
      <sz val="11"/>
      <color indexed="12"/>
      <name val="Calibri"/>
      <family val="2"/>
    </font>
    <font>
      <b/>
      <sz val="11"/>
      <color indexed="8"/>
      <name val="Calibri"/>
      <family val="2"/>
    </font>
    <font>
      <b/>
      <sz val="16"/>
      <color indexed="8"/>
      <name val="Calibri"/>
      <family val="2"/>
    </font>
    <font>
      <b/>
      <sz val="14"/>
      <color indexed="8"/>
      <name val="Calibri"/>
      <family val="2"/>
    </font>
    <font>
      <sz val="10"/>
      <color indexed="8"/>
      <name val="Calibri"/>
      <family val="2"/>
    </font>
    <font>
      <sz val="11"/>
      <color indexed="8"/>
      <name val="Calibri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sz val="16"/>
      <color indexed="8"/>
      <name val="Calibri"/>
      <family val="2"/>
    </font>
    <font>
      <sz val="16"/>
      <name val="Calibri"/>
      <family val="2"/>
    </font>
    <font>
      <sz val="14"/>
      <color indexed="8"/>
      <name val="Franklin Gothic Medium"/>
      <family val="2"/>
    </font>
    <font>
      <sz val="12"/>
      <name val="Franklin Gothic Medium"/>
      <family val="2"/>
    </font>
    <font>
      <sz val="10"/>
      <name val="Franklin Gothic Medium"/>
      <family val="2"/>
    </font>
    <font>
      <sz val="8"/>
      <color indexed="8"/>
      <name val="Calibri"/>
      <family val="2"/>
    </font>
    <font>
      <sz val="8"/>
      <name val="Franklin Gothic Medium"/>
      <family val="2"/>
    </font>
    <font>
      <sz val="12"/>
      <name val="Calibri"/>
      <family val="2"/>
    </font>
    <font>
      <sz val="11"/>
      <name val="Franklin Gothic Medium"/>
      <family val="2"/>
    </font>
    <font>
      <sz val="10"/>
      <name val="Calibri"/>
      <family val="2"/>
    </font>
    <font>
      <sz val="11"/>
      <color indexed="8"/>
      <name val="Franklin Gothic Medium"/>
      <family val="2"/>
    </font>
    <font>
      <b/>
      <sz val="22"/>
      <color indexed="8"/>
      <name val="Calibri"/>
      <family val="2"/>
    </font>
    <font>
      <sz val="10"/>
      <color indexed="8"/>
      <name val="Franklin Gothic Medium"/>
      <family val="2"/>
    </font>
    <font>
      <sz val="9"/>
      <name val="Franklin Gothic Medium"/>
      <family val="2"/>
    </font>
    <font>
      <sz val="14"/>
      <color indexed="8"/>
      <name val="Calibri"/>
      <family val="2"/>
    </font>
    <font>
      <sz val="16"/>
      <name val="Franklin Gothic Medium"/>
      <family val="2"/>
    </font>
    <font>
      <sz val="16"/>
      <color indexed="8"/>
      <name val="Franklin Gothic Medium"/>
      <family val="2"/>
    </font>
  </fonts>
  <fills count="25">
    <fill>
      <patternFill patternType="none"/>
    </fill>
    <fill>
      <patternFill patternType="gray125"/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47"/>
        <bgColor indexed="31"/>
      </patternFill>
    </fill>
    <fill>
      <patternFill patternType="solid">
        <fgColor indexed="10"/>
        <bgColor indexed="16"/>
      </patternFill>
    </fill>
    <fill>
      <patternFill patternType="solid">
        <fgColor indexed="42"/>
        <bgColor indexed="27"/>
      </patternFill>
    </fill>
    <fill>
      <patternFill patternType="solid">
        <fgColor indexed="26"/>
        <bgColor indexed="9"/>
      </patternFill>
    </fill>
    <fill>
      <patternFill patternType="solid">
        <fgColor indexed="51"/>
        <bgColor indexed="13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indexed="13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3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9">
    <xf numFmtId="0" fontId="0" fillId="0" borderId="0"/>
    <xf numFmtId="0" fontId="10" fillId="0" borderId="0" applyNumberForma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0" fillId="4" borderId="0" applyNumberFormat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5" fillId="0" borderId="0" applyNumberFormat="0" applyFill="0" applyBorder="0" applyAlignment="0" applyProtection="0"/>
    <xf numFmtId="0" fontId="6" fillId="7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7" fillId="8" borderId="0" applyNumberFormat="0" applyBorder="0" applyAlignment="0" applyProtection="0"/>
    <xf numFmtId="0" fontId="4" fillId="8" borderId="1" applyNumberFormat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17" fillId="0" borderId="0" applyFont="0" applyFill="0" applyBorder="0" applyAlignment="0" applyProtection="0"/>
  </cellStyleXfs>
  <cellXfs count="226">
    <xf numFmtId="0" fontId="0" fillId="0" borderId="0" xfId="0"/>
    <xf numFmtId="0" fontId="0" fillId="0" borderId="0" xfId="0" applyAlignment="1">
      <alignment horizontal="center"/>
    </xf>
    <xf numFmtId="0" fontId="0" fillId="0" borderId="0" xfId="0" applyFill="1"/>
    <xf numFmtId="0" fontId="0" fillId="0" borderId="7" xfId="0" applyBorder="1"/>
    <xf numFmtId="0" fontId="0" fillId="11" borderId="0" xfId="0" applyFill="1"/>
    <xf numFmtId="0" fontId="16" fillId="0" borderId="0" xfId="0" applyFont="1" applyFill="1" applyAlignment="1">
      <alignment vertical="center" wrapText="1"/>
    </xf>
    <xf numFmtId="0" fontId="16" fillId="0" borderId="0" xfId="0" applyFont="1" applyAlignment="1">
      <alignment vertical="center" wrapText="1"/>
    </xf>
    <xf numFmtId="0" fontId="0" fillId="0" borderId="7" xfId="0" applyFill="1" applyBorder="1"/>
    <xf numFmtId="0" fontId="0" fillId="11" borderId="7" xfId="0" applyFill="1" applyBorder="1"/>
    <xf numFmtId="0" fontId="0" fillId="0" borderId="10" xfId="0" applyFill="1" applyBorder="1"/>
    <xf numFmtId="0" fontId="0" fillId="0" borderId="10" xfId="0" applyBorder="1"/>
    <xf numFmtId="0" fontId="16" fillId="11" borderId="7" xfId="0" applyFont="1" applyFill="1" applyBorder="1" applyAlignment="1">
      <alignment vertical="center" wrapText="1"/>
    </xf>
    <xf numFmtId="0" fontId="18" fillId="0" borderId="7" xfId="12" applyNumberFormat="1" applyFont="1" applyFill="1" applyBorder="1" applyAlignment="1" applyProtection="1"/>
    <xf numFmtId="10" fontId="0" fillId="0" borderId="0" xfId="18" applyNumberFormat="1" applyFont="1" applyFill="1"/>
    <xf numFmtId="0" fontId="0" fillId="0" borderId="0" xfId="0" applyFill="1" applyAlignment="1">
      <alignment horizontal="center"/>
    </xf>
    <xf numFmtId="9" fontId="0" fillId="0" borderId="0" xfId="18" applyFont="1"/>
    <xf numFmtId="0" fontId="0" fillId="15" borderId="7" xfId="0" applyFill="1" applyBorder="1"/>
    <xf numFmtId="10" fontId="0" fillId="0" borderId="7" xfId="18" applyNumberFormat="1" applyFont="1" applyFill="1" applyBorder="1"/>
    <xf numFmtId="9" fontId="0" fillId="0" borderId="7" xfId="18" applyFont="1" applyBorder="1"/>
    <xf numFmtId="0" fontId="0" fillId="13" borderId="7" xfId="0" applyFill="1" applyBorder="1"/>
    <xf numFmtId="0" fontId="0" fillId="10" borderId="7" xfId="0" applyFill="1" applyBorder="1"/>
    <xf numFmtId="0" fontId="0" fillId="16" borderId="7" xfId="0" applyFill="1" applyBorder="1"/>
    <xf numFmtId="0" fontId="18" fillId="10" borderId="7" xfId="0" applyFont="1" applyFill="1" applyBorder="1"/>
    <xf numFmtId="9" fontId="0" fillId="0" borderId="7" xfId="18" applyFont="1" applyFill="1" applyBorder="1"/>
    <xf numFmtId="0" fontId="13" fillId="0" borderId="0" xfId="0" applyFont="1" applyFill="1" applyBorder="1" applyAlignment="1"/>
    <xf numFmtId="9" fontId="0" fillId="0" borderId="0" xfId="18" applyFont="1" applyFill="1"/>
    <xf numFmtId="0" fontId="19" fillId="14" borderId="0" xfId="0" applyFont="1" applyFill="1"/>
    <xf numFmtId="0" fontId="19" fillId="14" borderId="0" xfId="0" applyFont="1" applyFill="1" applyBorder="1"/>
    <xf numFmtId="0" fontId="0" fillId="15" borderId="7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0" xfId="0" applyAlignment="1">
      <alignment wrapText="1"/>
    </xf>
    <xf numFmtId="0" fontId="0" fillId="0" borderId="7" xfId="0" applyFill="1" applyBorder="1" applyAlignment="1">
      <alignment wrapText="1"/>
    </xf>
    <xf numFmtId="9" fontId="19" fillId="0" borderId="0" xfId="18" applyFont="1" applyFill="1"/>
    <xf numFmtId="0" fontId="0" fillId="0" borderId="0" xfId="0" applyAlignment="1">
      <alignment horizontal="center" vertical="center" wrapText="1"/>
    </xf>
    <xf numFmtId="9" fontId="0" fillId="0" borderId="0" xfId="0" applyNumberFormat="1" applyAlignment="1">
      <alignment horizontal="center" vertical="center" wrapText="1"/>
    </xf>
    <xf numFmtId="10" fontId="0" fillId="0" borderId="0" xfId="0" applyNumberFormat="1" applyAlignment="1">
      <alignment horizontal="center" vertical="center" wrapText="1"/>
    </xf>
    <xf numFmtId="0" fontId="0" fillId="0" borderId="0" xfId="0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/>
    </xf>
    <xf numFmtId="9" fontId="0" fillId="0" borderId="0" xfId="0" applyNumberFormat="1" applyFill="1" applyAlignment="1">
      <alignment horizontal="center"/>
    </xf>
    <xf numFmtId="9" fontId="0" fillId="17" borderId="0" xfId="0" applyNumberFormat="1" applyFill="1"/>
    <xf numFmtId="0" fontId="14" fillId="0" borderId="0" xfId="0" applyFont="1" applyFill="1" applyBorder="1" applyAlignment="1"/>
    <xf numFmtId="0" fontId="10" fillId="0" borderId="7" xfId="0" applyFont="1" applyFill="1" applyBorder="1" applyAlignment="1">
      <alignment wrapText="1"/>
    </xf>
    <xf numFmtId="0" fontId="20" fillId="0" borderId="0" xfId="0" applyFont="1" applyFill="1"/>
    <xf numFmtId="0" fontId="14" fillId="0" borderId="7" xfId="0" applyFont="1" applyFill="1" applyBorder="1" applyAlignment="1">
      <alignment horizontal="center"/>
    </xf>
    <xf numFmtId="0" fontId="14" fillId="0" borderId="7" xfId="0" applyFont="1" applyFill="1" applyBorder="1" applyAlignment="1"/>
    <xf numFmtId="4" fontId="14" fillId="0" borderId="0" xfId="0" applyNumberFormat="1" applyFont="1" applyFill="1" applyBorder="1" applyAlignment="1">
      <alignment wrapText="1"/>
    </xf>
    <xf numFmtId="4" fontId="14" fillId="0" borderId="0" xfId="0" applyNumberFormat="1" applyFont="1" applyFill="1" applyBorder="1"/>
    <xf numFmtId="0" fontId="20" fillId="0" borderId="7" xfId="0" applyFont="1" applyFill="1" applyBorder="1" applyAlignment="1">
      <alignment horizontal="center"/>
    </xf>
    <xf numFmtId="165" fontId="20" fillId="0" borderId="7" xfId="0" applyNumberFormat="1" applyFont="1" applyFill="1" applyBorder="1" applyAlignment="1">
      <alignment horizontal="center"/>
    </xf>
    <xf numFmtId="164" fontId="20" fillId="0" borderId="7" xfId="0" applyNumberFormat="1" applyFont="1" applyFill="1" applyBorder="1" applyAlignment="1">
      <alignment horizontal="center"/>
    </xf>
    <xf numFmtId="0" fontId="20" fillId="0" borderId="7" xfId="0" applyFont="1" applyFill="1" applyBorder="1"/>
    <xf numFmtId="164" fontId="20" fillId="0" borderId="7" xfId="0" applyNumberFormat="1" applyFont="1" applyFill="1" applyBorder="1"/>
    <xf numFmtId="4" fontId="20" fillId="0" borderId="7" xfId="0" applyNumberFormat="1" applyFont="1" applyFill="1" applyBorder="1"/>
    <xf numFmtId="0" fontId="21" fillId="0" borderId="7" xfId="0" applyFont="1" applyFill="1" applyBorder="1"/>
    <xf numFmtId="164" fontId="14" fillId="0" borderId="7" xfId="0" applyNumberFormat="1" applyFont="1" applyFill="1" applyBorder="1"/>
    <xf numFmtId="4" fontId="20" fillId="0" borderId="0" xfId="0" applyNumberFormat="1" applyFont="1" applyFill="1" applyBorder="1"/>
    <xf numFmtId="0" fontId="15" fillId="0" borderId="7" xfId="0" applyFont="1" applyFill="1" applyBorder="1" applyAlignment="1">
      <alignment wrapText="1"/>
    </xf>
    <xf numFmtId="0" fontId="22" fillId="0" borderId="7" xfId="0" applyFont="1" applyFill="1" applyBorder="1" applyAlignment="1">
      <alignment horizontal="left" wrapText="1"/>
    </xf>
    <xf numFmtId="0" fontId="23" fillId="0" borderId="7" xfId="0" applyFont="1" applyFill="1" applyBorder="1" applyAlignment="1">
      <alignment horizontal="left" wrapText="1"/>
    </xf>
    <xf numFmtId="0" fontId="23" fillId="0" borderId="7" xfId="0" applyFont="1" applyFill="1" applyBorder="1" applyAlignment="1">
      <alignment wrapText="1"/>
    </xf>
    <xf numFmtId="0" fontId="24" fillId="0" borderId="7" xfId="0" applyFont="1" applyFill="1" applyBorder="1" applyAlignment="1">
      <alignment horizontal="left" wrapText="1"/>
    </xf>
    <xf numFmtId="0" fontId="24" fillId="0" borderId="7" xfId="0" applyFont="1" applyFill="1" applyBorder="1" applyAlignment="1">
      <alignment horizontal="left" vertical="top" wrapText="1"/>
    </xf>
    <xf numFmtId="0" fontId="18" fillId="11" borderId="7" xfId="0" applyFont="1" applyFill="1" applyBorder="1"/>
    <xf numFmtId="0" fontId="18" fillId="11" borderId="11" xfId="0" applyFont="1" applyFill="1" applyBorder="1"/>
    <xf numFmtId="0" fontId="18" fillId="0" borderId="7" xfId="0" applyFont="1" applyFill="1" applyBorder="1"/>
    <xf numFmtId="0" fontId="25" fillId="18" borderId="4" xfId="0" applyFont="1" applyFill="1" applyBorder="1" applyAlignment="1">
      <alignment horizontal="center" vertical="center" wrapText="1"/>
    </xf>
    <xf numFmtId="0" fontId="26" fillId="18" borderId="7" xfId="0" applyFont="1" applyFill="1" applyBorder="1" applyAlignment="1">
      <alignment horizontal="center" vertical="center" wrapText="1"/>
    </xf>
    <xf numFmtId="0" fontId="18" fillId="9" borderId="3" xfId="12" applyNumberFormat="1" applyFont="1" applyFill="1" applyBorder="1" applyAlignment="1" applyProtection="1"/>
    <xf numFmtId="164" fontId="3" fillId="0" borderId="7" xfId="0" applyNumberFormat="1" applyFont="1" applyFill="1" applyBorder="1" applyAlignment="1">
      <alignment horizontal="center"/>
    </xf>
    <xf numFmtId="0" fontId="18" fillId="13" borderId="7" xfId="0" applyFont="1" applyFill="1" applyBorder="1"/>
    <xf numFmtId="0" fontId="18" fillId="16" borderId="7" xfId="0" applyFont="1" applyFill="1" applyBorder="1"/>
    <xf numFmtId="0" fontId="15" fillId="0" borderId="7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165" fontId="3" fillId="0" borderId="7" xfId="0" applyNumberFormat="1" applyFont="1" applyFill="1" applyBorder="1" applyAlignment="1">
      <alignment horizontal="center"/>
    </xf>
    <xf numFmtId="0" fontId="3" fillId="0" borderId="7" xfId="0" applyFont="1" applyFill="1" applyBorder="1"/>
    <xf numFmtId="0" fontId="27" fillId="0" borderId="7" xfId="0" applyFont="1" applyFill="1" applyBorder="1"/>
    <xf numFmtId="0" fontId="28" fillId="0" borderId="7" xfId="0" applyFont="1" applyFill="1" applyBorder="1" applyAlignment="1">
      <alignment horizontal="left" vertical="top" wrapText="1"/>
    </xf>
    <xf numFmtId="0" fontId="28" fillId="0" borderId="7" xfId="0" applyFont="1" applyFill="1" applyBorder="1" applyAlignment="1">
      <alignment horizontal="left" wrapText="1"/>
    </xf>
    <xf numFmtId="0" fontId="28" fillId="0" borderId="7" xfId="0" applyFont="1" applyFill="1" applyBorder="1" applyAlignment="1">
      <alignment wrapText="1"/>
    </xf>
    <xf numFmtId="0" fontId="23" fillId="0" borderId="7" xfId="0" applyFont="1" applyFill="1" applyBorder="1" applyAlignment="1">
      <alignment horizontal="left" vertical="top" wrapText="1"/>
    </xf>
    <xf numFmtId="0" fontId="15" fillId="0" borderId="7" xfId="0" applyFont="1" applyFill="1" applyBorder="1" applyAlignment="1"/>
    <xf numFmtId="164" fontId="15" fillId="0" borderId="7" xfId="0" applyNumberFormat="1" applyFont="1" applyFill="1" applyBorder="1"/>
    <xf numFmtId="164" fontId="14" fillId="0" borderId="7" xfId="0" applyNumberFormat="1" applyFont="1" applyFill="1" applyBorder="1" applyAlignment="1"/>
    <xf numFmtId="0" fontId="0" fillId="0" borderId="7" xfId="0" applyFont="1" applyFill="1" applyBorder="1" applyAlignment="1">
      <alignment horizontal="center"/>
    </xf>
    <xf numFmtId="165" fontId="0" fillId="0" borderId="7" xfId="0" applyNumberFormat="1" applyFont="1" applyFill="1" applyBorder="1" applyAlignment="1">
      <alignment horizontal="center"/>
    </xf>
    <xf numFmtId="164" fontId="0" fillId="0" borderId="7" xfId="0" applyNumberFormat="1" applyFont="1" applyFill="1" applyBorder="1" applyAlignment="1">
      <alignment horizontal="center"/>
    </xf>
    <xf numFmtId="0" fontId="0" fillId="0" borderId="7" xfId="0" applyFont="1" applyFill="1" applyBorder="1"/>
    <xf numFmtId="164" fontId="0" fillId="0" borderId="7" xfId="0" applyNumberFormat="1" applyFont="1" applyFill="1" applyBorder="1"/>
    <xf numFmtId="4" fontId="0" fillId="0" borderId="7" xfId="0" applyNumberFormat="1" applyFont="1" applyFill="1" applyBorder="1"/>
    <xf numFmtId="0" fontId="0" fillId="0" borderId="0" xfId="0" applyFont="1" applyFill="1"/>
    <xf numFmtId="0" fontId="10" fillId="0" borderId="7" xfId="0" applyFont="1" applyFill="1" applyBorder="1" applyAlignment="1">
      <alignment horizontal="center"/>
    </xf>
    <xf numFmtId="0" fontId="16" fillId="0" borderId="7" xfId="0" applyFont="1" applyFill="1" applyBorder="1" applyAlignment="1">
      <alignment horizontal="center"/>
    </xf>
    <xf numFmtId="165" fontId="16" fillId="0" borderId="7" xfId="0" applyNumberFormat="1" applyFont="1" applyFill="1" applyBorder="1" applyAlignment="1">
      <alignment horizontal="center"/>
    </xf>
    <xf numFmtId="164" fontId="16" fillId="0" borderId="7" xfId="0" applyNumberFormat="1" applyFont="1" applyFill="1" applyBorder="1" applyAlignment="1">
      <alignment horizontal="center"/>
    </xf>
    <xf numFmtId="0" fontId="16" fillId="0" borderId="7" xfId="0" applyFont="1" applyFill="1" applyBorder="1"/>
    <xf numFmtId="164" fontId="16" fillId="0" borderId="7" xfId="0" applyNumberFormat="1" applyFont="1" applyFill="1" applyBorder="1"/>
    <xf numFmtId="4" fontId="16" fillId="0" borderId="7" xfId="0" applyNumberFormat="1" applyFont="1" applyFill="1" applyBorder="1"/>
    <xf numFmtId="0" fontId="29" fillId="0" borderId="7" xfId="0" applyFont="1" applyFill="1" applyBorder="1"/>
    <xf numFmtId="0" fontId="0" fillId="20" borderId="7" xfId="0" applyFill="1" applyBorder="1"/>
    <xf numFmtId="0" fontId="18" fillId="20" borderId="7" xfId="0" applyFont="1" applyFill="1" applyBorder="1"/>
    <xf numFmtId="0" fontId="0" fillId="14" borderId="0" xfId="0" applyFill="1"/>
    <xf numFmtId="0" fontId="13" fillId="0" borderId="7" xfId="0" applyFont="1" applyFill="1" applyBorder="1" applyAlignment="1"/>
    <xf numFmtId="0" fontId="30" fillId="0" borderId="7" xfId="0" applyFont="1" applyFill="1" applyBorder="1" applyAlignment="1">
      <alignment horizontal="left" wrapText="1"/>
    </xf>
    <xf numFmtId="164" fontId="13" fillId="0" borderId="7" xfId="0" applyNumberFormat="1" applyFont="1" applyFill="1" applyBorder="1"/>
    <xf numFmtId="165" fontId="0" fillId="0" borderId="7" xfId="0" applyNumberFormat="1" applyFont="1" applyFill="1" applyBorder="1"/>
    <xf numFmtId="0" fontId="13" fillId="0" borderId="7" xfId="0" applyFont="1" applyFill="1" applyBorder="1" applyAlignment="1">
      <alignment horizontal="center"/>
    </xf>
    <xf numFmtId="0" fontId="10" fillId="0" borderId="7" xfId="0" applyFont="1" applyFill="1" applyBorder="1" applyAlignment="1"/>
    <xf numFmtId="164" fontId="10" fillId="0" borderId="7" xfId="0" applyNumberFormat="1" applyFont="1" applyFill="1" applyBorder="1"/>
    <xf numFmtId="0" fontId="18" fillId="9" borderId="0" xfId="12" applyNumberFormat="1" applyFont="1" applyFill="1" applyBorder="1" applyAlignment="1" applyProtection="1"/>
    <xf numFmtId="165" fontId="0" fillId="20" borderId="7" xfId="0" applyNumberFormat="1" applyFill="1" applyBorder="1"/>
    <xf numFmtId="165" fontId="0" fillId="16" borderId="7" xfId="0" applyNumberFormat="1" applyFill="1" applyBorder="1"/>
    <xf numFmtId="0" fontId="31" fillId="0" borderId="7" xfId="0" applyFont="1" applyFill="1" applyBorder="1" applyAlignment="1">
      <alignment horizontal="center"/>
    </xf>
    <xf numFmtId="165" fontId="20" fillId="0" borderId="7" xfId="0" applyNumberFormat="1" applyFont="1" applyFill="1" applyBorder="1"/>
    <xf numFmtId="2" fontId="0" fillId="0" borderId="7" xfId="0" applyNumberFormat="1" applyFont="1" applyFill="1" applyBorder="1"/>
    <xf numFmtId="0" fontId="23" fillId="21" borderId="7" xfId="0" applyFont="1" applyFill="1" applyBorder="1" applyAlignment="1">
      <alignment horizontal="left" wrapText="1"/>
    </xf>
    <xf numFmtId="164" fontId="20" fillId="22" borderId="7" xfId="0" applyNumberFormat="1" applyFont="1" applyFill="1" applyBorder="1" applyAlignment="1">
      <alignment horizontal="center"/>
    </xf>
    <xf numFmtId="0" fontId="13" fillId="0" borderId="7" xfId="0" applyFont="1" applyFill="1" applyBorder="1" applyAlignment="1">
      <alignment wrapText="1"/>
    </xf>
    <xf numFmtId="4" fontId="13" fillId="0" borderId="0" xfId="0" applyNumberFormat="1" applyFont="1" applyFill="1" applyBorder="1" applyAlignment="1">
      <alignment wrapText="1"/>
    </xf>
    <xf numFmtId="4" fontId="13" fillId="0" borderId="0" xfId="0" applyNumberFormat="1" applyFont="1" applyFill="1" applyBorder="1"/>
    <xf numFmtId="0" fontId="0" fillId="0" borderId="0" xfId="0" applyFont="1"/>
    <xf numFmtId="165" fontId="3" fillId="0" borderId="7" xfId="0" applyNumberFormat="1" applyFont="1" applyFill="1" applyBorder="1"/>
    <xf numFmtId="0" fontId="3" fillId="22" borderId="7" xfId="0" applyFont="1" applyFill="1" applyBorder="1"/>
    <xf numFmtId="164" fontId="0" fillId="22" borderId="7" xfId="0" applyNumberFormat="1" applyFont="1" applyFill="1" applyBorder="1" applyAlignment="1">
      <alignment horizontal="center"/>
    </xf>
    <xf numFmtId="0" fontId="20" fillId="22" borderId="7" xfId="0" applyFont="1" applyFill="1" applyBorder="1"/>
    <xf numFmtId="165" fontId="21" fillId="0" borderId="7" xfId="0" applyNumberFormat="1" applyFont="1" applyFill="1" applyBorder="1"/>
    <xf numFmtId="0" fontId="19" fillId="0" borderId="7" xfId="0" applyFont="1" applyFill="1" applyBorder="1"/>
    <xf numFmtId="0" fontId="14" fillId="0" borderId="12" xfId="0" applyFont="1" applyFill="1" applyBorder="1" applyAlignment="1"/>
    <xf numFmtId="165" fontId="27" fillId="0" borderId="7" xfId="0" applyNumberFormat="1" applyFont="1" applyFill="1" applyBorder="1"/>
    <xf numFmtId="0" fontId="14" fillId="0" borderId="7" xfId="0" applyFont="1" applyFill="1" applyBorder="1"/>
    <xf numFmtId="165" fontId="18" fillId="0" borderId="7" xfId="0" applyNumberFormat="1" applyFont="1" applyFill="1" applyBorder="1"/>
    <xf numFmtId="164" fontId="13" fillId="0" borderId="7" xfId="0" applyNumberFormat="1" applyFont="1" applyFill="1" applyBorder="1" applyAlignment="1"/>
    <xf numFmtId="0" fontId="13" fillId="0" borderId="7" xfId="0" applyFont="1" applyFill="1" applyBorder="1"/>
    <xf numFmtId="4" fontId="0" fillId="0" borderId="0" xfId="0" applyNumberFormat="1" applyFont="1" applyFill="1" applyBorder="1"/>
    <xf numFmtId="0" fontId="32" fillId="0" borderId="7" xfId="0" applyFont="1" applyFill="1" applyBorder="1" applyAlignment="1">
      <alignment horizontal="left" wrapText="1"/>
    </xf>
    <xf numFmtId="0" fontId="16" fillId="0" borderId="0" xfId="0" applyFont="1" applyFill="1"/>
    <xf numFmtId="0" fontId="16" fillId="0" borderId="0" xfId="0" applyFont="1"/>
    <xf numFmtId="0" fontId="33" fillId="0" borderId="7" xfId="0" applyFont="1" applyFill="1" applyBorder="1" applyAlignment="1">
      <alignment horizontal="left" wrapText="1"/>
    </xf>
    <xf numFmtId="0" fontId="33" fillId="0" borderId="7" xfId="0" applyFont="1" applyFill="1" applyBorder="1" applyAlignment="1">
      <alignment horizontal="left" vertical="top" wrapText="1"/>
    </xf>
    <xf numFmtId="165" fontId="0" fillId="0" borderId="7" xfId="0" quotePrefix="1" applyNumberFormat="1" applyFont="1" applyFill="1" applyBorder="1" applyAlignment="1">
      <alignment horizontal="center"/>
    </xf>
    <xf numFmtId="0" fontId="24" fillId="23" borderId="7" xfId="0" applyFont="1" applyFill="1" applyBorder="1" applyAlignment="1">
      <alignment horizontal="left" wrapText="1"/>
    </xf>
    <xf numFmtId="165" fontId="0" fillId="0" borderId="7" xfId="0" quotePrefix="1" applyNumberFormat="1" applyFont="1" applyFill="1" applyBorder="1"/>
    <xf numFmtId="165" fontId="20" fillId="0" borderId="0" xfId="0" applyNumberFormat="1" applyFont="1" applyFill="1"/>
    <xf numFmtId="0" fontId="20" fillId="23" borderId="7" xfId="0" applyFont="1" applyFill="1" applyBorder="1"/>
    <xf numFmtId="4" fontId="20" fillId="0" borderId="7" xfId="0" applyNumberFormat="1" applyFont="1" applyFill="1" applyBorder="1" applyAlignment="1">
      <alignment horizontal="center"/>
    </xf>
    <xf numFmtId="164" fontId="13" fillId="0" borderId="0" xfId="0" applyNumberFormat="1" applyFont="1" applyFill="1" applyBorder="1" applyAlignment="1"/>
    <xf numFmtId="165" fontId="0" fillId="0" borderId="0" xfId="0" applyNumberFormat="1" applyFill="1"/>
    <xf numFmtId="4" fontId="0" fillId="0" borderId="0" xfId="0" applyNumberFormat="1" applyFill="1"/>
    <xf numFmtId="164" fontId="0" fillId="0" borderId="0" xfId="0" applyNumberFormat="1" applyFill="1"/>
    <xf numFmtId="164" fontId="20" fillId="0" borderId="0" xfId="0" applyNumberFormat="1" applyFont="1" applyFill="1"/>
    <xf numFmtId="4" fontId="14" fillId="0" borderId="7" xfId="0" applyNumberFormat="1" applyFont="1" applyFill="1" applyBorder="1"/>
    <xf numFmtId="2" fontId="13" fillId="0" borderId="0" xfId="0" applyNumberFormat="1" applyFont="1" applyFill="1" applyBorder="1" applyAlignment="1"/>
    <xf numFmtId="0" fontId="24" fillId="14" borderId="7" xfId="0" applyFont="1" applyFill="1" applyBorder="1" applyAlignment="1">
      <alignment horizontal="left" vertical="top" wrapText="1"/>
    </xf>
    <xf numFmtId="0" fontId="23" fillId="14" borderId="7" xfId="0" applyFont="1" applyFill="1" applyBorder="1" applyAlignment="1">
      <alignment horizontal="left" wrapText="1"/>
    </xf>
    <xf numFmtId="0" fontId="34" fillId="0" borderId="7" xfId="0" applyFont="1" applyFill="1" applyBorder="1" applyAlignment="1">
      <alignment horizontal="center"/>
    </xf>
    <xf numFmtId="165" fontId="34" fillId="0" borderId="7" xfId="0" applyNumberFormat="1" applyFont="1" applyFill="1" applyBorder="1" applyAlignment="1">
      <alignment horizontal="center"/>
    </xf>
    <xf numFmtId="164" fontId="34" fillId="0" borderId="7" xfId="0" applyNumberFormat="1" applyFont="1" applyFill="1" applyBorder="1" applyAlignment="1">
      <alignment horizontal="center"/>
    </xf>
    <xf numFmtId="0" fontId="36" fillId="0" borderId="7" xfId="0" applyFont="1" applyFill="1" applyBorder="1" applyAlignment="1">
      <alignment horizontal="left" wrapText="1"/>
    </xf>
    <xf numFmtId="0" fontId="35" fillId="0" borderId="7" xfId="0" applyFont="1" applyFill="1" applyBorder="1" applyAlignment="1">
      <alignment horizontal="left" vertical="top" wrapText="1"/>
    </xf>
    <xf numFmtId="0" fontId="35" fillId="0" borderId="7" xfId="0" applyFont="1" applyFill="1" applyBorder="1" applyAlignment="1">
      <alignment horizontal="left" wrapText="1"/>
    </xf>
    <xf numFmtId="164" fontId="18" fillId="0" borderId="7" xfId="12" applyNumberFormat="1" applyFont="1" applyFill="1" applyBorder="1" applyAlignment="1" applyProtection="1"/>
    <xf numFmtId="3" fontId="18" fillId="0" borderId="7" xfId="12" applyNumberFormat="1" applyFont="1" applyFill="1" applyBorder="1" applyAlignment="1" applyProtection="1"/>
    <xf numFmtId="165" fontId="18" fillId="0" borderId="7" xfId="12" applyNumberFormat="1" applyFont="1" applyFill="1" applyBorder="1" applyAlignment="1" applyProtection="1"/>
    <xf numFmtId="2" fontId="0" fillId="10" borderId="7" xfId="0" applyNumberFormat="1" applyFill="1" applyBorder="1"/>
    <xf numFmtId="2" fontId="0" fillId="13" borderId="7" xfId="0" applyNumberFormat="1" applyFill="1" applyBorder="1"/>
    <xf numFmtId="165" fontId="0" fillId="13" borderId="7" xfId="0" applyNumberFormat="1" applyFill="1" applyBorder="1"/>
    <xf numFmtId="2" fontId="14" fillId="0" borderId="7" xfId="0" applyNumberFormat="1" applyFont="1" applyFill="1" applyBorder="1" applyAlignment="1"/>
    <xf numFmtId="165" fontId="15" fillId="0" borderId="0" xfId="0" applyNumberFormat="1" applyFont="1" applyFill="1" applyBorder="1" applyAlignment="1"/>
    <xf numFmtId="165" fontId="13" fillId="0" borderId="0" xfId="0" applyNumberFormat="1" applyFont="1" applyFill="1" applyBorder="1" applyAlignment="1"/>
    <xf numFmtId="4" fontId="18" fillId="0" borderId="7" xfId="12" applyNumberFormat="1" applyFont="1" applyFill="1" applyBorder="1" applyAlignment="1" applyProtection="1"/>
    <xf numFmtId="0" fontId="23" fillId="0" borderId="7" xfId="0" applyFont="1" applyFill="1" applyBorder="1" applyAlignment="1">
      <alignment horizontal="left"/>
    </xf>
    <xf numFmtId="0" fontId="23" fillId="0" borderId="7" xfId="0" applyFont="1" applyFill="1" applyBorder="1" applyAlignment="1">
      <alignment horizontal="center"/>
    </xf>
    <xf numFmtId="0" fontId="23" fillId="0" borderId="7" xfId="0" applyFont="1" applyFill="1" applyBorder="1" applyAlignment="1">
      <alignment horizontal="left" vertical="center" wrapText="1"/>
    </xf>
    <xf numFmtId="165" fontId="14" fillId="0" borderId="7" xfId="0" applyNumberFormat="1" applyFont="1" applyFill="1" applyBorder="1" applyAlignment="1"/>
    <xf numFmtId="0" fontId="20" fillId="0" borderId="7" xfId="0" applyFont="1" applyFill="1" applyBorder="1" applyAlignment="1">
      <alignment horizontal="center" vertical="center" wrapText="1"/>
    </xf>
    <xf numFmtId="165" fontId="20" fillId="0" borderId="15" xfId="0" applyNumberFormat="1" applyFont="1" applyFill="1" applyBorder="1" applyAlignment="1">
      <alignment horizontal="center"/>
    </xf>
    <xf numFmtId="164" fontId="14" fillId="0" borderId="7" xfId="0" applyNumberFormat="1" applyFont="1" applyFill="1" applyBorder="1" applyAlignment="1">
      <alignment horizontal="center"/>
    </xf>
    <xf numFmtId="0" fontId="20" fillId="0" borderId="0" xfId="0" applyFont="1" applyFill="1" applyAlignment="1">
      <alignment horizontal="center"/>
    </xf>
    <xf numFmtId="0" fontId="33" fillId="0" borderId="7" xfId="0" applyFont="1" applyFill="1" applyBorder="1" applyAlignment="1">
      <alignment horizontal="left"/>
    </xf>
    <xf numFmtId="165" fontId="0" fillId="0" borderId="7" xfId="0" applyNumberFormat="1" applyFont="1" applyFill="1" applyBorder="1" applyAlignment="1">
      <alignment horizontal="center" wrapText="1"/>
    </xf>
    <xf numFmtId="0" fontId="24" fillId="0" borderId="12" xfId="0" applyFont="1" applyFill="1" applyBorder="1" applyAlignment="1">
      <alignment horizontal="left" wrapText="1"/>
    </xf>
    <xf numFmtId="2" fontId="18" fillId="0" borderId="7" xfId="12" applyNumberFormat="1" applyFont="1" applyFill="1" applyBorder="1" applyAlignment="1" applyProtection="1"/>
    <xf numFmtId="0" fontId="0" fillId="15" borderId="7" xfId="0" applyFill="1" applyBorder="1" applyAlignment="1">
      <alignment horizontal="center" vertical="center" wrapText="1"/>
    </xf>
    <xf numFmtId="0" fontId="0" fillId="15" borderId="7" xfId="0" applyFill="1" applyBorder="1" applyAlignment="1">
      <alignment horizontal="center" vertical="center"/>
    </xf>
    <xf numFmtId="0" fontId="0" fillId="15" borderId="12" xfId="0" applyFill="1" applyBorder="1" applyAlignment="1">
      <alignment horizontal="center" vertical="center"/>
    </xf>
    <xf numFmtId="164" fontId="20" fillId="14" borderId="7" xfId="0" applyNumberFormat="1" applyFont="1" applyFill="1" applyBorder="1" applyAlignment="1">
      <alignment horizontal="center"/>
    </xf>
    <xf numFmtId="0" fontId="20" fillId="14" borderId="7" xfId="0" applyFont="1" applyFill="1" applyBorder="1"/>
    <xf numFmtId="0" fontId="23" fillId="14" borderId="7" xfId="0" applyFont="1" applyFill="1" applyBorder="1" applyAlignment="1">
      <alignment horizontal="left" vertical="top" wrapText="1"/>
    </xf>
    <xf numFmtId="0" fontId="23" fillId="24" borderId="7" xfId="0" applyFont="1" applyFill="1" applyBorder="1" applyAlignment="1">
      <alignment horizontal="left" wrapText="1"/>
    </xf>
    <xf numFmtId="164" fontId="20" fillId="24" borderId="7" xfId="0" applyNumberFormat="1" applyFont="1" applyFill="1" applyBorder="1" applyAlignment="1">
      <alignment horizontal="center"/>
    </xf>
    <xf numFmtId="0" fontId="14" fillId="24" borderId="7" xfId="0" applyFont="1" applyFill="1" applyBorder="1" applyAlignment="1"/>
    <xf numFmtId="4" fontId="14" fillId="24" borderId="0" xfId="0" applyNumberFormat="1" applyFont="1" applyFill="1" applyBorder="1"/>
    <xf numFmtId="0" fontId="20" fillId="24" borderId="0" xfId="0" applyFont="1" applyFill="1"/>
    <xf numFmtId="0" fontId="24" fillId="0" borderId="7" xfId="0" applyFont="1" applyFill="1" applyBorder="1" applyAlignment="1">
      <alignment horizontal="left" vertical="center" wrapText="1"/>
    </xf>
    <xf numFmtId="0" fontId="20" fillId="0" borderId="7" xfId="0" applyFont="1" applyFill="1" applyBorder="1" applyAlignment="1">
      <alignment horizontal="center" vertical="center"/>
    </xf>
    <xf numFmtId="165" fontId="20" fillId="0" borderId="7" xfId="0" applyNumberFormat="1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vertical="center"/>
    </xf>
    <xf numFmtId="4" fontId="14" fillId="0" borderId="0" xfId="0" applyNumberFormat="1" applyFont="1" applyFill="1" applyBorder="1" applyAlignment="1">
      <alignment vertical="center" wrapText="1"/>
    </xf>
    <xf numFmtId="4" fontId="14" fillId="0" borderId="0" xfId="0" applyNumberFormat="1" applyFont="1" applyFill="1" applyBorder="1" applyAlignment="1">
      <alignment vertical="center"/>
    </xf>
    <xf numFmtId="0" fontId="20" fillId="0" borderId="0" xfId="0" applyFont="1" applyFill="1" applyAlignment="1">
      <alignment vertical="center"/>
    </xf>
    <xf numFmtId="165" fontId="13" fillId="0" borderId="7" xfId="0" applyNumberFormat="1" applyFont="1" applyFill="1" applyBorder="1" applyAlignment="1"/>
    <xf numFmtId="2" fontId="20" fillId="0" borderId="7" xfId="0" applyNumberFormat="1" applyFont="1" applyFill="1" applyBorder="1" applyAlignment="1">
      <alignment horizontal="center"/>
    </xf>
    <xf numFmtId="0" fontId="0" fillId="15" borderId="10" xfId="0" applyFill="1" applyBorder="1" applyAlignment="1">
      <alignment horizontal="center" vertical="center"/>
    </xf>
    <xf numFmtId="0" fontId="0" fillId="15" borderId="15" xfId="0" applyFill="1" applyBorder="1" applyAlignment="1">
      <alignment horizontal="center" vertical="center"/>
    </xf>
    <xf numFmtId="0" fontId="0" fillId="15" borderId="10" xfId="0" applyFill="1" applyBorder="1" applyAlignment="1">
      <alignment horizontal="center" vertical="center" wrapText="1"/>
    </xf>
    <xf numFmtId="0" fontId="0" fillId="15" borderId="15" xfId="0" applyFill="1" applyBorder="1" applyAlignment="1">
      <alignment horizontal="center" vertical="center" wrapText="1"/>
    </xf>
    <xf numFmtId="0" fontId="18" fillId="12" borderId="3" xfId="0" applyFont="1" applyFill="1" applyBorder="1" applyAlignment="1">
      <alignment horizontal="center" vertical="center"/>
    </xf>
    <xf numFmtId="0" fontId="18" fillId="12" borderId="8" xfId="0" applyFont="1" applyFill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14" fillId="19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 wrapText="1"/>
    </xf>
    <xf numFmtId="0" fontId="0" fillId="12" borderId="3" xfId="0" applyFont="1" applyFill="1" applyBorder="1" applyAlignment="1">
      <alignment horizontal="center" vertical="center"/>
    </xf>
    <xf numFmtId="0" fontId="0" fillId="12" borderId="8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3" fillId="0" borderId="9" xfId="0" applyFont="1" applyFill="1" applyBorder="1" applyAlignment="1">
      <alignment horizontal="center"/>
    </xf>
    <xf numFmtId="0" fontId="13" fillId="0" borderId="13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3" fillId="0" borderId="10" xfId="0" applyFont="1" applyFill="1" applyBorder="1" applyAlignment="1">
      <alignment horizontal="center"/>
    </xf>
    <xf numFmtId="0" fontId="13" fillId="0" borderId="14" xfId="0" applyFont="1" applyFill="1" applyBorder="1" applyAlignment="1">
      <alignment horizontal="center"/>
    </xf>
    <xf numFmtId="0" fontId="13" fillId="0" borderId="15" xfId="0" applyFont="1" applyFill="1" applyBorder="1" applyAlignment="1">
      <alignment horizontal="center"/>
    </xf>
  </cellXfs>
  <cellStyles count="19">
    <cellStyle name="Accent" xfId="1"/>
    <cellStyle name="Accent 1" xfId="2"/>
    <cellStyle name="Accent 2" xfId="3"/>
    <cellStyle name="Accent 3" xfId="4"/>
    <cellStyle name="Bad" xfId="5"/>
    <cellStyle name="Error" xfId="6"/>
    <cellStyle name="Footnote" xfId="7"/>
    <cellStyle name="Good" xfId="8"/>
    <cellStyle name="Heading" xfId="9"/>
    <cellStyle name="Heading 1" xfId="10"/>
    <cellStyle name="Heading 2" xfId="11"/>
    <cellStyle name="Hipervínculo" xfId="12" builtinId="8"/>
    <cellStyle name="Neutral" xfId="13" builtinId="28" customBuiltin="1"/>
    <cellStyle name="Normal" xfId="0" builtinId="0"/>
    <cellStyle name="Note" xfId="14"/>
    <cellStyle name="Porcentaje" xfId="18" builtinId="5"/>
    <cellStyle name="Status" xfId="15"/>
    <cellStyle name="Text" xfId="16"/>
    <cellStyle name="Warning" xfId="17"/>
  </cellStyles>
  <dxfs count="14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CC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996600"/>
      <rgbColor rgb="00800080"/>
      <rgbColor rgb="0000A6A8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DDDDDD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CC"/>
      <rgbColor rgb="003366FF"/>
      <rgbColor rgb="0033CCCC"/>
      <rgbColor rgb="0099CC00"/>
      <rgbColor rgb="00FFCC00"/>
      <rgbColor rgb="00FF9900"/>
      <rgbColor rgb="00FF7F00"/>
      <rgbColor rgb="00666699"/>
      <rgbColor rgb="00969696"/>
      <rgbColor rgb="00003366"/>
      <rgbColor rgb="00339966"/>
      <rgbColor rgb="000066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theme" Target="theme/theme1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trendline>
            <c:trendlineType val="exp"/>
            <c:dispRSqr val="1"/>
            <c:dispEq val="1"/>
            <c:trendlineLbl>
              <c:numFmt formatCode="General" sourceLinked="0"/>
            </c:trendlineLbl>
          </c:trendline>
          <c:val>
            <c:numRef>
              <c:f>RESIDUOS_POR_AÑO!$B$3:$B$8</c:f>
              <c:numCache>
                <c:formatCode>0%</c:formatCode>
                <c:ptCount val="6"/>
                <c:pt idx="0">
                  <c:v>0.31</c:v>
                </c:pt>
                <c:pt idx="1">
                  <c:v>0.31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D61-448B-96EB-D0ECB1FC4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891968"/>
        <c:axId val="282889728"/>
      </c:barChart>
      <c:catAx>
        <c:axId val="282891968"/>
        <c:scaling>
          <c:orientation val="minMax"/>
        </c:scaling>
        <c:delete val="0"/>
        <c:axPos val="b"/>
        <c:majorTickMark val="out"/>
        <c:minorTickMark val="none"/>
        <c:tickLblPos val="nextTo"/>
        <c:crossAx val="282889728"/>
        <c:crosses val="autoZero"/>
        <c:auto val="1"/>
        <c:lblAlgn val="ctr"/>
        <c:lblOffset val="100"/>
        <c:noMultiLvlLbl val="0"/>
      </c:catAx>
      <c:valAx>
        <c:axId val="282889728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28289196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trendline>
            <c:trendlineType val="exp"/>
            <c:dispRSqr val="1"/>
            <c:dispEq val="1"/>
            <c:trendlineLbl>
              <c:numFmt formatCode="General" sourceLinked="0"/>
            </c:trendlineLbl>
          </c:trendline>
          <c:val>
            <c:numRef>
              <c:f>RESIDUOS_POR_AÑO!$K$15:$K$25</c:f>
              <c:numCache>
                <c:formatCode>General</c:formatCode>
                <c:ptCount val="11"/>
                <c:pt idx="0">
                  <c:v>5765.58</c:v>
                </c:pt>
                <c:pt idx="1">
                  <c:v>4282.7</c:v>
                </c:pt>
                <c:pt idx="2">
                  <c:v>5600.1399999999994</c:v>
                </c:pt>
                <c:pt idx="3">
                  <c:v>4084.8999999999996</c:v>
                </c:pt>
                <c:pt idx="4">
                  <c:v>5518.16</c:v>
                </c:pt>
                <c:pt idx="5">
                  <c:v>5347.3099999999995</c:v>
                </c:pt>
                <c:pt idx="6">
                  <c:v>3333.8</c:v>
                </c:pt>
                <c:pt idx="7">
                  <c:v>3032.8</c:v>
                </c:pt>
                <c:pt idx="8">
                  <c:v>4007.8</c:v>
                </c:pt>
                <c:pt idx="9">
                  <c:v>4230</c:v>
                </c:pt>
                <c:pt idx="10">
                  <c:v>4467.22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0D1-44E8-8BD0-AAFC27EBF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82893088"/>
        <c:axId val="282892528"/>
      </c:barChart>
      <c:catAx>
        <c:axId val="282893088"/>
        <c:scaling>
          <c:orientation val="minMax"/>
        </c:scaling>
        <c:delete val="0"/>
        <c:axPos val="b"/>
        <c:majorTickMark val="out"/>
        <c:minorTickMark val="none"/>
        <c:tickLblPos val="nextTo"/>
        <c:crossAx val="282892528"/>
        <c:crosses val="autoZero"/>
        <c:auto val="1"/>
        <c:lblAlgn val="ctr"/>
        <c:lblOffset val="100"/>
        <c:noMultiLvlLbl val="0"/>
      </c:catAx>
      <c:valAx>
        <c:axId val="28289252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82893088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400050</xdr:colOff>
      <xdr:row>20</xdr:row>
      <xdr:rowOff>4762</xdr:rowOff>
    </xdr:from>
    <xdr:to>
      <xdr:col>6</xdr:col>
      <xdr:colOff>933450</xdr:colOff>
      <xdr:row>34</xdr:row>
      <xdr:rowOff>80962</xdr:rowOff>
    </xdr:to>
    <xdr:graphicFrame macro="">
      <xdr:nvGraphicFramePr>
        <xdr:cNvPr id="3" name="2 Gráfico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457200</xdr:colOff>
      <xdr:row>20</xdr:row>
      <xdr:rowOff>90487</xdr:rowOff>
    </xdr:from>
    <xdr:to>
      <xdr:col>5</xdr:col>
      <xdr:colOff>228600</xdr:colOff>
      <xdr:row>34</xdr:row>
      <xdr:rowOff>166687</xdr:rowOff>
    </xdr:to>
    <xdr:graphicFrame macro="">
      <xdr:nvGraphicFramePr>
        <xdr:cNvPr id="4" name="3 Gráfico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27"/>
  <sheetViews>
    <sheetView workbookViewId="0"/>
  </sheetViews>
  <sheetFormatPr baseColWidth="10" defaultRowHeight="15" x14ac:dyDescent="0.25"/>
  <cols>
    <col min="2" max="7" width="15.140625" customWidth="1"/>
  </cols>
  <sheetData>
    <row r="2" spans="1:16" s="33" customFormat="1" ht="48" customHeight="1" x14ac:dyDescent="0.25">
      <c r="B2" s="33" t="s">
        <v>137</v>
      </c>
      <c r="C2" s="33" t="s">
        <v>133</v>
      </c>
      <c r="D2" s="33" t="s">
        <v>134</v>
      </c>
      <c r="E2" s="33" t="s">
        <v>135</v>
      </c>
      <c r="F2" s="33" t="s">
        <v>136</v>
      </c>
      <c r="G2" s="33" t="s">
        <v>138</v>
      </c>
      <c r="H2" s="33" t="s">
        <v>139</v>
      </c>
      <c r="I2" s="33">
        <v>14001</v>
      </c>
      <c r="J2" s="33" t="s">
        <v>140</v>
      </c>
      <c r="K2" s="33" t="s">
        <v>141</v>
      </c>
      <c r="L2" s="33" t="s">
        <v>142</v>
      </c>
      <c r="M2" s="33" t="s">
        <v>143</v>
      </c>
      <c r="N2" s="33" t="s">
        <v>144</v>
      </c>
      <c r="O2" s="33" t="s">
        <v>145</v>
      </c>
      <c r="P2" s="33" t="s">
        <v>146</v>
      </c>
    </row>
    <row r="3" spans="1:16" s="33" customFormat="1" ht="15.75" customHeight="1" x14ac:dyDescent="0.25">
      <c r="A3" s="33">
        <v>2013</v>
      </c>
      <c r="B3" s="34">
        <v>0.31</v>
      </c>
      <c r="C3" s="34">
        <v>0.15</v>
      </c>
      <c r="D3" s="34">
        <v>0.03</v>
      </c>
      <c r="F3" s="34">
        <v>0.5</v>
      </c>
      <c r="G3" s="34">
        <v>0.95</v>
      </c>
      <c r="H3" s="34">
        <v>0.92</v>
      </c>
      <c r="I3" s="34">
        <v>0.9</v>
      </c>
      <c r="J3" s="34">
        <v>1</v>
      </c>
      <c r="K3" s="34">
        <v>0.95</v>
      </c>
      <c r="L3" s="34">
        <v>1</v>
      </c>
      <c r="M3" s="34">
        <v>0.5</v>
      </c>
      <c r="N3" s="35">
        <v>3.0000000000000001E-3</v>
      </c>
      <c r="O3" s="35">
        <v>3.0000000000000001E-3</v>
      </c>
    </row>
    <row r="4" spans="1:16" s="33" customFormat="1" ht="15.75" customHeight="1" x14ac:dyDescent="0.25">
      <c r="A4" s="33">
        <v>2014</v>
      </c>
      <c r="B4" s="34">
        <v>0.31</v>
      </c>
      <c r="C4" s="34">
        <v>0.18</v>
      </c>
      <c r="D4" s="34">
        <v>0.09</v>
      </c>
      <c r="F4" s="34">
        <v>0.5</v>
      </c>
      <c r="G4" s="34">
        <v>0.95</v>
      </c>
      <c r="H4" s="34">
        <v>0.92</v>
      </c>
      <c r="I4" s="34">
        <v>0.9</v>
      </c>
      <c r="J4" s="34">
        <v>1</v>
      </c>
      <c r="K4" s="34">
        <v>0.95</v>
      </c>
      <c r="L4" s="34">
        <v>1</v>
      </c>
      <c r="M4" s="34">
        <v>0.5</v>
      </c>
      <c r="N4" s="35">
        <v>3.0000000000000001E-3</v>
      </c>
      <c r="O4" s="35">
        <v>3.0000000000000001E-3</v>
      </c>
    </row>
    <row r="5" spans="1:16" s="33" customFormat="1" ht="15.75" customHeight="1" x14ac:dyDescent="0.25">
      <c r="A5" s="33">
        <v>2015</v>
      </c>
      <c r="B5" s="34">
        <v>0.5</v>
      </c>
      <c r="C5" s="34">
        <v>0.2</v>
      </c>
      <c r="D5" s="34">
        <v>0.13</v>
      </c>
      <c r="E5" s="34">
        <v>0.65</v>
      </c>
      <c r="F5" s="34">
        <v>0.2</v>
      </c>
      <c r="G5" s="34">
        <v>0.95</v>
      </c>
      <c r="H5" s="34">
        <v>0.92</v>
      </c>
      <c r="J5" s="34">
        <v>1</v>
      </c>
      <c r="K5" s="34">
        <v>0.95</v>
      </c>
      <c r="M5" s="34">
        <v>0.5</v>
      </c>
      <c r="N5" s="35">
        <v>3.0000000000000001E-3</v>
      </c>
      <c r="O5" s="35">
        <v>3.0000000000000001E-3</v>
      </c>
    </row>
    <row r="6" spans="1:16" s="36" customFormat="1" x14ac:dyDescent="0.25">
      <c r="A6" s="36">
        <v>2016</v>
      </c>
      <c r="B6" s="37">
        <v>0.5</v>
      </c>
      <c r="C6" s="37">
        <v>0.2</v>
      </c>
      <c r="D6" s="37">
        <v>0.13</v>
      </c>
      <c r="E6" s="37">
        <v>0.65</v>
      </c>
      <c r="F6" s="37">
        <v>0.2</v>
      </c>
      <c r="G6" s="37">
        <v>0.95</v>
      </c>
      <c r="H6" s="37">
        <v>0.92</v>
      </c>
      <c r="I6" s="37">
        <v>1</v>
      </c>
      <c r="J6" s="37">
        <v>1</v>
      </c>
      <c r="K6" s="37">
        <v>0.95</v>
      </c>
      <c r="M6" s="37">
        <v>0.5</v>
      </c>
      <c r="N6" s="35">
        <v>0.35799999999999998</v>
      </c>
      <c r="O6" s="38">
        <v>8.5000000000000006E-3</v>
      </c>
      <c r="P6" s="37">
        <v>1</v>
      </c>
    </row>
    <row r="7" spans="1:16" s="36" customFormat="1" x14ac:dyDescent="0.25">
      <c r="A7" s="36">
        <v>2017</v>
      </c>
      <c r="B7" s="37">
        <v>0.5</v>
      </c>
      <c r="C7" s="37">
        <v>0.2</v>
      </c>
      <c r="D7" s="37">
        <v>0.13</v>
      </c>
      <c r="E7" s="37">
        <v>0.65</v>
      </c>
      <c r="F7" s="37">
        <v>0.2</v>
      </c>
      <c r="G7" s="37">
        <v>0.95</v>
      </c>
      <c r="H7" s="37">
        <v>0.92</v>
      </c>
      <c r="I7" s="37">
        <v>1</v>
      </c>
      <c r="J7" s="37">
        <v>1</v>
      </c>
      <c r="K7" s="37">
        <v>0.95</v>
      </c>
      <c r="L7" s="37"/>
      <c r="M7" s="37">
        <v>0.5</v>
      </c>
      <c r="N7" s="35">
        <v>0.03</v>
      </c>
      <c r="O7" s="35">
        <v>0.03</v>
      </c>
    </row>
    <row r="8" spans="1:16" s="1" customFormat="1" x14ac:dyDescent="0.25">
      <c r="A8" s="36">
        <v>2018</v>
      </c>
      <c r="B8" s="39">
        <v>0.5</v>
      </c>
      <c r="C8" s="39">
        <v>0.2</v>
      </c>
      <c r="D8" s="39">
        <v>0.13</v>
      </c>
      <c r="E8" s="39">
        <v>0.65</v>
      </c>
      <c r="F8" s="40">
        <v>0.2</v>
      </c>
      <c r="G8" s="39">
        <v>1</v>
      </c>
      <c r="H8" s="39">
        <v>0.92</v>
      </c>
      <c r="I8" s="39">
        <v>1</v>
      </c>
      <c r="J8" s="39">
        <v>1</v>
      </c>
      <c r="K8" s="39">
        <v>0.95</v>
      </c>
      <c r="M8" s="39">
        <v>0.5</v>
      </c>
      <c r="N8" s="35">
        <v>3.0000000000000001E-3</v>
      </c>
      <c r="O8" s="35">
        <v>3.0000000000000001E-3</v>
      </c>
    </row>
    <row r="9" spans="1:16" x14ac:dyDescent="0.25">
      <c r="A9" t="s">
        <v>147</v>
      </c>
      <c r="B9" s="41">
        <f>AVERAGE(B3:B8)</f>
        <v>0.4366666666666667</v>
      </c>
      <c r="C9" s="41">
        <f t="shared" ref="C9:P9" si="0">AVERAGE(C3:C8)</f>
        <v>0.18833333333333332</v>
      </c>
      <c r="D9" s="41">
        <f t="shared" si="0"/>
        <v>0.10666666666666667</v>
      </c>
      <c r="E9" s="41">
        <f t="shared" si="0"/>
        <v>0.65</v>
      </c>
      <c r="F9" s="41">
        <f t="shared" si="0"/>
        <v>0.3</v>
      </c>
      <c r="G9" s="41">
        <f t="shared" si="0"/>
        <v>0.95833333333333337</v>
      </c>
      <c r="H9" s="41">
        <f t="shared" si="0"/>
        <v>0.92</v>
      </c>
      <c r="I9" s="41">
        <f t="shared" si="0"/>
        <v>0.96</v>
      </c>
      <c r="J9" s="41">
        <f t="shared" si="0"/>
        <v>1</v>
      </c>
      <c r="K9" s="41">
        <f t="shared" si="0"/>
        <v>0.95000000000000007</v>
      </c>
      <c r="L9" s="41">
        <f t="shared" si="0"/>
        <v>1</v>
      </c>
      <c r="M9" s="41">
        <f t="shared" si="0"/>
        <v>0.5</v>
      </c>
      <c r="N9" s="41">
        <f t="shared" si="0"/>
        <v>6.6666666666666666E-2</v>
      </c>
      <c r="O9" s="41">
        <f t="shared" si="0"/>
        <v>8.4166666666666678E-3</v>
      </c>
      <c r="P9" s="41">
        <f t="shared" si="0"/>
        <v>1</v>
      </c>
    </row>
    <row r="11" spans="1:16" ht="30" x14ac:dyDescent="0.25">
      <c r="F11" s="30" t="s">
        <v>148</v>
      </c>
    </row>
    <row r="15" spans="1:16" x14ac:dyDescent="0.25">
      <c r="K15">
        <v>5765.58</v>
      </c>
    </row>
    <row r="16" spans="1:16" x14ac:dyDescent="0.25">
      <c r="K16">
        <v>4282.7</v>
      </c>
    </row>
    <row r="17" spans="8:11" x14ac:dyDescent="0.25">
      <c r="K17">
        <v>5600.1399999999994</v>
      </c>
    </row>
    <row r="18" spans="8:11" x14ac:dyDescent="0.25">
      <c r="K18">
        <v>4084.8999999999996</v>
      </c>
    </row>
    <row r="19" spans="8:11" x14ac:dyDescent="0.25">
      <c r="H19">
        <f>0.2909*EXP((0.1092)*0.6857)</f>
        <v>0.31351838588085323</v>
      </c>
      <c r="K19">
        <v>5518.16</v>
      </c>
    </row>
    <row r="20" spans="8:11" x14ac:dyDescent="0.25">
      <c r="K20">
        <v>5347.3099999999995</v>
      </c>
    </row>
    <row r="21" spans="8:11" x14ac:dyDescent="0.25">
      <c r="K21">
        <v>3333.8</v>
      </c>
    </row>
    <row r="22" spans="8:11" x14ac:dyDescent="0.25">
      <c r="K22">
        <v>3032.8</v>
      </c>
    </row>
    <row r="23" spans="8:11" x14ac:dyDescent="0.25">
      <c r="K23">
        <v>4007.8</v>
      </c>
    </row>
    <row r="24" spans="8:11" x14ac:dyDescent="0.25">
      <c r="K24">
        <v>4230</v>
      </c>
    </row>
    <row r="25" spans="8:11" x14ac:dyDescent="0.25">
      <c r="K25">
        <v>4467.22</v>
      </c>
    </row>
    <row r="27" spans="8:11" x14ac:dyDescent="0.25">
      <c r="H27">
        <f>5335.9*EXP(-0.031*0.2362)</f>
        <v>5296.9721656392858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51"/>
      <c r="D17" s="51"/>
      <c r="E17" s="51"/>
      <c r="F17" s="51"/>
      <c r="G17" s="51"/>
      <c r="H17" s="51"/>
      <c r="I17" s="51"/>
      <c r="J17" s="51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1"/>
      <c r="G21" s="51"/>
      <c r="H21" s="51"/>
      <c r="I21" s="51"/>
      <c r="J21" s="51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49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49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51"/>
      <c r="D29" s="51"/>
      <c r="E29" s="51"/>
      <c r="F29" s="51"/>
      <c r="G29" s="51"/>
      <c r="H29" s="51"/>
      <c r="I29" s="51"/>
      <c r="J29" s="51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0</v>
      </c>
      <c r="C33" s="51">
        <f t="shared" si="1"/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SUM(AG3:AG32)</f>
        <v>0</v>
      </c>
    </row>
    <row r="35" spans="1:35" s="2" customFormat="1" x14ac:dyDescent="0.25"/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7.28515625" customWidth="1"/>
    <col min="2" max="32" width="7.710937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/>
      <c r="C3" s="49"/>
      <c r="D3" s="49">
        <v>1.9</v>
      </c>
      <c r="E3" s="49">
        <v>2</v>
      </c>
      <c r="F3" s="49">
        <v>2.1</v>
      </c>
      <c r="G3" s="49">
        <v>2.8</v>
      </c>
      <c r="H3" s="49">
        <v>2.2000000000000002</v>
      </c>
      <c r="I3" s="50"/>
      <c r="J3" s="49"/>
      <c r="K3" s="50">
        <v>2</v>
      </c>
      <c r="L3" s="49">
        <v>1.7</v>
      </c>
      <c r="M3" s="50">
        <v>2.2999999999999998</v>
      </c>
      <c r="N3" s="49">
        <v>3.1</v>
      </c>
      <c r="O3" s="49">
        <v>2.8</v>
      </c>
      <c r="P3" s="50"/>
      <c r="Q3" s="49"/>
      <c r="R3" s="49">
        <v>1.8</v>
      </c>
      <c r="S3" s="50">
        <v>2.7</v>
      </c>
      <c r="T3" s="50">
        <v>1.2</v>
      </c>
      <c r="U3" s="50">
        <v>1.3</v>
      </c>
      <c r="V3" s="50">
        <v>2.9</v>
      </c>
      <c r="W3" s="49"/>
      <c r="X3" s="49"/>
      <c r="Y3" s="49">
        <v>2.9</v>
      </c>
      <c r="Z3" s="49">
        <v>1.5</v>
      </c>
      <c r="AA3" s="49">
        <v>1.2</v>
      </c>
      <c r="AB3" s="49">
        <v>2.2999999999999998</v>
      </c>
      <c r="AC3" s="49">
        <v>2.4</v>
      </c>
      <c r="AD3" s="49"/>
      <c r="AE3" s="49"/>
      <c r="AF3" s="49"/>
      <c r="AG3" s="46">
        <f>SUM(B3:AF3)</f>
        <v>43.1</v>
      </c>
      <c r="AH3" s="47"/>
      <c r="AI3" s="48"/>
    </row>
    <row r="4" spans="1:35" s="44" customFormat="1" ht="24" customHeight="1" x14ac:dyDescent="0.35">
      <c r="A4" s="60" t="s">
        <v>193</v>
      </c>
      <c r="B4" s="51">
        <v>2.9</v>
      </c>
      <c r="C4" s="51">
        <v>1.9</v>
      </c>
      <c r="D4" s="51">
        <v>2.7</v>
      </c>
      <c r="E4" s="51">
        <v>2.7</v>
      </c>
      <c r="F4" s="51">
        <v>1.2</v>
      </c>
      <c r="G4" s="51">
        <v>1.9</v>
      </c>
      <c r="H4" s="51">
        <v>2.7</v>
      </c>
      <c r="I4" s="51">
        <v>1.3</v>
      </c>
      <c r="J4" s="51">
        <v>1.7</v>
      </c>
      <c r="K4" s="51">
        <v>2.4</v>
      </c>
      <c r="L4" s="51">
        <v>2.2999999999999998</v>
      </c>
      <c r="M4" s="51">
        <v>2.7</v>
      </c>
      <c r="N4" s="51">
        <v>1.9</v>
      </c>
      <c r="O4" s="51">
        <v>2.1</v>
      </c>
      <c r="P4" s="51">
        <v>1.7</v>
      </c>
      <c r="Q4" s="51">
        <v>1.5</v>
      </c>
      <c r="R4" s="51">
        <v>1.2</v>
      </c>
      <c r="S4" s="51">
        <v>1.7</v>
      </c>
      <c r="T4" s="51">
        <v>1.9</v>
      </c>
      <c r="U4" s="51">
        <v>1.3</v>
      </c>
      <c r="V4" s="51">
        <v>1.2</v>
      </c>
      <c r="W4" s="51">
        <v>1.7</v>
      </c>
      <c r="X4" s="51">
        <v>2.1</v>
      </c>
      <c r="Y4" s="51">
        <v>2</v>
      </c>
      <c r="Z4" s="51">
        <v>1.7</v>
      </c>
      <c r="AA4" s="51">
        <v>1.9</v>
      </c>
      <c r="AB4" s="51">
        <v>2.1</v>
      </c>
      <c r="AC4" s="51">
        <v>2</v>
      </c>
      <c r="AD4" s="51">
        <v>2.1</v>
      </c>
      <c r="AE4" s="51"/>
      <c r="AF4" s="51"/>
      <c r="AG4" s="46">
        <f t="shared" ref="AG4:AG32" si="0">SUM(B4:AF4)</f>
        <v>56.500000000000014</v>
      </c>
      <c r="AH4" s="47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20.2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3.9</v>
      </c>
      <c r="C7" s="51">
        <v>3.4</v>
      </c>
      <c r="D7" s="51">
        <v>3.2</v>
      </c>
      <c r="E7" s="51">
        <v>3.5</v>
      </c>
      <c r="F7" s="51">
        <v>3.8</v>
      </c>
      <c r="G7" s="51">
        <v>4</v>
      </c>
      <c r="H7" s="51">
        <v>3.5</v>
      </c>
      <c r="I7" s="51">
        <v>4</v>
      </c>
      <c r="J7" s="51">
        <v>4</v>
      </c>
      <c r="K7" s="51">
        <v>4.2</v>
      </c>
      <c r="L7" s="51">
        <v>4</v>
      </c>
      <c r="M7" s="51">
        <v>3.8</v>
      </c>
      <c r="N7" s="51">
        <v>3.9</v>
      </c>
      <c r="O7" s="51">
        <v>4</v>
      </c>
      <c r="P7" s="51">
        <v>3.8</v>
      </c>
      <c r="Q7" s="51">
        <v>3</v>
      </c>
      <c r="R7" s="51">
        <v>4.8</v>
      </c>
      <c r="S7" s="51">
        <v>3.2</v>
      </c>
      <c r="T7" s="51">
        <v>3</v>
      </c>
      <c r="U7" s="51">
        <v>3.8</v>
      </c>
      <c r="V7" s="51">
        <v>3.5</v>
      </c>
      <c r="W7" s="51">
        <v>3.5</v>
      </c>
      <c r="X7" s="51">
        <v>4</v>
      </c>
      <c r="Y7" s="51">
        <v>4.0999999999999996</v>
      </c>
      <c r="Z7" s="51">
        <v>3.2</v>
      </c>
      <c r="AA7" s="51">
        <v>3</v>
      </c>
      <c r="AB7" s="51">
        <v>3.5</v>
      </c>
      <c r="AC7" s="51">
        <v>2.8</v>
      </c>
      <c r="AD7" s="51">
        <v>3</v>
      </c>
      <c r="AE7" s="51"/>
      <c r="AF7" s="51"/>
      <c r="AG7" s="46">
        <f t="shared" si="0"/>
        <v>105.39999999999999</v>
      </c>
      <c r="AH7" s="48"/>
      <c r="AI7" s="48"/>
    </row>
    <row r="8" spans="1:35" s="44" customFormat="1" ht="18.75" customHeight="1" x14ac:dyDescent="0.35">
      <c r="A8" s="60" t="s">
        <v>65</v>
      </c>
      <c r="B8" s="51">
        <v>3.5</v>
      </c>
      <c r="C8" s="51">
        <v>4.3</v>
      </c>
      <c r="D8" s="51">
        <v>3.1</v>
      </c>
      <c r="E8" s="51">
        <v>2.9</v>
      </c>
      <c r="F8" s="51">
        <v>4.3</v>
      </c>
      <c r="G8" s="51">
        <v>3.9</v>
      </c>
      <c r="H8" s="51">
        <v>4</v>
      </c>
      <c r="I8" s="51">
        <v>3.3</v>
      </c>
      <c r="J8" s="51">
        <v>4.2</v>
      </c>
      <c r="K8" s="51">
        <v>4</v>
      </c>
      <c r="L8" s="51">
        <v>3.7</v>
      </c>
      <c r="M8" s="51">
        <v>5</v>
      </c>
      <c r="N8" s="51">
        <v>3.9</v>
      </c>
      <c r="O8" s="51">
        <v>3.6</v>
      </c>
      <c r="P8" s="51">
        <v>3.2</v>
      </c>
      <c r="Q8" s="51">
        <v>4</v>
      </c>
      <c r="R8" s="51">
        <v>3.7</v>
      </c>
      <c r="S8" s="51">
        <v>3.6</v>
      </c>
      <c r="T8" s="51">
        <v>2.9</v>
      </c>
      <c r="U8" s="51">
        <v>4</v>
      </c>
      <c r="V8" s="51">
        <v>3.7</v>
      </c>
      <c r="W8" s="51">
        <v>3.6</v>
      </c>
      <c r="X8" s="51">
        <v>2.9</v>
      </c>
      <c r="Y8" s="51">
        <v>3.5</v>
      </c>
      <c r="Z8" s="51">
        <v>3.7</v>
      </c>
      <c r="AA8" s="51">
        <v>2.9</v>
      </c>
      <c r="AB8" s="51">
        <v>3.6</v>
      </c>
      <c r="AC8" s="51">
        <v>4</v>
      </c>
      <c r="AD8" s="51">
        <v>2.9</v>
      </c>
      <c r="AE8" s="51"/>
      <c r="AF8" s="51"/>
      <c r="AG8" s="46">
        <f t="shared" si="0"/>
        <v>105.90000000000002</v>
      </c>
      <c r="AH8" s="48"/>
      <c r="AI8" s="48"/>
    </row>
    <row r="9" spans="1:35" s="44" customFormat="1" ht="18.75" customHeight="1" x14ac:dyDescent="0.35">
      <c r="A9" s="60" t="s">
        <v>66</v>
      </c>
      <c r="B9" s="52">
        <v>1.5</v>
      </c>
      <c r="C9" s="52">
        <v>2</v>
      </c>
      <c r="D9" s="52">
        <v>1.8</v>
      </c>
      <c r="E9" s="52">
        <v>2.1</v>
      </c>
      <c r="F9" s="52">
        <v>0.9</v>
      </c>
      <c r="G9" s="52">
        <v>1.9</v>
      </c>
      <c r="H9" s="52">
        <v>0.5</v>
      </c>
      <c r="I9" s="52">
        <v>2.9</v>
      </c>
      <c r="J9" s="52"/>
      <c r="K9" s="52">
        <v>2</v>
      </c>
      <c r="L9" s="52">
        <v>1.5</v>
      </c>
      <c r="M9" s="52">
        <v>1.9</v>
      </c>
      <c r="N9" s="52">
        <v>1.5</v>
      </c>
      <c r="O9" s="52">
        <v>2</v>
      </c>
      <c r="P9" s="52">
        <v>1.9</v>
      </c>
      <c r="Q9" s="52"/>
      <c r="R9" s="52">
        <v>1.9</v>
      </c>
      <c r="S9" s="52">
        <v>1</v>
      </c>
      <c r="T9" s="52">
        <v>2</v>
      </c>
      <c r="U9" s="52">
        <v>1.9</v>
      </c>
      <c r="V9" s="52">
        <v>2.5</v>
      </c>
      <c r="W9" s="52">
        <v>1.9</v>
      </c>
      <c r="X9" s="52"/>
      <c r="Y9" s="52">
        <v>1.8</v>
      </c>
      <c r="Z9" s="52">
        <v>1.9</v>
      </c>
      <c r="AA9" s="52">
        <v>1</v>
      </c>
      <c r="AB9" s="52">
        <v>1.9</v>
      </c>
      <c r="AC9" s="52">
        <v>1.5</v>
      </c>
      <c r="AD9" s="52">
        <v>1.9</v>
      </c>
      <c r="AE9" s="52"/>
      <c r="AF9" s="52"/>
      <c r="AG9" s="46">
        <f t="shared" si="0"/>
        <v>45.599999999999987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1</v>
      </c>
      <c r="C10" s="51">
        <v>1.1000000000000001</v>
      </c>
      <c r="D10" s="51">
        <v>1.1000000000000001</v>
      </c>
      <c r="E10" s="51">
        <v>1.3</v>
      </c>
      <c r="F10" s="51">
        <v>1.1000000000000001</v>
      </c>
      <c r="G10" s="51">
        <v>1.1000000000000001</v>
      </c>
      <c r="H10" s="51">
        <v>1.3</v>
      </c>
      <c r="I10" s="51">
        <v>2.1</v>
      </c>
      <c r="J10" s="51">
        <v>1.1000000000000001</v>
      </c>
      <c r="K10" s="51">
        <v>1.3</v>
      </c>
      <c r="L10" s="51">
        <v>7.5</v>
      </c>
      <c r="M10" s="51">
        <v>1.2</v>
      </c>
      <c r="N10" s="51">
        <v>1</v>
      </c>
      <c r="O10" s="51">
        <v>1.5</v>
      </c>
      <c r="P10" s="51">
        <v>1</v>
      </c>
      <c r="Q10" s="51">
        <v>2</v>
      </c>
      <c r="R10" s="51">
        <v>1.3</v>
      </c>
      <c r="S10" s="51">
        <v>1</v>
      </c>
      <c r="T10" s="51">
        <v>1</v>
      </c>
      <c r="U10" s="51">
        <v>1.1000000000000001</v>
      </c>
      <c r="V10" s="51">
        <v>1.2</v>
      </c>
      <c r="W10" s="51">
        <v>1</v>
      </c>
      <c r="X10" s="51">
        <v>1.1000000000000001</v>
      </c>
      <c r="Y10" s="51">
        <v>1.1000000000000001</v>
      </c>
      <c r="Z10" s="51">
        <v>1.3</v>
      </c>
      <c r="AA10" s="51">
        <v>1</v>
      </c>
      <c r="AB10" s="51">
        <v>1</v>
      </c>
      <c r="AC10" s="51">
        <v>1</v>
      </c>
      <c r="AD10" s="51">
        <v>1.1000000000000001</v>
      </c>
      <c r="AE10" s="51"/>
      <c r="AF10" s="51"/>
      <c r="AG10" s="46">
        <f t="shared" si="0"/>
        <v>40.900000000000006</v>
      </c>
      <c r="AH10" s="48"/>
      <c r="AI10" s="48"/>
    </row>
    <row r="11" spans="1:35" s="44" customFormat="1" ht="18.75" customHeight="1" x14ac:dyDescent="0.35">
      <c r="A11" s="60" t="s">
        <v>152</v>
      </c>
      <c r="B11" s="51">
        <v>1.1000000000000001</v>
      </c>
      <c r="C11" s="51"/>
      <c r="D11" s="51">
        <v>1</v>
      </c>
      <c r="E11" s="51">
        <v>1</v>
      </c>
      <c r="F11" s="51">
        <v>1.1000000000000001</v>
      </c>
      <c r="G11" s="51">
        <v>1.3</v>
      </c>
      <c r="H11" s="51">
        <v>1.1000000000000001</v>
      </c>
      <c r="I11" s="51">
        <v>1.4</v>
      </c>
      <c r="J11" s="51"/>
      <c r="K11" s="51">
        <v>0.9</v>
      </c>
      <c r="L11" s="51">
        <v>1.3</v>
      </c>
      <c r="M11" s="51">
        <v>1.5</v>
      </c>
      <c r="N11" s="51">
        <v>1</v>
      </c>
      <c r="O11" s="51">
        <v>1.3</v>
      </c>
      <c r="P11" s="51">
        <v>1.3</v>
      </c>
      <c r="Q11" s="51"/>
      <c r="R11" s="51">
        <v>0.9</v>
      </c>
      <c r="S11" s="51">
        <v>1.9</v>
      </c>
      <c r="T11" s="51">
        <v>1.5</v>
      </c>
      <c r="U11" s="51">
        <v>1.1000000000000001</v>
      </c>
      <c r="V11" s="51">
        <v>1.9</v>
      </c>
      <c r="W11" s="51">
        <v>1.3</v>
      </c>
      <c r="X11" s="51"/>
      <c r="Y11" s="51">
        <v>1.1000000000000001</v>
      </c>
      <c r="Z11" s="51">
        <v>0.9</v>
      </c>
      <c r="AA11" s="51">
        <v>1.1000000000000001</v>
      </c>
      <c r="AB11" s="51">
        <v>1.1000000000000001</v>
      </c>
      <c r="AC11" s="51">
        <v>1.2</v>
      </c>
      <c r="AD11" s="51">
        <v>1.1000000000000001</v>
      </c>
      <c r="AE11" s="51"/>
      <c r="AF11" s="51"/>
      <c r="AG11" s="46">
        <f t="shared" si="0"/>
        <v>30.400000000000006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0.9</v>
      </c>
      <c r="C12" s="51">
        <v>0.7</v>
      </c>
      <c r="D12" s="51">
        <v>1.1000000000000001</v>
      </c>
      <c r="E12" s="51">
        <v>1.2</v>
      </c>
      <c r="F12" s="51">
        <v>1.3</v>
      </c>
      <c r="G12" s="51">
        <v>1.9</v>
      </c>
      <c r="H12" s="51">
        <v>0.9</v>
      </c>
      <c r="I12" s="51">
        <v>0.5</v>
      </c>
      <c r="J12" s="51">
        <v>0.3</v>
      </c>
      <c r="K12" s="51">
        <v>0.5</v>
      </c>
      <c r="L12" s="51">
        <v>0.7</v>
      </c>
      <c r="M12" s="51">
        <v>0.9</v>
      </c>
      <c r="N12" s="51">
        <v>0.6</v>
      </c>
      <c r="O12" s="51">
        <v>0.7</v>
      </c>
      <c r="P12" s="51">
        <v>0.9</v>
      </c>
      <c r="Q12" s="51">
        <v>0.7</v>
      </c>
      <c r="R12" s="51">
        <v>0.5</v>
      </c>
      <c r="S12" s="51">
        <v>0.9</v>
      </c>
      <c r="T12" s="51">
        <v>1.1000000000000001</v>
      </c>
      <c r="U12" s="51">
        <v>0.7</v>
      </c>
      <c r="V12" s="51">
        <v>0.9</v>
      </c>
      <c r="W12" s="51">
        <v>1.2</v>
      </c>
      <c r="X12" s="51">
        <v>1.9</v>
      </c>
      <c r="Y12" s="51">
        <v>1.1000000000000001</v>
      </c>
      <c r="Z12" s="51">
        <v>0.9</v>
      </c>
      <c r="AA12" s="51">
        <v>0.7</v>
      </c>
      <c r="AB12" s="51">
        <v>0.9</v>
      </c>
      <c r="AC12" s="51">
        <v>0.8</v>
      </c>
      <c r="AD12" s="51">
        <v>0.5</v>
      </c>
      <c r="AE12" s="51"/>
      <c r="AF12" s="51"/>
      <c r="AG12" s="46">
        <f t="shared" si="0"/>
        <v>25.899999999999995</v>
      </c>
      <c r="AH12" s="48"/>
      <c r="AI12" s="48"/>
    </row>
    <row r="13" spans="1:35" s="44" customFormat="1" ht="18.75" customHeight="1" x14ac:dyDescent="0.35">
      <c r="A13" s="60" t="s">
        <v>69</v>
      </c>
      <c r="B13" s="55">
        <v>2.5</v>
      </c>
      <c r="C13" s="55"/>
      <c r="D13" s="55">
        <v>2.2000000000000002</v>
      </c>
      <c r="E13" s="55">
        <v>2</v>
      </c>
      <c r="F13" s="55">
        <v>1.7</v>
      </c>
      <c r="G13" s="55">
        <v>2.2000000000000002</v>
      </c>
      <c r="H13" s="55">
        <v>1.4</v>
      </c>
      <c r="I13" s="55">
        <v>2.6</v>
      </c>
      <c r="J13" s="55"/>
      <c r="K13" s="55">
        <v>2.1</v>
      </c>
      <c r="L13" s="55">
        <v>1.9</v>
      </c>
      <c r="M13" s="55">
        <v>1.6</v>
      </c>
      <c r="N13" s="55">
        <v>3</v>
      </c>
      <c r="O13" s="55">
        <v>1.3</v>
      </c>
      <c r="P13" s="55">
        <v>1.5</v>
      </c>
      <c r="Q13" s="55"/>
      <c r="R13" s="55">
        <v>2.2000000000000002</v>
      </c>
      <c r="S13" s="55">
        <v>2.5</v>
      </c>
      <c r="T13" s="55">
        <v>2.5</v>
      </c>
      <c r="U13" s="55">
        <v>2</v>
      </c>
      <c r="V13" s="55">
        <v>1.7</v>
      </c>
      <c r="W13" s="55">
        <v>1.5</v>
      </c>
      <c r="X13" s="55"/>
      <c r="Y13" s="55">
        <v>2.2000000000000002</v>
      </c>
      <c r="Z13" s="55">
        <v>1.8</v>
      </c>
      <c r="AA13" s="55">
        <v>0.9</v>
      </c>
      <c r="AB13" s="55">
        <v>0.6</v>
      </c>
      <c r="AC13" s="55">
        <v>2.5</v>
      </c>
      <c r="AD13" s="55">
        <v>1.3</v>
      </c>
      <c r="AE13" s="55"/>
      <c r="AF13" s="55"/>
      <c r="AG13" s="46">
        <f t="shared" si="0"/>
        <v>47.7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3.1</v>
      </c>
      <c r="C14" s="51">
        <v>2</v>
      </c>
      <c r="D14" s="51">
        <v>1.1000000000000001</v>
      </c>
      <c r="E14" s="51">
        <v>2.1</v>
      </c>
      <c r="F14" s="51">
        <v>4.0999999999999996</v>
      </c>
      <c r="G14" s="51">
        <v>2.1</v>
      </c>
      <c r="H14" s="51">
        <v>3.2</v>
      </c>
      <c r="I14" s="51">
        <v>2.1</v>
      </c>
      <c r="J14" s="51">
        <v>4.0999999999999996</v>
      </c>
      <c r="K14" s="51">
        <v>3.1</v>
      </c>
      <c r="L14" s="51">
        <v>2.2000000000000002</v>
      </c>
      <c r="M14" s="51">
        <v>1.1000000000000001</v>
      </c>
      <c r="N14" s="51">
        <v>5.2</v>
      </c>
      <c r="O14" s="51">
        <v>3.1</v>
      </c>
      <c r="P14" s="51">
        <v>4.2</v>
      </c>
      <c r="Q14" s="51">
        <v>2</v>
      </c>
      <c r="R14" s="51">
        <v>2.2000000000000002</v>
      </c>
      <c r="S14" s="51">
        <v>1.1000000000000001</v>
      </c>
      <c r="T14" s="51">
        <v>3.1</v>
      </c>
      <c r="U14" s="51">
        <v>4.2</v>
      </c>
      <c r="V14" s="51">
        <v>2.1</v>
      </c>
      <c r="W14" s="51">
        <v>3.1</v>
      </c>
      <c r="X14" s="51">
        <v>2.1</v>
      </c>
      <c r="Y14" s="52">
        <v>2.1</v>
      </c>
      <c r="Z14" s="52">
        <v>4.2</v>
      </c>
      <c r="AA14" s="52">
        <v>2.2000000000000002</v>
      </c>
      <c r="AB14" s="52">
        <v>3.1</v>
      </c>
      <c r="AC14" s="52">
        <v>2.1</v>
      </c>
      <c r="AD14" s="52">
        <v>3.2</v>
      </c>
      <c r="AE14" s="52"/>
      <c r="AF14" s="52"/>
      <c r="AG14" s="46">
        <f t="shared" si="0"/>
        <v>79.600000000000009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2.5</v>
      </c>
      <c r="C15" s="51">
        <v>1.2</v>
      </c>
      <c r="D15" s="51">
        <v>2.1</v>
      </c>
      <c r="E15" s="51">
        <v>2.4</v>
      </c>
      <c r="F15" s="51">
        <v>2.1</v>
      </c>
      <c r="G15" s="51">
        <v>2</v>
      </c>
      <c r="H15" s="51">
        <v>1.9</v>
      </c>
      <c r="I15" s="51">
        <v>2.5</v>
      </c>
      <c r="J15" s="51">
        <v>2.2000000000000002</v>
      </c>
      <c r="K15" s="51">
        <v>2.5</v>
      </c>
      <c r="L15" s="51">
        <v>2.5</v>
      </c>
      <c r="M15" s="51">
        <v>1.5</v>
      </c>
      <c r="N15" s="51">
        <v>2.1</v>
      </c>
      <c r="O15" s="51">
        <v>1.9</v>
      </c>
      <c r="P15" s="51">
        <v>1.5</v>
      </c>
      <c r="Q15" s="51">
        <v>1.2</v>
      </c>
      <c r="R15" s="51">
        <v>1.8</v>
      </c>
      <c r="S15" s="51">
        <v>2</v>
      </c>
      <c r="T15" s="51">
        <v>1.9</v>
      </c>
      <c r="U15" s="51">
        <v>1.5</v>
      </c>
      <c r="V15" s="51">
        <v>2.1</v>
      </c>
      <c r="W15" s="51">
        <v>2.5</v>
      </c>
      <c r="X15" s="51">
        <v>1.2</v>
      </c>
      <c r="Y15" s="51">
        <v>1.2</v>
      </c>
      <c r="Z15" s="51">
        <v>1.5</v>
      </c>
      <c r="AA15" s="51">
        <v>1.9</v>
      </c>
      <c r="AB15" s="51">
        <v>2</v>
      </c>
      <c r="AC15" s="51">
        <v>1.5</v>
      </c>
      <c r="AD15" s="51">
        <v>1.9</v>
      </c>
      <c r="AE15" s="51"/>
      <c r="AF15" s="51"/>
      <c r="AG15" s="46">
        <f t="shared" si="0"/>
        <v>55.1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>
        <v>1.9</v>
      </c>
      <c r="C17" s="51">
        <v>1</v>
      </c>
      <c r="D17" s="51">
        <v>1.9</v>
      </c>
      <c r="E17" s="51">
        <v>2</v>
      </c>
      <c r="F17" s="51">
        <v>1.8</v>
      </c>
      <c r="G17" s="51">
        <v>1.7</v>
      </c>
      <c r="H17" s="51">
        <v>2.2999999999999998</v>
      </c>
      <c r="I17" s="51">
        <v>1.5</v>
      </c>
      <c r="J17" s="51">
        <v>1.2</v>
      </c>
      <c r="K17" s="51">
        <v>1.2</v>
      </c>
      <c r="L17" s="51">
        <v>1.3</v>
      </c>
      <c r="M17" s="51">
        <v>0.9</v>
      </c>
      <c r="N17" s="51">
        <v>2.1</v>
      </c>
      <c r="O17" s="51">
        <v>1.9</v>
      </c>
      <c r="P17" s="51">
        <v>1.7</v>
      </c>
      <c r="Q17" s="51">
        <v>1.9</v>
      </c>
      <c r="R17" s="51">
        <v>1.6</v>
      </c>
      <c r="S17" s="51">
        <v>1.8</v>
      </c>
      <c r="T17" s="51">
        <v>2</v>
      </c>
      <c r="U17" s="51">
        <v>1.5</v>
      </c>
      <c r="V17" s="51">
        <v>2.1</v>
      </c>
      <c r="W17" s="51">
        <v>2.5</v>
      </c>
      <c r="X17" s="51">
        <v>1.3</v>
      </c>
      <c r="Y17" s="51">
        <v>1.9</v>
      </c>
      <c r="Z17" s="51">
        <v>2</v>
      </c>
      <c r="AA17" s="51">
        <v>1.3</v>
      </c>
      <c r="AB17" s="51">
        <v>1.7</v>
      </c>
      <c r="AC17" s="51">
        <v>1.9</v>
      </c>
      <c r="AD17" s="51">
        <v>2</v>
      </c>
      <c r="AE17" s="51"/>
      <c r="AF17" s="51"/>
      <c r="AG17" s="46">
        <f t="shared" si="0"/>
        <v>49.899999999999991</v>
      </c>
      <c r="AH17" s="48"/>
      <c r="AI17" s="48"/>
    </row>
    <row r="18" spans="1:35" s="44" customFormat="1" ht="21.75" customHeight="1" x14ac:dyDescent="0.35">
      <c r="A18" s="60" t="s">
        <v>73</v>
      </c>
      <c r="B18" s="51">
        <f>2.1/2</f>
        <v>1.05</v>
      </c>
      <c r="C18" s="51">
        <v>1.5</v>
      </c>
      <c r="D18" s="51">
        <f>3.9/2</f>
        <v>1.95</v>
      </c>
      <c r="E18" s="51">
        <v>1</v>
      </c>
      <c r="F18" s="51">
        <f>2.7/2</f>
        <v>1.35</v>
      </c>
      <c r="G18" s="51">
        <v>1.5</v>
      </c>
      <c r="H18" s="51">
        <f>2.8/2</f>
        <v>1.4</v>
      </c>
      <c r="I18" s="51">
        <f>2.7/2</f>
        <v>1.35</v>
      </c>
      <c r="J18" s="51">
        <f>2.7/2</f>
        <v>1.35</v>
      </c>
      <c r="K18" s="51">
        <f>2.8/2</f>
        <v>1.4</v>
      </c>
      <c r="L18" s="51">
        <f>3.9/2</f>
        <v>1.95</v>
      </c>
      <c r="M18" s="51">
        <f>4.7/2</f>
        <v>2.35</v>
      </c>
      <c r="N18" s="51">
        <v>1</v>
      </c>
      <c r="O18" s="51">
        <f>2.3/2</f>
        <v>1.1499999999999999</v>
      </c>
      <c r="P18" s="51">
        <f>2.8/2</f>
        <v>1.4</v>
      </c>
      <c r="Q18" s="51">
        <f>2.1/2</f>
        <v>1.05</v>
      </c>
      <c r="R18" s="51">
        <f>2.7/2</f>
        <v>1.35</v>
      </c>
      <c r="S18" s="51">
        <f>2.9/2</f>
        <v>1.45</v>
      </c>
      <c r="T18" s="51">
        <f>2.7/2</f>
        <v>1.35</v>
      </c>
      <c r="U18" s="51">
        <f>3.9/2</f>
        <v>1.95</v>
      </c>
      <c r="V18" s="51">
        <f>3.3/2</f>
        <v>1.65</v>
      </c>
      <c r="W18" s="51">
        <f>2.7/2</f>
        <v>1.35</v>
      </c>
      <c r="X18" s="51">
        <f>2.9/2</f>
        <v>1.45</v>
      </c>
      <c r="Y18" s="51">
        <v>1.5</v>
      </c>
      <c r="Z18" s="51">
        <f>3.9/2</f>
        <v>1.95</v>
      </c>
      <c r="AA18" s="51">
        <f>4.9/2</f>
        <v>2.4500000000000002</v>
      </c>
      <c r="AB18" s="51">
        <f>3.9/2</f>
        <v>1.95</v>
      </c>
      <c r="AC18" s="51" t="s">
        <v>196</v>
      </c>
      <c r="AD18" s="51">
        <f>2/2</f>
        <v>1</v>
      </c>
      <c r="AE18" s="51"/>
      <c r="AF18" s="51"/>
      <c r="AG18" s="46">
        <f t="shared" si="0"/>
        <v>42.150000000000006</v>
      </c>
    </row>
    <row r="19" spans="1:35" s="44" customFormat="1" ht="18.75" customHeight="1" x14ac:dyDescent="0.35">
      <c r="A19" s="60" t="s">
        <v>92</v>
      </c>
      <c r="B19" s="51">
        <f>2.1/2</f>
        <v>1.05</v>
      </c>
      <c r="C19" s="51">
        <v>1.5</v>
      </c>
      <c r="D19" s="51">
        <f>3.9/2</f>
        <v>1.95</v>
      </c>
      <c r="E19" s="51">
        <v>1</v>
      </c>
      <c r="F19" s="51">
        <f>2.7/2</f>
        <v>1.35</v>
      </c>
      <c r="G19" s="51">
        <v>1.5</v>
      </c>
      <c r="H19" s="51">
        <f>2.8/2</f>
        <v>1.4</v>
      </c>
      <c r="I19" s="51">
        <f>2.7/2</f>
        <v>1.35</v>
      </c>
      <c r="J19" s="51">
        <f>2.7/2</f>
        <v>1.35</v>
      </c>
      <c r="K19" s="51">
        <f>2.8/2</f>
        <v>1.4</v>
      </c>
      <c r="L19" s="51">
        <f>3.9/2</f>
        <v>1.95</v>
      </c>
      <c r="M19" s="51">
        <f>4.7/2</f>
        <v>2.35</v>
      </c>
      <c r="N19" s="51">
        <v>1</v>
      </c>
      <c r="O19" s="51">
        <f>2.3/2</f>
        <v>1.1499999999999999</v>
      </c>
      <c r="P19" s="51">
        <f>2.8/2</f>
        <v>1.4</v>
      </c>
      <c r="Q19" s="51">
        <f>2.1/2</f>
        <v>1.05</v>
      </c>
      <c r="R19" s="51">
        <f>2.7/2</f>
        <v>1.35</v>
      </c>
      <c r="S19" s="51">
        <f>2.9/2</f>
        <v>1.45</v>
      </c>
      <c r="T19" s="51">
        <f>2.7/2</f>
        <v>1.35</v>
      </c>
      <c r="U19" s="51">
        <f>3.9/2</f>
        <v>1.95</v>
      </c>
      <c r="V19" s="51">
        <f>3.3/2</f>
        <v>1.65</v>
      </c>
      <c r="W19" s="51">
        <f>2.7/2</f>
        <v>1.35</v>
      </c>
      <c r="X19" s="51">
        <f>2.9/2</f>
        <v>1.45</v>
      </c>
      <c r="Y19" s="51">
        <v>1.5</v>
      </c>
      <c r="Z19" s="51">
        <f>3.9/2</f>
        <v>1.95</v>
      </c>
      <c r="AA19" s="51">
        <f>4.9/2</f>
        <v>2.4500000000000002</v>
      </c>
      <c r="AB19" s="51">
        <f>3.9/2</f>
        <v>1.95</v>
      </c>
      <c r="AC19" s="51" t="s">
        <v>196</v>
      </c>
      <c r="AD19" s="51">
        <f>2/2</f>
        <v>1</v>
      </c>
      <c r="AE19" s="51"/>
      <c r="AF19" s="51"/>
      <c r="AG19" s="46">
        <f t="shared" si="0"/>
        <v>42.150000000000006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v>1.9</v>
      </c>
      <c r="C20" s="51">
        <v>3.5</v>
      </c>
      <c r="D20" s="51">
        <v>3.1</v>
      </c>
      <c r="E20" s="51">
        <v>2.9</v>
      </c>
      <c r="F20" s="51">
        <v>5.5</v>
      </c>
      <c r="G20" s="51">
        <v>7.1</v>
      </c>
      <c r="H20" s="51">
        <f>4+2.5</f>
        <v>6.5</v>
      </c>
      <c r="I20" s="51">
        <f>3.8+2.9</f>
        <v>6.6999999999999993</v>
      </c>
      <c r="J20" s="51">
        <f>4.4+3.5</f>
        <v>7.9</v>
      </c>
      <c r="K20" s="51">
        <f>4.8+2.3</f>
        <v>7.1</v>
      </c>
      <c r="L20" s="51">
        <f>2.5+3</f>
        <v>5.5</v>
      </c>
      <c r="M20" s="51">
        <f>3.5+2.9</f>
        <v>6.4</v>
      </c>
      <c r="N20" s="51">
        <f>1.8+2.9</f>
        <v>4.7</v>
      </c>
      <c r="O20" s="51">
        <f>3.9+2.8</f>
        <v>6.6999999999999993</v>
      </c>
      <c r="P20" s="51">
        <f>4+3.5</f>
        <v>7.5</v>
      </c>
      <c r="Q20" s="51">
        <f>3.7+2.5</f>
        <v>6.2</v>
      </c>
      <c r="R20" s="51">
        <f>4.3+2.4</f>
        <v>6.6999999999999993</v>
      </c>
      <c r="S20" s="51">
        <f>2.2+3.4</f>
        <v>5.6</v>
      </c>
      <c r="T20" s="51">
        <f>3.9+2.7</f>
        <v>6.6</v>
      </c>
      <c r="U20" s="51">
        <f>4.4+3.2</f>
        <v>7.6000000000000005</v>
      </c>
      <c r="V20" s="51">
        <f>3.5+3</f>
        <v>6.5</v>
      </c>
      <c r="W20" s="51">
        <f>3.4+2.6</f>
        <v>6</v>
      </c>
      <c r="X20" s="51">
        <f>2.1+1.5</f>
        <v>3.6</v>
      </c>
      <c r="Y20" s="51">
        <f>4.1+0.4</f>
        <v>4.5</v>
      </c>
      <c r="Z20" s="51">
        <f>2+1.5</f>
        <v>3.5</v>
      </c>
      <c r="AA20" s="51">
        <f>1.7+1.2</f>
        <v>2.9</v>
      </c>
      <c r="AB20" s="51">
        <f>2+1.6</f>
        <v>3.6</v>
      </c>
      <c r="AC20" s="51">
        <f>1.7+0.4</f>
        <v>2.1</v>
      </c>
      <c r="AD20" s="51">
        <f>1.5+0.9</f>
        <v>2.4</v>
      </c>
      <c r="AE20" s="51"/>
      <c r="AF20" s="51"/>
      <c r="AG20" s="46">
        <f t="shared" si="0"/>
        <v>150.79999999999998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>
        <v>0.5</v>
      </c>
      <c r="C22" s="51"/>
      <c r="D22" s="51"/>
      <c r="E22" s="51">
        <v>1.4</v>
      </c>
      <c r="F22" s="51"/>
      <c r="G22" s="51">
        <v>1.6</v>
      </c>
      <c r="H22" s="51"/>
      <c r="I22" s="51">
        <v>2</v>
      </c>
      <c r="J22" s="51"/>
      <c r="K22" s="51"/>
      <c r="L22" s="51">
        <v>1.3</v>
      </c>
      <c r="M22" s="51"/>
      <c r="N22" s="51"/>
      <c r="O22" s="51"/>
      <c r="P22" s="51">
        <v>1.9</v>
      </c>
      <c r="Q22" s="51"/>
      <c r="R22" s="51"/>
      <c r="S22" s="51">
        <v>1.4</v>
      </c>
      <c r="T22" s="51"/>
      <c r="U22" s="51">
        <v>1.7</v>
      </c>
      <c r="V22" s="51"/>
      <c r="W22" s="51">
        <v>1.9</v>
      </c>
      <c r="X22" s="51"/>
      <c r="Y22" s="51"/>
      <c r="Z22" s="51"/>
      <c r="AA22" s="51">
        <v>1.5</v>
      </c>
      <c r="AB22" s="51"/>
      <c r="AC22" s="51"/>
      <c r="AD22" s="51">
        <v>1.3</v>
      </c>
      <c r="AE22" s="51"/>
      <c r="AF22" s="51"/>
      <c r="AG22" s="46">
        <f t="shared" si="0"/>
        <v>16.5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>
        <v>0.9</v>
      </c>
      <c r="E23" s="51">
        <v>0.2</v>
      </c>
      <c r="F23" s="51">
        <v>1.3</v>
      </c>
      <c r="G23" s="51">
        <v>1</v>
      </c>
      <c r="H23" s="51">
        <v>0.9</v>
      </c>
      <c r="I23" s="51"/>
      <c r="J23" s="51"/>
      <c r="K23" s="51">
        <v>1.5</v>
      </c>
      <c r="L23" s="51">
        <v>0.5</v>
      </c>
      <c r="M23" s="51">
        <v>0.5</v>
      </c>
      <c r="N23" s="51">
        <v>1.3</v>
      </c>
      <c r="O23" s="51">
        <v>0.7</v>
      </c>
      <c r="P23" s="51"/>
      <c r="Q23" s="51"/>
      <c r="R23" s="51">
        <v>0.5</v>
      </c>
      <c r="S23" s="51">
        <v>1.5</v>
      </c>
      <c r="T23" s="51">
        <v>1</v>
      </c>
      <c r="U23" s="51">
        <v>1.3</v>
      </c>
      <c r="V23" s="51">
        <v>0.8</v>
      </c>
      <c r="W23" s="51"/>
      <c r="X23" s="51"/>
      <c r="Y23" s="51">
        <v>1.6</v>
      </c>
      <c r="Z23" s="51">
        <v>1.4</v>
      </c>
      <c r="AA23" s="51">
        <v>1.2</v>
      </c>
      <c r="AB23" s="51">
        <v>1</v>
      </c>
      <c r="AC23" s="51">
        <v>1.9</v>
      </c>
      <c r="AD23" s="51"/>
      <c r="AE23" s="51"/>
      <c r="AF23" s="51"/>
      <c r="AG23" s="46">
        <f t="shared" si="0"/>
        <v>21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3</v>
      </c>
      <c r="C24" s="51">
        <v>2.2000000000000002</v>
      </c>
      <c r="D24" s="51">
        <v>5.2</v>
      </c>
      <c r="E24" s="51">
        <v>5</v>
      </c>
      <c r="F24" s="51">
        <v>5</v>
      </c>
      <c r="G24" s="51">
        <v>4</v>
      </c>
      <c r="H24" s="51">
        <v>3</v>
      </c>
      <c r="I24" s="51">
        <v>3</v>
      </c>
      <c r="J24" s="51">
        <v>5</v>
      </c>
      <c r="K24" s="51">
        <v>5</v>
      </c>
      <c r="L24" s="51">
        <v>4</v>
      </c>
      <c r="M24" s="51">
        <v>4</v>
      </c>
      <c r="N24" s="51">
        <v>4</v>
      </c>
      <c r="O24" s="51">
        <v>5</v>
      </c>
      <c r="P24" s="51">
        <v>4</v>
      </c>
      <c r="Q24" s="51">
        <v>6</v>
      </c>
      <c r="R24" s="51">
        <v>6</v>
      </c>
      <c r="S24" s="51">
        <v>6</v>
      </c>
      <c r="T24" s="51">
        <v>5</v>
      </c>
      <c r="U24" s="51">
        <v>4</v>
      </c>
      <c r="V24" s="51">
        <v>5</v>
      </c>
      <c r="W24" s="51">
        <v>6</v>
      </c>
      <c r="X24" s="51">
        <v>6</v>
      </c>
      <c r="Y24" s="51">
        <v>7</v>
      </c>
      <c r="Z24" s="51">
        <v>3</v>
      </c>
      <c r="AA24" s="51">
        <v>3</v>
      </c>
      <c r="AB24" s="51">
        <v>4</v>
      </c>
      <c r="AC24" s="51">
        <v>6</v>
      </c>
      <c r="AD24" s="51">
        <v>5</v>
      </c>
      <c r="AE24" s="51"/>
      <c r="AF24" s="51"/>
      <c r="AG24" s="46">
        <f t="shared" si="0"/>
        <v>133.4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>
        <v>1.5</v>
      </c>
      <c r="C27" s="52"/>
      <c r="D27" s="52">
        <v>2.2999999999999998</v>
      </c>
      <c r="E27" s="52">
        <v>3.1</v>
      </c>
      <c r="F27" s="52">
        <v>1.7</v>
      </c>
      <c r="G27" s="52">
        <v>3.8</v>
      </c>
      <c r="H27" s="52">
        <v>1.4</v>
      </c>
      <c r="I27" s="52">
        <v>1.2</v>
      </c>
      <c r="J27" s="52"/>
      <c r="K27" s="52">
        <v>3</v>
      </c>
      <c r="L27" s="52">
        <v>3.2</v>
      </c>
      <c r="M27" s="52">
        <v>2.5</v>
      </c>
      <c r="N27" s="52">
        <v>1.9</v>
      </c>
      <c r="O27" s="52">
        <v>2.2999999999999998</v>
      </c>
      <c r="P27" s="52">
        <v>5.4</v>
      </c>
      <c r="Q27" s="52">
        <v>1.7</v>
      </c>
      <c r="R27" s="52">
        <v>1.2</v>
      </c>
      <c r="S27" s="52">
        <v>1.3</v>
      </c>
      <c r="T27" s="52">
        <v>1.2</v>
      </c>
      <c r="U27" s="52">
        <v>1</v>
      </c>
      <c r="V27" s="52">
        <v>1.2</v>
      </c>
      <c r="W27" s="52">
        <v>1.5</v>
      </c>
      <c r="X27" s="52"/>
      <c r="Y27" s="52">
        <v>1.9</v>
      </c>
      <c r="Z27" s="52">
        <v>0.9</v>
      </c>
      <c r="AA27" s="52">
        <v>0.3</v>
      </c>
      <c r="AB27" s="52">
        <v>0.6</v>
      </c>
      <c r="AC27" s="52">
        <v>0.7</v>
      </c>
      <c r="AD27" s="52">
        <v>1.1000000000000001</v>
      </c>
      <c r="AE27" s="52"/>
      <c r="AF27" s="52"/>
      <c r="AG27" s="46">
        <f t="shared" si="0"/>
        <v>47.900000000000006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>
        <f>2.3+1.9+2.8</f>
        <v>6.9999999999999991</v>
      </c>
      <c r="C29" s="52">
        <f>4.1+2.8+3.1</f>
        <v>10</v>
      </c>
      <c r="D29" s="52">
        <f>5.6+2.3+4.5</f>
        <v>12.399999999999999</v>
      </c>
      <c r="E29" s="52">
        <f>2.6+1.5+1.2</f>
        <v>5.3</v>
      </c>
      <c r="F29" s="52">
        <f>2.5+1.5+1.5</f>
        <v>5.5</v>
      </c>
      <c r="G29" s="52">
        <f>1.5+2</f>
        <v>3.5</v>
      </c>
      <c r="H29" s="52">
        <f>1.5+1.9+2</f>
        <v>5.4</v>
      </c>
      <c r="I29" s="52">
        <f>2+1.5+1</f>
        <v>4.5</v>
      </c>
      <c r="J29" s="52">
        <f>4.5+2.3+2</f>
        <v>8.8000000000000007</v>
      </c>
      <c r="K29" s="52">
        <f>2.5+1.5+1.9</f>
        <v>5.9</v>
      </c>
      <c r="L29" s="52">
        <f>0.1+2.6+1.9</f>
        <v>4.5999999999999996</v>
      </c>
      <c r="M29" s="52">
        <f>3+2.1+1.5</f>
        <v>6.6</v>
      </c>
      <c r="N29" s="52">
        <f>3.2+4.1+2</f>
        <v>9.3000000000000007</v>
      </c>
      <c r="O29" s="52">
        <f>3.5+1.5+2</f>
        <v>7</v>
      </c>
      <c r="P29" s="52">
        <f>3.9+1.5+2.1</f>
        <v>7.5</v>
      </c>
      <c r="Q29" s="52">
        <f>3.1+2.1+2</f>
        <v>7.2</v>
      </c>
      <c r="R29" s="52">
        <f>4.1+6.2+5.4</f>
        <v>15.700000000000001</v>
      </c>
      <c r="S29" s="52">
        <f>3.1+4.3+5.1</f>
        <v>12.5</v>
      </c>
      <c r="T29" s="52">
        <f>6.3+5+4.2</f>
        <v>15.5</v>
      </c>
      <c r="U29" s="52">
        <f>3.3+2.1+3</f>
        <v>8.4</v>
      </c>
      <c r="V29" s="52">
        <f>3.1+4.3+3.1</f>
        <v>10.5</v>
      </c>
      <c r="W29" s="52">
        <f>3.1+1.3+0.9</f>
        <v>5.3000000000000007</v>
      </c>
      <c r="X29" s="52">
        <f>1.1+2+3.3</f>
        <v>6.4</v>
      </c>
      <c r="Y29" s="52">
        <f>1.3+2.8+3.5</f>
        <v>7.6</v>
      </c>
      <c r="Z29" s="52">
        <f>1.5+2+1.5</f>
        <v>5</v>
      </c>
      <c r="AA29" s="52">
        <f>1.3+2.1</f>
        <v>3.4000000000000004</v>
      </c>
      <c r="AB29" s="52">
        <f>1.2+1.5</f>
        <v>2.7</v>
      </c>
      <c r="AC29" s="52">
        <f>1.9+2.2</f>
        <v>4.0999999999999996</v>
      </c>
      <c r="AD29" s="52">
        <f>1.7+1.9</f>
        <v>3.5999999999999996</v>
      </c>
      <c r="AE29" s="52"/>
      <c r="AF29" s="52"/>
      <c r="AG29" s="46">
        <f t="shared" si="0"/>
        <v>211.2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>
        <f>6.4+7.1+6.8</f>
        <v>20.3</v>
      </c>
      <c r="C31" s="52">
        <f>9.1+8.3+9.2</f>
        <v>26.599999999999998</v>
      </c>
      <c r="D31" s="52">
        <f>9.1+6.4+4.1</f>
        <v>19.600000000000001</v>
      </c>
      <c r="E31" s="52">
        <f>4.4+7.1+6.8</f>
        <v>18.3</v>
      </c>
      <c r="F31" s="52">
        <f>8.3+6.4+4.1</f>
        <v>18.8</v>
      </c>
      <c r="G31" s="52">
        <f>6.9+6.5+6.9</f>
        <v>20.3</v>
      </c>
      <c r="H31" s="52">
        <f>6.5+9.1+8.3</f>
        <v>23.9</v>
      </c>
      <c r="I31" s="52">
        <f>6.2+8.3+9</f>
        <v>23.5</v>
      </c>
      <c r="J31" s="52">
        <f>6.5+7.1+8.2</f>
        <v>21.799999999999997</v>
      </c>
      <c r="K31" s="52">
        <f>7.3+8.4+9.2</f>
        <v>24.9</v>
      </c>
      <c r="L31" s="52">
        <f>8.1+9.3+8.1</f>
        <v>25.5</v>
      </c>
      <c r="M31" s="52">
        <f>7.4+6.9+8.9</f>
        <v>23.200000000000003</v>
      </c>
      <c r="N31" s="52">
        <f>6.4+8.3+9.1</f>
        <v>23.8</v>
      </c>
      <c r="O31" s="52">
        <f>4.2+7.5+8.3</f>
        <v>20</v>
      </c>
      <c r="P31" s="52">
        <f>9.6+8.3+4.2</f>
        <v>22.099999999999998</v>
      </c>
      <c r="Q31" s="52">
        <f>8.3+7.4+6.5</f>
        <v>22.200000000000003</v>
      </c>
      <c r="R31" s="52">
        <f>9.2+6.4+2</f>
        <v>17.600000000000001</v>
      </c>
      <c r="S31" s="52">
        <f>8.3+6.5+7.2</f>
        <v>22</v>
      </c>
      <c r="T31" s="52">
        <f>6.9+7.3+6.5</f>
        <v>20.7</v>
      </c>
      <c r="U31" s="52">
        <f>8.4+9+7.3</f>
        <v>24.7</v>
      </c>
      <c r="V31" s="52">
        <f>6.4+7.2+9.1</f>
        <v>22.700000000000003</v>
      </c>
      <c r="W31" s="52">
        <f>6.9+7.2+9.1</f>
        <v>23.200000000000003</v>
      </c>
      <c r="X31" s="52">
        <f>7.2+8.9+8.8</f>
        <v>24.900000000000002</v>
      </c>
      <c r="Y31" s="52">
        <f>6.9+7.2+6.5</f>
        <v>20.6</v>
      </c>
      <c r="Z31" s="52">
        <f>5.4+7.3+2.9</f>
        <v>15.6</v>
      </c>
      <c r="AA31" s="52">
        <f>7.4+8.9+7.2</f>
        <v>23.5</v>
      </c>
      <c r="AB31" s="52">
        <f>7.3+8.1+9</f>
        <v>24.4</v>
      </c>
      <c r="AC31" s="52">
        <f>8.2+7.4+7.7</f>
        <v>23.3</v>
      </c>
      <c r="AD31" s="52">
        <f>7.4+8.2+9.1</f>
        <v>24.7</v>
      </c>
      <c r="AE31" s="52"/>
      <c r="AF31" s="52"/>
      <c r="AG31" s="46">
        <f t="shared" si="0"/>
        <v>642.69999999999993</v>
      </c>
      <c r="AH31" s="48"/>
      <c r="AI31" s="48"/>
    </row>
    <row r="32" spans="1:35" s="44" customFormat="1" ht="18.75" customHeight="1" x14ac:dyDescent="0.35">
      <c r="A32" s="60" t="s">
        <v>178</v>
      </c>
      <c r="B32" s="52">
        <v>0.1</v>
      </c>
      <c r="C32" s="52">
        <v>0.1</v>
      </c>
      <c r="D32" s="52">
        <v>0.1</v>
      </c>
      <c r="E32" s="52">
        <v>1</v>
      </c>
      <c r="F32" s="52">
        <v>1</v>
      </c>
      <c r="G32" s="52">
        <v>1</v>
      </c>
      <c r="H32" s="52">
        <v>0.1</v>
      </c>
      <c r="I32" s="52">
        <v>1</v>
      </c>
      <c r="J32" s="52">
        <v>1</v>
      </c>
      <c r="K32" s="52">
        <v>0</v>
      </c>
      <c r="L32" s="52">
        <v>1</v>
      </c>
      <c r="M32" s="52">
        <v>0.2</v>
      </c>
      <c r="N32" s="52">
        <v>1</v>
      </c>
      <c r="O32" s="52">
        <v>0.1</v>
      </c>
      <c r="P32" s="52">
        <v>1</v>
      </c>
      <c r="Q32" s="52">
        <v>1</v>
      </c>
      <c r="R32" s="52">
        <v>1</v>
      </c>
      <c r="S32" s="52">
        <v>1</v>
      </c>
      <c r="T32" s="52">
        <v>0.1</v>
      </c>
      <c r="U32" s="52">
        <v>0.2</v>
      </c>
      <c r="V32" s="52">
        <v>0.1</v>
      </c>
      <c r="W32" s="52">
        <v>0.1</v>
      </c>
      <c r="X32" s="52">
        <v>1.2</v>
      </c>
      <c r="Y32" s="52">
        <v>0.1</v>
      </c>
      <c r="Z32" s="52">
        <v>1</v>
      </c>
      <c r="AA32" s="52">
        <v>0.9</v>
      </c>
      <c r="AB32" s="52">
        <v>1.2</v>
      </c>
      <c r="AC32" s="52">
        <v>1</v>
      </c>
      <c r="AD32" s="52">
        <v>0.2</v>
      </c>
      <c r="AE32" s="52"/>
      <c r="AF32" s="52"/>
      <c r="AG32" s="46">
        <f t="shared" si="0"/>
        <v>17.799999999999997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61.199999999999996</v>
      </c>
      <c r="C33" s="51">
        <f t="shared" ref="C33:AF33" si="1">SUM(C3:C32)</f>
        <v>62.999999999999993</v>
      </c>
      <c r="D33" s="51">
        <f t="shared" si="1"/>
        <v>70.699999999999989</v>
      </c>
      <c r="E33" s="51">
        <f t="shared" si="1"/>
        <v>64.399999999999991</v>
      </c>
      <c r="F33" s="51">
        <f t="shared" si="1"/>
        <v>67</v>
      </c>
      <c r="G33" s="51">
        <f t="shared" si="1"/>
        <v>72.099999999999994</v>
      </c>
      <c r="H33" s="51">
        <f t="shared" si="1"/>
        <v>68.999999999999986</v>
      </c>
      <c r="I33" s="51">
        <f t="shared" si="1"/>
        <v>68.800000000000011</v>
      </c>
      <c r="J33" s="51">
        <f t="shared" si="1"/>
        <v>66</v>
      </c>
      <c r="K33" s="51">
        <f t="shared" si="1"/>
        <v>76.400000000000006</v>
      </c>
      <c r="L33" s="51">
        <f t="shared" si="1"/>
        <v>80.099999999999994</v>
      </c>
      <c r="M33" s="51">
        <f t="shared" si="1"/>
        <v>72.500000000000014</v>
      </c>
      <c r="N33" s="51">
        <f t="shared" si="1"/>
        <v>77.3</v>
      </c>
      <c r="O33" s="51">
        <f t="shared" si="1"/>
        <v>70.299999999999983</v>
      </c>
      <c r="P33" s="51">
        <f t="shared" si="1"/>
        <v>74.899999999999991</v>
      </c>
      <c r="Q33" s="51">
        <f t="shared" si="1"/>
        <v>62.7</v>
      </c>
      <c r="R33" s="51">
        <f t="shared" si="1"/>
        <v>75.300000000000011</v>
      </c>
      <c r="S33" s="51">
        <f t="shared" si="1"/>
        <v>77.599999999999994</v>
      </c>
      <c r="T33" s="51">
        <f t="shared" si="1"/>
        <v>76.900000000000006</v>
      </c>
      <c r="U33" s="51">
        <f t="shared" si="1"/>
        <v>77.2</v>
      </c>
      <c r="V33" s="51">
        <f t="shared" si="1"/>
        <v>75.899999999999991</v>
      </c>
      <c r="W33" s="51">
        <f t="shared" si="1"/>
        <v>70.5</v>
      </c>
      <c r="X33" s="51">
        <f t="shared" si="1"/>
        <v>61.600000000000009</v>
      </c>
      <c r="Y33" s="51">
        <f t="shared" si="1"/>
        <v>71.3</v>
      </c>
      <c r="Z33" s="51">
        <f t="shared" si="1"/>
        <v>58.9</v>
      </c>
      <c r="AA33" s="51">
        <f t="shared" si="1"/>
        <v>60.699999999999989</v>
      </c>
      <c r="AB33" s="51">
        <f t="shared" si="1"/>
        <v>65.2</v>
      </c>
      <c r="AC33" s="51">
        <f t="shared" si="1"/>
        <v>62.800000000000011</v>
      </c>
      <c r="AD33" s="51">
        <f t="shared" si="1"/>
        <v>61.3</v>
      </c>
      <c r="AE33" s="51">
        <f t="shared" si="1"/>
        <v>0</v>
      </c>
      <c r="AF33" s="51">
        <f t="shared" si="1"/>
        <v>0</v>
      </c>
      <c r="AG33" s="56">
        <f>SUM(B33:AF33)</f>
        <v>2011.6000000000001</v>
      </c>
      <c r="AH33" s="57"/>
      <c r="AI33" s="57"/>
    </row>
    <row r="34" spans="1:35" s="2" customFormat="1" x14ac:dyDescent="0.25">
      <c r="AG34" s="24">
        <f>SUM(AG3:AG32)</f>
        <v>2011.5999999999997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57" priority="2" operator="equal">
      <formula>$AG$34</formula>
    </cfRule>
  </conditionalFormatting>
  <conditionalFormatting sqref="AG34">
    <cfRule type="cellIs" dxfId="56" priority="1" operator="equal">
      <formula>$AG$33</formula>
    </cfRule>
  </conditionalFormatting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RowHeight="15" x14ac:dyDescent="0.25"/>
  <cols>
    <col min="1" max="1" width="50.7109375" customWidth="1"/>
    <col min="2" max="32" width="7.710937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/>
      <c r="C3" s="49">
        <v>1.9</v>
      </c>
      <c r="D3" s="49">
        <v>2.1</v>
      </c>
      <c r="E3" s="49">
        <v>1.7</v>
      </c>
      <c r="F3" s="49">
        <v>1.4</v>
      </c>
      <c r="G3" s="49">
        <v>3</v>
      </c>
      <c r="H3" s="49">
        <v>2.8</v>
      </c>
      <c r="I3" s="50"/>
      <c r="J3" s="49">
        <v>1.3</v>
      </c>
      <c r="K3" s="50">
        <v>2.4</v>
      </c>
      <c r="L3" s="49">
        <v>1.7</v>
      </c>
      <c r="M3" s="50">
        <v>2.5</v>
      </c>
      <c r="N3" s="49">
        <v>2.7</v>
      </c>
      <c r="O3" s="49">
        <v>1.9</v>
      </c>
      <c r="P3" s="50"/>
      <c r="Q3" s="49">
        <v>1.8</v>
      </c>
      <c r="R3" s="49">
        <v>2.8</v>
      </c>
      <c r="S3" s="50">
        <v>3.1</v>
      </c>
      <c r="T3" s="50">
        <v>2.5</v>
      </c>
      <c r="U3" s="50">
        <v>3.1</v>
      </c>
      <c r="V3" s="50">
        <v>2.4</v>
      </c>
      <c r="W3" s="49"/>
      <c r="X3" s="49">
        <v>0.5</v>
      </c>
      <c r="Y3" s="49">
        <v>0.6</v>
      </c>
      <c r="Z3" s="49">
        <v>1.1000000000000001</v>
      </c>
      <c r="AA3" s="49">
        <v>1.1000000000000001</v>
      </c>
      <c r="AB3" s="49">
        <v>0.9</v>
      </c>
      <c r="AC3" s="49">
        <v>0.3</v>
      </c>
      <c r="AD3" s="49">
        <v>1.3</v>
      </c>
      <c r="AE3" s="49">
        <v>1.4</v>
      </c>
      <c r="AF3" s="49">
        <v>2.5</v>
      </c>
      <c r="AG3" s="46">
        <f>SUM(B3:AF3)</f>
        <v>50.79999999999999</v>
      </c>
      <c r="AH3" s="47"/>
      <c r="AI3" s="48"/>
    </row>
    <row r="4" spans="1:35" s="44" customFormat="1" ht="36.75" customHeight="1" x14ac:dyDescent="0.35">
      <c r="A4" s="81" t="s">
        <v>193</v>
      </c>
      <c r="B4" s="51">
        <v>2.7</v>
      </c>
      <c r="C4" s="51">
        <v>2.9</v>
      </c>
      <c r="D4" s="51">
        <v>3.2</v>
      </c>
      <c r="E4" s="51">
        <v>2.9</v>
      </c>
      <c r="F4" s="51">
        <v>4.0999999999999996</v>
      </c>
      <c r="G4" s="51">
        <v>2.5</v>
      </c>
      <c r="H4" s="51">
        <v>2</v>
      </c>
      <c r="I4" s="51">
        <v>2.2000000000000002</v>
      </c>
      <c r="J4" s="51">
        <v>1.9</v>
      </c>
      <c r="K4" s="51">
        <v>0.8</v>
      </c>
      <c r="L4" s="51">
        <v>0.9</v>
      </c>
      <c r="M4" s="51">
        <v>2.6</v>
      </c>
      <c r="N4" s="51">
        <v>0.5</v>
      </c>
      <c r="O4" s="51">
        <v>2.9</v>
      </c>
      <c r="P4" s="51">
        <v>2.1</v>
      </c>
      <c r="Q4" s="51">
        <v>2.7</v>
      </c>
      <c r="R4" s="51">
        <v>1.5</v>
      </c>
      <c r="S4" s="51">
        <v>1.3</v>
      </c>
      <c r="T4" s="51">
        <v>1.9</v>
      </c>
      <c r="U4" s="51">
        <v>1.5</v>
      </c>
      <c r="V4" s="51">
        <v>1.7</v>
      </c>
      <c r="W4" s="51"/>
      <c r="X4" s="51">
        <v>1.2</v>
      </c>
      <c r="Y4" s="51">
        <v>1.3</v>
      </c>
      <c r="Z4" s="51">
        <v>1.5</v>
      </c>
      <c r="AA4" s="51">
        <v>1.2</v>
      </c>
      <c r="AB4" s="51">
        <v>1.3</v>
      </c>
      <c r="AC4" s="51">
        <v>1.5</v>
      </c>
      <c r="AD4" s="51"/>
      <c r="AE4" s="51">
        <v>3</v>
      </c>
      <c r="AF4" s="51">
        <v>3.1</v>
      </c>
      <c r="AG4" s="46">
        <f t="shared" ref="AG4:AG32" si="0">SUM(B4:AF4)</f>
        <v>58.900000000000006</v>
      </c>
      <c r="AH4" s="47"/>
      <c r="AI4" s="48"/>
    </row>
    <row r="5" spans="1:35" s="44" customFormat="1" ht="18.75" customHeight="1" x14ac:dyDescent="0.35">
      <c r="A5" s="60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3.2</v>
      </c>
      <c r="C7" s="51">
        <v>3.5</v>
      </c>
      <c r="D7" s="51">
        <v>3.9</v>
      </c>
      <c r="E7" s="51">
        <v>4</v>
      </c>
      <c r="F7" s="51">
        <v>2.5</v>
      </c>
      <c r="G7" s="51">
        <v>3</v>
      </c>
      <c r="H7" s="51">
        <v>3</v>
      </c>
      <c r="I7" s="51">
        <v>2.5</v>
      </c>
      <c r="J7" s="51">
        <v>3.2</v>
      </c>
      <c r="K7" s="51">
        <v>2</v>
      </c>
      <c r="L7" s="51">
        <v>3.5</v>
      </c>
      <c r="M7" s="51">
        <v>3.5</v>
      </c>
      <c r="N7" s="51">
        <v>4</v>
      </c>
      <c r="O7" s="51">
        <v>3</v>
      </c>
      <c r="P7" s="51">
        <v>2.5</v>
      </c>
      <c r="Q7" s="51">
        <v>3.5</v>
      </c>
      <c r="R7" s="51">
        <v>3.5</v>
      </c>
      <c r="S7" s="51">
        <v>3.5</v>
      </c>
      <c r="T7" s="51">
        <v>2.5</v>
      </c>
      <c r="U7" s="51">
        <v>3</v>
      </c>
      <c r="V7" s="51">
        <v>2.8</v>
      </c>
      <c r="W7" s="51">
        <v>2.8</v>
      </c>
      <c r="X7" s="51">
        <v>3.5</v>
      </c>
      <c r="Y7" s="51">
        <v>3.5</v>
      </c>
      <c r="Z7" s="51">
        <v>2.8</v>
      </c>
      <c r="AA7" s="51">
        <v>2.9</v>
      </c>
      <c r="AB7" s="51">
        <v>2</v>
      </c>
      <c r="AC7" s="51">
        <v>3.4</v>
      </c>
      <c r="AD7" s="51">
        <v>3</v>
      </c>
      <c r="AE7" s="51">
        <v>3.5</v>
      </c>
      <c r="AF7" s="51">
        <v>2.8</v>
      </c>
      <c r="AG7" s="46">
        <f t="shared" si="0"/>
        <v>96.3</v>
      </c>
      <c r="AH7" s="48"/>
      <c r="AI7" s="48"/>
    </row>
    <row r="8" spans="1:35" s="44" customFormat="1" ht="18.75" customHeight="1" x14ac:dyDescent="0.35">
      <c r="A8" s="60" t="s">
        <v>65</v>
      </c>
      <c r="B8" s="51">
        <f>1.8+1</f>
        <v>2.8</v>
      </c>
      <c r="C8" s="51">
        <v>2.6</v>
      </c>
      <c r="D8" s="51">
        <v>1.8</v>
      </c>
      <c r="E8" s="51">
        <f>4.2+0.9</f>
        <v>5.1000000000000005</v>
      </c>
      <c r="F8" s="51">
        <v>1.8</v>
      </c>
      <c r="G8" s="51">
        <f>1.2+0.9</f>
        <v>2.1</v>
      </c>
      <c r="H8" s="51">
        <v>2</v>
      </c>
      <c r="I8" s="51">
        <v>2</v>
      </c>
      <c r="J8" s="51">
        <v>1.8</v>
      </c>
      <c r="K8" s="51">
        <v>2.1</v>
      </c>
      <c r="L8" s="51">
        <f>1.6+0.9</f>
        <v>2.5</v>
      </c>
      <c r="M8" s="51">
        <v>2.1</v>
      </c>
      <c r="N8" s="51">
        <f>1.3+0.8</f>
        <v>2.1</v>
      </c>
      <c r="O8" s="51">
        <v>2.1</v>
      </c>
      <c r="P8" s="51">
        <v>3.4</v>
      </c>
      <c r="Q8" s="51">
        <v>2.1</v>
      </c>
      <c r="R8" s="51">
        <v>2.1</v>
      </c>
      <c r="S8" s="51">
        <v>2.1</v>
      </c>
      <c r="T8" s="51">
        <v>2.1</v>
      </c>
      <c r="U8" s="51">
        <v>1.8</v>
      </c>
      <c r="V8" s="51">
        <v>2</v>
      </c>
      <c r="W8" s="51">
        <v>1.8</v>
      </c>
      <c r="X8" s="51">
        <v>1.8</v>
      </c>
      <c r="Y8" s="51">
        <v>1.8</v>
      </c>
      <c r="Z8" s="51">
        <v>1.8</v>
      </c>
      <c r="AA8" s="51">
        <v>1.8</v>
      </c>
      <c r="AB8" s="51">
        <v>1.9</v>
      </c>
      <c r="AC8" s="51">
        <v>2.1</v>
      </c>
      <c r="AD8" s="51">
        <v>2</v>
      </c>
      <c r="AE8" s="51">
        <v>1.8</v>
      </c>
      <c r="AF8" s="51">
        <v>2.4</v>
      </c>
      <c r="AG8" s="46">
        <f t="shared" si="0"/>
        <v>67.7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1</v>
      </c>
      <c r="C10" s="51">
        <v>1.1000000000000001</v>
      </c>
      <c r="D10" s="51">
        <v>0.9</v>
      </c>
      <c r="E10" s="51">
        <v>1</v>
      </c>
      <c r="F10" s="51">
        <v>1.2</v>
      </c>
      <c r="G10" s="51">
        <v>1.1000000000000001</v>
      </c>
      <c r="H10" s="51">
        <v>1</v>
      </c>
      <c r="I10" s="51">
        <v>1.1000000000000001</v>
      </c>
      <c r="J10" s="51">
        <v>2.2999999999999998</v>
      </c>
      <c r="K10" s="51">
        <v>1.3</v>
      </c>
      <c r="L10" s="51">
        <v>1.2</v>
      </c>
      <c r="M10" s="51">
        <v>1</v>
      </c>
      <c r="N10" s="51">
        <v>1.3</v>
      </c>
      <c r="O10" s="51">
        <v>1.1000000000000001</v>
      </c>
      <c r="P10" s="51">
        <v>0.9</v>
      </c>
      <c r="Q10" s="51">
        <v>0.8</v>
      </c>
      <c r="R10" s="51">
        <v>1.7</v>
      </c>
      <c r="S10" s="51">
        <v>1.3</v>
      </c>
      <c r="T10" s="51">
        <v>1.4</v>
      </c>
      <c r="U10" s="51">
        <v>1.1000000000000001</v>
      </c>
      <c r="V10" s="51">
        <v>1</v>
      </c>
      <c r="W10" s="51">
        <v>0.9</v>
      </c>
      <c r="X10" s="51">
        <v>1</v>
      </c>
      <c r="Y10" s="51">
        <v>1.1000000000000001</v>
      </c>
      <c r="Z10" s="51">
        <v>1.2</v>
      </c>
      <c r="AA10" s="51">
        <v>1</v>
      </c>
      <c r="AB10" s="51">
        <v>0.9</v>
      </c>
      <c r="AC10" s="51">
        <v>1.2</v>
      </c>
      <c r="AD10" s="51">
        <v>1.1000000000000001</v>
      </c>
      <c r="AE10" s="51">
        <v>1.3</v>
      </c>
      <c r="AF10" s="51">
        <v>1</v>
      </c>
      <c r="AG10" s="46">
        <f t="shared" si="0"/>
        <v>35.5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51">
        <v>0.3</v>
      </c>
      <c r="C12" s="51">
        <v>0.9</v>
      </c>
      <c r="D12" s="51">
        <v>1.7</v>
      </c>
      <c r="E12" s="51">
        <v>1.4</v>
      </c>
      <c r="F12" s="51">
        <v>1.6</v>
      </c>
      <c r="G12" s="51">
        <v>1.1000000000000001</v>
      </c>
      <c r="H12" s="51">
        <v>1.9</v>
      </c>
      <c r="I12" s="51">
        <v>1.1000000000000001</v>
      </c>
      <c r="J12" s="51">
        <v>0.9</v>
      </c>
      <c r="K12" s="51">
        <v>1.7</v>
      </c>
      <c r="L12" s="51">
        <v>1.6</v>
      </c>
      <c r="M12" s="51">
        <v>1.1000000000000001</v>
      </c>
      <c r="N12" s="51">
        <v>1.1000000000000001</v>
      </c>
      <c r="O12" s="51">
        <v>1.4</v>
      </c>
      <c r="P12" s="51">
        <v>4.0999999999999996</v>
      </c>
      <c r="Q12" s="51">
        <v>1.1000000000000001</v>
      </c>
      <c r="R12" s="51">
        <v>1.2</v>
      </c>
      <c r="S12" s="51">
        <v>1.5</v>
      </c>
      <c r="T12" s="51">
        <v>2</v>
      </c>
      <c r="U12" s="51">
        <v>1.9</v>
      </c>
      <c r="V12" s="51">
        <v>0.9</v>
      </c>
      <c r="W12" s="51">
        <v>1.7</v>
      </c>
      <c r="X12" s="51">
        <v>1.5</v>
      </c>
      <c r="Y12" s="51">
        <v>1.2</v>
      </c>
      <c r="Z12" s="51">
        <v>1.7</v>
      </c>
      <c r="AA12" s="51">
        <v>1.5</v>
      </c>
      <c r="AB12" s="51">
        <v>1.4</v>
      </c>
      <c r="AC12" s="51" t="s">
        <v>198</v>
      </c>
      <c r="AD12" s="51">
        <v>1.6</v>
      </c>
      <c r="AE12" s="51">
        <v>1.1000000000000001</v>
      </c>
      <c r="AF12" s="51">
        <v>0.9</v>
      </c>
      <c r="AG12" s="46">
        <f t="shared" si="0"/>
        <v>43.1</v>
      </c>
    </row>
    <row r="13" spans="1:35" s="44" customFormat="1" ht="21" x14ac:dyDescent="0.35">
      <c r="A13" s="60" t="s">
        <v>69</v>
      </c>
      <c r="B13" s="55"/>
      <c r="C13" s="55">
        <v>1.8</v>
      </c>
      <c r="D13" s="55">
        <v>1.3</v>
      </c>
      <c r="E13" s="55">
        <v>1</v>
      </c>
      <c r="F13" s="55">
        <v>0.9</v>
      </c>
      <c r="G13" s="55">
        <v>1.2</v>
      </c>
      <c r="H13" s="55">
        <v>1.4</v>
      </c>
      <c r="I13" s="55"/>
      <c r="J13" s="55">
        <v>1</v>
      </c>
      <c r="K13" s="55">
        <v>1.2</v>
      </c>
      <c r="L13" s="55">
        <v>1</v>
      </c>
      <c r="M13" s="55">
        <v>2</v>
      </c>
      <c r="N13" s="55">
        <v>1</v>
      </c>
      <c r="O13" s="55">
        <v>1</v>
      </c>
      <c r="P13" s="55"/>
      <c r="Q13" s="55">
        <v>1.1000000000000001</v>
      </c>
      <c r="R13" s="55">
        <v>1.3</v>
      </c>
      <c r="S13" s="55">
        <v>1.1000000000000001</v>
      </c>
      <c r="T13" s="55">
        <v>1</v>
      </c>
      <c r="U13" s="55">
        <v>1.2</v>
      </c>
      <c r="V13" s="55">
        <v>1.5</v>
      </c>
      <c r="W13" s="55"/>
      <c r="X13" s="55">
        <v>1</v>
      </c>
      <c r="Y13" s="55">
        <v>2.1</v>
      </c>
      <c r="Z13" s="55">
        <v>1.1000000000000001</v>
      </c>
      <c r="AA13" s="55">
        <v>1.3</v>
      </c>
      <c r="AB13" s="55">
        <v>1</v>
      </c>
      <c r="AC13" s="55">
        <v>1.3</v>
      </c>
      <c r="AD13" s="55"/>
      <c r="AE13" s="55">
        <v>1</v>
      </c>
      <c r="AF13" s="55">
        <v>1.5</v>
      </c>
      <c r="AG13" s="46">
        <f t="shared" si="0"/>
        <v>32.300000000000004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3.1</v>
      </c>
      <c r="C14" s="51">
        <v>4</v>
      </c>
      <c r="D14" s="51">
        <v>4.2</v>
      </c>
      <c r="E14" s="51">
        <v>6.3</v>
      </c>
      <c r="F14" s="51">
        <v>8.5</v>
      </c>
      <c r="G14" s="51">
        <v>4.2</v>
      </c>
      <c r="H14" s="51">
        <v>2.2000000000000002</v>
      </c>
      <c r="I14" s="51">
        <v>1.1000000000000001</v>
      </c>
      <c r="J14" s="51">
        <v>4.5</v>
      </c>
      <c r="K14" s="51">
        <v>7.4</v>
      </c>
      <c r="L14" s="51">
        <v>6.2</v>
      </c>
      <c r="M14" s="51">
        <v>4.2</v>
      </c>
      <c r="N14" s="51">
        <v>3.1</v>
      </c>
      <c r="O14" s="51">
        <v>2.2000000000000002</v>
      </c>
      <c r="P14" s="51">
        <v>4.2</v>
      </c>
      <c r="Q14" s="51">
        <v>9.4</v>
      </c>
      <c r="R14" s="51">
        <v>9.4</v>
      </c>
      <c r="S14" s="51">
        <v>7.2</v>
      </c>
      <c r="T14" s="51">
        <v>7.5</v>
      </c>
      <c r="U14" s="51">
        <v>5.9</v>
      </c>
      <c r="V14" s="51">
        <v>6.3</v>
      </c>
      <c r="W14" s="51">
        <v>4.9000000000000004</v>
      </c>
      <c r="X14" s="51">
        <v>7.1</v>
      </c>
      <c r="Y14" s="52">
        <v>7.5</v>
      </c>
      <c r="Z14" s="52">
        <v>7.3</v>
      </c>
      <c r="AA14" s="52">
        <v>8.1</v>
      </c>
      <c r="AB14" s="52">
        <v>6.4</v>
      </c>
      <c r="AC14" s="52">
        <v>7.1</v>
      </c>
      <c r="AD14" s="52">
        <v>6.9</v>
      </c>
      <c r="AE14" s="52">
        <v>7</v>
      </c>
      <c r="AF14" s="52">
        <v>5.0999999999999996</v>
      </c>
      <c r="AG14" s="46">
        <f t="shared" si="0"/>
        <v>178.50000000000003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0.9</v>
      </c>
      <c r="C15" s="51">
        <v>1.4</v>
      </c>
      <c r="D15" s="51">
        <v>1.5</v>
      </c>
      <c r="E15" s="51">
        <v>1.2</v>
      </c>
      <c r="F15" s="51">
        <v>1.5</v>
      </c>
      <c r="G15" s="51">
        <v>2.5</v>
      </c>
      <c r="H15" s="51">
        <v>2.4</v>
      </c>
      <c r="I15" s="51">
        <v>1.2</v>
      </c>
      <c r="J15" s="51">
        <v>1.9</v>
      </c>
      <c r="K15" s="51">
        <v>1.9</v>
      </c>
      <c r="L15" s="51">
        <v>1.5</v>
      </c>
      <c r="M15" s="51">
        <v>0.5</v>
      </c>
      <c r="N15" s="51">
        <v>2.1</v>
      </c>
      <c r="O15" s="51">
        <v>1.2</v>
      </c>
      <c r="P15" s="51">
        <v>0.3</v>
      </c>
      <c r="Q15" s="51">
        <v>0.9</v>
      </c>
      <c r="R15" s="51">
        <v>1</v>
      </c>
      <c r="S15" s="51">
        <v>0.7</v>
      </c>
      <c r="T15" s="51">
        <v>0.6</v>
      </c>
      <c r="U15" s="51">
        <v>0.8</v>
      </c>
      <c r="V15" s="51">
        <v>1.2</v>
      </c>
      <c r="W15" s="51">
        <v>1</v>
      </c>
      <c r="X15" s="51">
        <v>0.9</v>
      </c>
      <c r="Y15" s="51">
        <v>2.5</v>
      </c>
      <c r="Z15" s="51">
        <v>0.3</v>
      </c>
      <c r="AA15" s="51">
        <v>0.6</v>
      </c>
      <c r="AB15" s="51">
        <v>1</v>
      </c>
      <c r="AC15" s="51">
        <v>0</v>
      </c>
      <c r="AD15" s="51">
        <v>0</v>
      </c>
      <c r="AE15" s="51">
        <v>0</v>
      </c>
      <c r="AF15" s="51">
        <v>1.2</v>
      </c>
      <c r="AG15" s="46">
        <f t="shared" si="0"/>
        <v>34.700000000000003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>
        <v>1.4</v>
      </c>
      <c r="C17" s="51">
        <v>1.3</v>
      </c>
      <c r="D17" s="51">
        <v>2</v>
      </c>
      <c r="E17" s="51">
        <v>1.8</v>
      </c>
      <c r="F17" s="51">
        <v>1.5</v>
      </c>
      <c r="G17" s="51">
        <v>1.6</v>
      </c>
      <c r="H17" s="51">
        <v>2.2999999999999998</v>
      </c>
      <c r="I17" s="51">
        <v>1.2</v>
      </c>
      <c r="J17" s="51">
        <v>1.5</v>
      </c>
      <c r="K17" s="51">
        <v>1.2</v>
      </c>
      <c r="L17" s="51">
        <v>1.9</v>
      </c>
      <c r="M17" s="51">
        <v>1.8</v>
      </c>
      <c r="N17" s="51">
        <v>1.6</v>
      </c>
      <c r="O17" s="51">
        <v>1.2</v>
      </c>
      <c r="P17" s="51">
        <v>1</v>
      </c>
      <c r="Q17" s="51">
        <v>1.7</v>
      </c>
      <c r="R17" s="51">
        <v>1.8</v>
      </c>
      <c r="S17" s="51">
        <v>2.2000000000000002</v>
      </c>
      <c r="T17" s="51">
        <v>2.5</v>
      </c>
      <c r="U17" s="51">
        <v>1.6</v>
      </c>
      <c r="V17" s="51">
        <v>2</v>
      </c>
      <c r="W17" s="51">
        <v>1.3</v>
      </c>
      <c r="X17" s="51">
        <v>1.3</v>
      </c>
      <c r="Y17" s="51">
        <v>1.2</v>
      </c>
      <c r="Z17" s="51">
        <v>2.5</v>
      </c>
      <c r="AA17" s="51">
        <v>3.1</v>
      </c>
      <c r="AB17" s="51">
        <v>2.6</v>
      </c>
      <c r="AC17" s="51">
        <v>1.7</v>
      </c>
      <c r="AD17" s="51">
        <v>0.4</v>
      </c>
      <c r="AE17" s="51">
        <v>1.5</v>
      </c>
      <c r="AF17" s="51">
        <v>1.8</v>
      </c>
      <c r="AG17" s="46">
        <f t="shared" si="0"/>
        <v>52.499999999999993</v>
      </c>
      <c r="AH17" s="48"/>
      <c r="AI17" s="48"/>
    </row>
    <row r="18" spans="1:35" s="44" customFormat="1" ht="18.75" customHeight="1" x14ac:dyDescent="0.35">
      <c r="A18" s="60" t="s">
        <v>73</v>
      </c>
      <c r="B18" s="51">
        <f>2.7/2</f>
        <v>1.35</v>
      </c>
      <c r="C18" s="51">
        <f>2/2</f>
        <v>1</v>
      </c>
      <c r="D18" s="51">
        <f>2.7/2</f>
        <v>1.35</v>
      </c>
      <c r="E18" s="51">
        <f>2.1/2</f>
        <v>1.05</v>
      </c>
      <c r="F18" s="51">
        <f>4.7/2</f>
        <v>2.35</v>
      </c>
      <c r="G18" s="51">
        <f>2.9/2</f>
        <v>1.45</v>
      </c>
      <c r="H18" s="51">
        <f>3/2</f>
        <v>1.5</v>
      </c>
      <c r="I18" s="51">
        <v>2</v>
      </c>
      <c r="J18" s="51">
        <f>2.7/2</f>
        <v>1.35</v>
      </c>
      <c r="K18" s="51">
        <f>2.2/2</f>
        <v>1.1000000000000001</v>
      </c>
      <c r="L18" s="51">
        <v>2</v>
      </c>
      <c r="M18" s="51">
        <f>2.7/2</f>
        <v>1.35</v>
      </c>
      <c r="N18" s="51">
        <v>2</v>
      </c>
      <c r="O18" s="51">
        <f>2.7/2</f>
        <v>1.35</v>
      </c>
      <c r="P18" s="51">
        <f>2.9/2</f>
        <v>1.45</v>
      </c>
      <c r="Q18" s="51">
        <f>2.7/2</f>
        <v>1.35</v>
      </c>
      <c r="R18" s="51">
        <f>4.3/2</f>
        <v>2.15</v>
      </c>
      <c r="S18" s="51">
        <v>1.5</v>
      </c>
      <c r="T18" s="51">
        <f>4.7/2</f>
        <v>2.35</v>
      </c>
      <c r="U18" s="51">
        <f>2.1/2</f>
        <v>1.05</v>
      </c>
      <c r="V18" s="51">
        <f t="shared" ref="V18:X19" si="1">2.7/2</f>
        <v>1.35</v>
      </c>
      <c r="W18" s="51">
        <f t="shared" si="1"/>
        <v>1.35</v>
      </c>
      <c r="X18" s="51">
        <f t="shared" si="1"/>
        <v>1.35</v>
      </c>
      <c r="Y18" s="51">
        <f>2.8/2</f>
        <v>1.4</v>
      </c>
      <c r="Z18" s="51">
        <f>2.7/2</f>
        <v>1.35</v>
      </c>
      <c r="AA18" s="51">
        <f>1.2/2</f>
        <v>0.6</v>
      </c>
      <c r="AB18" s="51">
        <f>4.1/2</f>
        <v>2.0499999999999998</v>
      </c>
      <c r="AC18" s="51">
        <f>4.3/2</f>
        <v>2.15</v>
      </c>
      <c r="AD18" s="51">
        <f>2.9/2</f>
        <v>1.45</v>
      </c>
      <c r="AE18" s="51">
        <v>1.5</v>
      </c>
      <c r="AF18" s="51">
        <f>1.4/2</f>
        <v>0.7</v>
      </c>
      <c r="AG18" s="46">
        <f t="shared" si="0"/>
        <v>46.300000000000011</v>
      </c>
      <c r="AH18" s="48"/>
      <c r="AI18" s="48"/>
    </row>
    <row r="19" spans="1:35" s="44" customFormat="1" ht="18.75" customHeight="1" x14ac:dyDescent="0.35">
      <c r="A19" s="60" t="s">
        <v>92</v>
      </c>
      <c r="B19" s="51">
        <f>2.7/2</f>
        <v>1.35</v>
      </c>
      <c r="C19" s="51">
        <f>2/2</f>
        <v>1</v>
      </c>
      <c r="D19" s="51">
        <f>2.7/2</f>
        <v>1.35</v>
      </c>
      <c r="E19" s="51">
        <f>2.1/2</f>
        <v>1.05</v>
      </c>
      <c r="F19" s="51">
        <f>4.7/2</f>
        <v>2.35</v>
      </c>
      <c r="G19" s="51">
        <f>2.9/2</f>
        <v>1.45</v>
      </c>
      <c r="H19" s="51">
        <f>3/2</f>
        <v>1.5</v>
      </c>
      <c r="I19" s="51">
        <v>2</v>
      </c>
      <c r="J19" s="51">
        <f>2.7/2</f>
        <v>1.35</v>
      </c>
      <c r="K19" s="51">
        <f>2.2/2</f>
        <v>1.1000000000000001</v>
      </c>
      <c r="L19" s="51">
        <v>2</v>
      </c>
      <c r="M19" s="51">
        <f>2.7/2</f>
        <v>1.35</v>
      </c>
      <c r="N19" s="51">
        <v>2</v>
      </c>
      <c r="O19" s="51">
        <f>2.7/2</f>
        <v>1.35</v>
      </c>
      <c r="P19" s="51">
        <f>2.9/2</f>
        <v>1.45</v>
      </c>
      <c r="Q19" s="51">
        <f>2.7/2</f>
        <v>1.35</v>
      </c>
      <c r="R19" s="51">
        <f>4.3/2</f>
        <v>2.15</v>
      </c>
      <c r="S19" s="51">
        <v>1.5</v>
      </c>
      <c r="T19" s="51">
        <f>4.7/2</f>
        <v>2.35</v>
      </c>
      <c r="U19" s="51">
        <f>2.1/2</f>
        <v>1.05</v>
      </c>
      <c r="V19" s="51">
        <f t="shared" si="1"/>
        <v>1.35</v>
      </c>
      <c r="W19" s="51">
        <f t="shared" si="1"/>
        <v>1.35</v>
      </c>
      <c r="X19" s="51">
        <f t="shared" si="1"/>
        <v>1.35</v>
      </c>
      <c r="Y19" s="51">
        <f>2.8/2</f>
        <v>1.4</v>
      </c>
      <c r="Z19" s="51">
        <f>2.7/2</f>
        <v>1.35</v>
      </c>
      <c r="AA19" s="51">
        <f>1.2/2</f>
        <v>0.6</v>
      </c>
      <c r="AB19" s="51">
        <f>4.1/2</f>
        <v>2.0499999999999998</v>
      </c>
      <c r="AC19" s="51">
        <f>4.3/2</f>
        <v>2.15</v>
      </c>
      <c r="AD19" s="51">
        <f>2.9/2</f>
        <v>1.45</v>
      </c>
      <c r="AE19" s="51">
        <v>1.5</v>
      </c>
      <c r="AF19" s="51">
        <f>1.4/2</f>
        <v>0.7</v>
      </c>
      <c r="AG19" s="46">
        <f t="shared" si="0"/>
        <v>46.300000000000011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v>2</v>
      </c>
      <c r="C20" s="51">
        <v>2.1</v>
      </c>
      <c r="D20" s="51">
        <v>2</v>
      </c>
      <c r="E20" s="51">
        <v>1.4</v>
      </c>
      <c r="F20" s="51">
        <v>1</v>
      </c>
      <c r="G20" s="51">
        <v>1</v>
      </c>
      <c r="H20" s="51">
        <v>3</v>
      </c>
      <c r="I20" s="51">
        <v>1.7</v>
      </c>
      <c r="J20" s="51">
        <v>1.1000000000000001</v>
      </c>
      <c r="K20" s="51">
        <v>1.3</v>
      </c>
      <c r="L20" s="51">
        <v>1</v>
      </c>
      <c r="M20" s="51">
        <v>1.4</v>
      </c>
      <c r="N20" s="51" t="s">
        <v>199</v>
      </c>
      <c r="O20" s="51">
        <v>11.4</v>
      </c>
      <c r="P20" s="51">
        <v>1.1000000000000001</v>
      </c>
      <c r="Q20" s="51">
        <v>1.2</v>
      </c>
      <c r="R20" s="51">
        <v>1</v>
      </c>
      <c r="S20" s="51">
        <v>1.5</v>
      </c>
      <c r="T20" s="51">
        <v>1.9</v>
      </c>
      <c r="U20" s="51">
        <v>1.4</v>
      </c>
      <c r="V20" s="51">
        <v>1.9</v>
      </c>
      <c r="W20" s="51">
        <v>1.9</v>
      </c>
      <c r="X20" s="51">
        <v>2</v>
      </c>
      <c r="Y20" s="51">
        <v>2.1</v>
      </c>
      <c r="Z20" s="51">
        <v>2.8</v>
      </c>
      <c r="AA20" s="51">
        <v>2</v>
      </c>
      <c r="AB20" s="51">
        <v>1.1000000000000001</v>
      </c>
      <c r="AC20" s="51">
        <v>1.4</v>
      </c>
      <c r="AD20" s="51">
        <v>1</v>
      </c>
      <c r="AE20" s="51">
        <v>0.4</v>
      </c>
      <c r="AF20" s="51">
        <v>1.7</v>
      </c>
      <c r="AG20" s="46">
        <f t="shared" si="0"/>
        <v>56.8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>
        <v>1.4</v>
      </c>
      <c r="E22" s="51"/>
      <c r="F22" s="51">
        <v>1.8</v>
      </c>
      <c r="G22" s="51"/>
      <c r="H22" s="51">
        <v>1.9</v>
      </c>
      <c r="I22" s="51"/>
      <c r="J22" s="51"/>
      <c r="K22" s="51">
        <v>1.8</v>
      </c>
      <c r="L22" s="51"/>
      <c r="M22" s="51">
        <v>1.8</v>
      </c>
      <c r="N22" s="51">
        <v>1.9</v>
      </c>
      <c r="O22" s="51"/>
      <c r="P22" s="51"/>
      <c r="Q22" s="51">
        <v>0.8</v>
      </c>
      <c r="R22" s="51">
        <v>1.5</v>
      </c>
      <c r="S22" s="51">
        <v>1.3</v>
      </c>
      <c r="T22" s="51">
        <v>1.6</v>
      </c>
      <c r="U22" s="51">
        <v>1.9</v>
      </c>
      <c r="V22" s="51">
        <v>1</v>
      </c>
      <c r="W22" s="51"/>
      <c r="X22" s="51"/>
      <c r="Y22" s="51">
        <v>0.7</v>
      </c>
      <c r="Z22" s="51">
        <v>1.3</v>
      </c>
      <c r="AA22" s="51">
        <v>1.6</v>
      </c>
      <c r="AB22" s="51">
        <v>1.9</v>
      </c>
      <c r="AC22" s="51">
        <v>2.2999999999999998</v>
      </c>
      <c r="AD22" s="51"/>
      <c r="AE22" s="51">
        <v>0.4</v>
      </c>
      <c r="AF22" s="51">
        <v>1.4</v>
      </c>
      <c r="AG22" s="46">
        <f t="shared" si="0"/>
        <v>28.299999999999997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>
        <v>0.2</v>
      </c>
      <c r="D23" s="51">
        <v>0.3</v>
      </c>
      <c r="E23" s="51">
        <v>1</v>
      </c>
      <c r="F23" s="51">
        <v>0.6</v>
      </c>
      <c r="G23" s="51">
        <v>1</v>
      </c>
      <c r="H23" s="51"/>
      <c r="I23" s="51"/>
      <c r="J23" s="51">
        <v>0.2</v>
      </c>
      <c r="K23" s="51">
        <v>0.8</v>
      </c>
      <c r="L23" s="51">
        <v>1</v>
      </c>
      <c r="M23" s="51">
        <v>1.3</v>
      </c>
      <c r="N23" s="51">
        <v>0.3</v>
      </c>
      <c r="O23" s="51"/>
      <c r="P23" s="51"/>
      <c r="Q23" s="51">
        <v>0.2</v>
      </c>
      <c r="R23" s="51">
        <v>0.3</v>
      </c>
      <c r="S23" s="51">
        <v>1</v>
      </c>
      <c r="T23" s="51">
        <v>1.3</v>
      </c>
      <c r="U23" s="51">
        <v>0.6</v>
      </c>
      <c r="V23" s="51"/>
      <c r="W23" s="51"/>
      <c r="X23" s="51">
        <v>1</v>
      </c>
      <c r="Y23" s="51">
        <v>0.5</v>
      </c>
      <c r="Z23" s="51">
        <v>0.3</v>
      </c>
      <c r="AA23" s="51">
        <v>1</v>
      </c>
      <c r="AB23" s="51">
        <v>0.3</v>
      </c>
      <c r="AC23" s="51"/>
      <c r="AD23" s="51"/>
      <c r="AE23" s="51">
        <v>1.2</v>
      </c>
      <c r="AF23" s="51">
        <v>1</v>
      </c>
      <c r="AG23" s="46">
        <f t="shared" si="0"/>
        <v>15.4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5</v>
      </c>
      <c r="C24" s="51">
        <v>4</v>
      </c>
      <c r="D24" s="51">
        <v>3</v>
      </c>
      <c r="E24" s="51">
        <v>4</v>
      </c>
      <c r="F24" s="51">
        <v>5</v>
      </c>
      <c r="G24" s="51">
        <v>4</v>
      </c>
      <c r="H24" s="51">
        <v>6</v>
      </c>
      <c r="I24" s="51">
        <v>5</v>
      </c>
      <c r="J24" s="51">
        <v>4</v>
      </c>
      <c r="K24" s="51">
        <v>5</v>
      </c>
      <c r="L24" s="51">
        <v>5</v>
      </c>
      <c r="M24" s="51">
        <v>6</v>
      </c>
      <c r="N24" s="51">
        <v>4.3</v>
      </c>
      <c r="O24" s="51">
        <v>4.9000000000000004</v>
      </c>
      <c r="P24" s="51">
        <v>3.7</v>
      </c>
      <c r="Q24" s="51">
        <v>3.7</v>
      </c>
      <c r="R24" s="51">
        <v>3.2</v>
      </c>
      <c r="S24" s="51">
        <v>2.2000000000000002</v>
      </c>
      <c r="T24" s="51">
        <v>3.2</v>
      </c>
      <c r="U24" s="51">
        <v>3.2</v>
      </c>
      <c r="V24" s="51">
        <v>3.3</v>
      </c>
      <c r="W24" s="51">
        <v>4.3</v>
      </c>
      <c r="X24" s="51">
        <v>4.2</v>
      </c>
      <c r="Y24" s="51">
        <v>3.2</v>
      </c>
      <c r="Z24" s="51">
        <v>2.2000000000000002</v>
      </c>
      <c r="AA24" s="51">
        <v>3.2</v>
      </c>
      <c r="AB24" s="51">
        <v>3.2</v>
      </c>
      <c r="AC24" s="51">
        <v>4.2</v>
      </c>
      <c r="AD24" s="51">
        <v>2.2000000000000002</v>
      </c>
      <c r="AE24" s="51">
        <v>2.2000000000000002</v>
      </c>
      <c r="AF24" s="51">
        <v>2.2000000000000002</v>
      </c>
      <c r="AG24" s="46">
        <f t="shared" si="0"/>
        <v>118.80000000000004</v>
      </c>
      <c r="AH24" s="48"/>
      <c r="AI24" s="48"/>
    </row>
    <row r="25" spans="1:35" s="44" customFormat="1" ht="18.75" customHeight="1" x14ac:dyDescent="0.35">
      <c r="A25" s="116" t="s">
        <v>79</v>
      </c>
      <c r="B25" s="51">
        <v>3.1</v>
      </c>
      <c r="C25" s="51">
        <f>2.3+1.1</f>
        <v>3.4</v>
      </c>
      <c r="D25" s="51">
        <v>5</v>
      </c>
      <c r="E25" s="51">
        <v>3</v>
      </c>
      <c r="F25" s="51">
        <v>5.0999999999999996</v>
      </c>
      <c r="G25" s="51">
        <v>5.3</v>
      </c>
      <c r="H25" s="51">
        <v>3</v>
      </c>
      <c r="I25" s="51">
        <v>2.1</v>
      </c>
      <c r="J25" s="51">
        <v>5.6</v>
      </c>
      <c r="K25" s="51">
        <v>3.5</v>
      </c>
      <c r="L25" s="51">
        <v>3</v>
      </c>
      <c r="M25" s="51">
        <v>4</v>
      </c>
      <c r="N25" s="51">
        <v>6.1</v>
      </c>
      <c r="O25" s="51">
        <v>7</v>
      </c>
      <c r="P25" s="51">
        <v>3</v>
      </c>
      <c r="Q25" s="51">
        <v>5.0999999999999996</v>
      </c>
      <c r="R25" s="51">
        <v>3</v>
      </c>
      <c r="S25" s="51">
        <v>3.2</v>
      </c>
      <c r="T25" s="51">
        <v>3.1</v>
      </c>
      <c r="U25" s="51">
        <v>3</v>
      </c>
      <c r="V25" s="51">
        <v>5</v>
      </c>
      <c r="W25" s="51">
        <v>5</v>
      </c>
      <c r="X25" s="51">
        <v>2</v>
      </c>
      <c r="Y25" s="51">
        <v>3</v>
      </c>
      <c r="Z25" s="51">
        <v>1</v>
      </c>
      <c r="AA25" s="51">
        <v>3</v>
      </c>
      <c r="AB25" s="51">
        <v>4</v>
      </c>
      <c r="AC25" s="51">
        <v>5</v>
      </c>
      <c r="AD25" s="51">
        <v>5</v>
      </c>
      <c r="AE25" s="51">
        <v>3</v>
      </c>
      <c r="AF25" s="51">
        <v>2</v>
      </c>
      <c r="AG25" s="46">
        <f t="shared" si="0"/>
        <v>117.6</v>
      </c>
      <c r="AH25" s="48"/>
      <c r="AI25" s="48"/>
    </row>
    <row r="26" spans="1:35" s="44" customFormat="1" ht="18.75" customHeight="1" x14ac:dyDescent="0.35">
      <c r="A26" s="116" t="s">
        <v>154</v>
      </c>
      <c r="B26" s="52">
        <v>0.2</v>
      </c>
      <c r="C26" s="52">
        <v>0.3</v>
      </c>
      <c r="D26" s="52">
        <v>0.3</v>
      </c>
      <c r="E26" s="52"/>
      <c r="F26" s="52">
        <v>0.3</v>
      </c>
      <c r="G26" s="52">
        <v>1</v>
      </c>
      <c r="H26" s="52"/>
      <c r="I26" s="52">
        <v>0.2</v>
      </c>
      <c r="J26" s="52">
        <v>1</v>
      </c>
      <c r="K26" s="52">
        <v>1.3</v>
      </c>
      <c r="L26" s="52">
        <v>0.2</v>
      </c>
      <c r="M26" s="52">
        <v>0.1</v>
      </c>
      <c r="N26" s="52">
        <v>0.3</v>
      </c>
      <c r="O26" s="52">
        <v>0.3</v>
      </c>
      <c r="P26" s="52">
        <v>0.2</v>
      </c>
      <c r="Q26" s="52">
        <v>0.1</v>
      </c>
      <c r="R26" s="52">
        <v>1.2</v>
      </c>
      <c r="S26" s="52">
        <v>1</v>
      </c>
      <c r="T26" s="52">
        <v>0.1</v>
      </c>
      <c r="U26" s="52">
        <v>0.1</v>
      </c>
      <c r="V26" s="52">
        <v>0.2</v>
      </c>
      <c r="W26" s="52">
        <v>0.2</v>
      </c>
      <c r="X26" s="52">
        <v>2</v>
      </c>
      <c r="Y26" s="52">
        <v>0.1</v>
      </c>
      <c r="Z26" s="52"/>
      <c r="AA26" s="52">
        <v>1</v>
      </c>
      <c r="AB26" s="52">
        <v>1</v>
      </c>
      <c r="AC26" s="52">
        <v>1.2</v>
      </c>
      <c r="AD26" s="52">
        <v>0.1</v>
      </c>
      <c r="AE26" s="52">
        <v>0.1</v>
      </c>
      <c r="AF26" s="52">
        <v>0.1</v>
      </c>
      <c r="AG26" s="46">
        <f t="shared" si="0"/>
        <v>14.199999999999996</v>
      </c>
      <c r="AH26" s="48"/>
      <c r="AI26" s="48"/>
    </row>
    <row r="27" spans="1:35" s="44" customFormat="1" ht="18.75" customHeight="1" x14ac:dyDescent="0.35">
      <c r="A27" s="116" t="s">
        <v>80</v>
      </c>
      <c r="B27" s="52">
        <v>2.5</v>
      </c>
      <c r="C27" s="52">
        <v>1.2</v>
      </c>
      <c r="D27" s="52">
        <v>3.1</v>
      </c>
      <c r="E27" s="52">
        <v>2.2000000000000002</v>
      </c>
      <c r="F27" s="52">
        <v>3.1</v>
      </c>
      <c r="G27" s="52">
        <v>1</v>
      </c>
      <c r="H27" s="52"/>
      <c r="I27" s="52">
        <v>1.8</v>
      </c>
      <c r="J27" s="52">
        <v>1</v>
      </c>
      <c r="K27" s="52">
        <v>0.9</v>
      </c>
      <c r="L27" s="52">
        <v>1.2</v>
      </c>
      <c r="M27" s="52">
        <v>1.3</v>
      </c>
      <c r="N27" s="52">
        <v>1.1000000000000001</v>
      </c>
      <c r="O27" s="52">
        <v>1.4</v>
      </c>
      <c r="P27" s="52"/>
      <c r="Q27" s="52">
        <v>2.2000000000000002</v>
      </c>
      <c r="R27" s="52">
        <v>1</v>
      </c>
      <c r="S27" s="52">
        <v>0.9</v>
      </c>
      <c r="T27" s="52">
        <v>1.2</v>
      </c>
      <c r="U27" s="52">
        <v>1</v>
      </c>
      <c r="V27" s="52">
        <v>1.2</v>
      </c>
      <c r="W27" s="52">
        <v>1.1000000000000001</v>
      </c>
      <c r="X27" s="52"/>
      <c r="Y27" s="52">
        <v>1.3</v>
      </c>
      <c r="Z27" s="52">
        <v>1</v>
      </c>
      <c r="AA27" s="52">
        <v>1.1000000000000001</v>
      </c>
      <c r="AB27" s="52">
        <v>0.9</v>
      </c>
      <c r="AC27" s="52">
        <v>0.7</v>
      </c>
      <c r="AD27" s="52">
        <v>1.2</v>
      </c>
      <c r="AE27" s="52">
        <v>1.5</v>
      </c>
      <c r="AF27" s="52"/>
      <c r="AG27" s="46">
        <f t="shared" si="0"/>
        <v>38.100000000000009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116" t="s">
        <v>81</v>
      </c>
      <c r="B29" s="52">
        <f>1.9+1.3+2.1</f>
        <v>5.3000000000000007</v>
      </c>
      <c r="C29" s="52">
        <f>1.9+8.3+2.1</f>
        <v>12.3</v>
      </c>
      <c r="D29" s="52">
        <f>2.5+1.9+0.8</f>
        <v>5.2</v>
      </c>
      <c r="E29" s="52">
        <f>1.9+1+0.9</f>
        <v>3.8</v>
      </c>
      <c r="F29" s="52">
        <f>0.5+0.8+1.3</f>
        <v>2.6</v>
      </c>
      <c r="G29" s="52">
        <f>0.9+2.1</f>
        <v>3</v>
      </c>
      <c r="H29" s="52">
        <f>2.5+2.1+1</f>
        <v>5.6</v>
      </c>
      <c r="I29" s="52">
        <f>2+3.1+0.2</f>
        <v>5.3</v>
      </c>
      <c r="J29" s="52">
        <f>3.1+1.8+3</f>
        <v>7.9</v>
      </c>
      <c r="K29" s="52">
        <f>1.8+2.1+1.9</f>
        <v>5.8000000000000007</v>
      </c>
      <c r="L29" s="52">
        <f>4.1+2.1+1.2</f>
        <v>7.3999999999999995</v>
      </c>
      <c r="M29" s="52">
        <v>3.1</v>
      </c>
      <c r="N29" s="52">
        <f>3.1+2.1</f>
        <v>5.2</v>
      </c>
      <c r="O29" s="52">
        <f>1.8+0.8+1.2</f>
        <v>3.8</v>
      </c>
      <c r="P29" s="52">
        <f>3+3.1+4</f>
        <v>10.1</v>
      </c>
      <c r="Q29" s="52">
        <f>1.5+2+1.5</f>
        <v>5</v>
      </c>
      <c r="R29" s="52">
        <f>4.1+2.1+1.9</f>
        <v>8.1</v>
      </c>
      <c r="S29" s="52">
        <f>4.2+1.8+1</f>
        <v>7</v>
      </c>
      <c r="T29" s="52">
        <f>2.1+2.1+3.1</f>
        <v>7.3000000000000007</v>
      </c>
      <c r="U29" s="52">
        <f>1.9+2.1+3.1</f>
        <v>7.1</v>
      </c>
      <c r="V29" s="52">
        <f>2.5+1.5+0.1</f>
        <v>4.0999999999999996</v>
      </c>
      <c r="W29" s="52">
        <f>2.1+2+2.1</f>
        <v>6.1999999999999993</v>
      </c>
      <c r="X29" s="52">
        <f>2.1+3.5+2</f>
        <v>7.6</v>
      </c>
      <c r="Y29" s="52">
        <f>4.1+3.1+2</f>
        <v>9.1999999999999993</v>
      </c>
      <c r="Z29" s="52">
        <f>4.3+3.2+2.2</f>
        <v>9.6999999999999993</v>
      </c>
      <c r="AA29" s="52">
        <f>3.2+2.2+3.1</f>
        <v>8.5</v>
      </c>
      <c r="AB29" s="52">
        <f>1.9+2.1+1.9</f>
        <v>5.9</v>
      </c>
      <c r="AC29" s="52">
        <f>2.1+2.1+1.9</f>
        <v>6.1</v>
      </c>
      <c r="AD29" s="52">
        <f>1.9+2.2</f>
        <v>4.0999999999999996</v>
      </c>
      <c r="AE29" s="52">
        <f>1.3+2.1+1.5</f>
        <v>4.9000000000000004</v>
      </c>
      <c r="AF29" s="52"/>
      <c r="AG29" s="46">
        <f t="shared" si="0"/>
        <v>187.19999999999993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116" t="s">
        <v>82</v>
      </c>
      <c r="B31" s="52">
        <f>2.9+5</f>
        <v>7.9</v>
      </c>
      <c r="C31" s="52">
        <f>3+4.1</f>
        <v>7.1</v>
      </c>
      <c r="D31" s="52">
        <f>3.7+5.4</f>
        <v>9.1000000000000014</v>
      </c>
      <c r="E31" s="52" t="s">
        <v>173</v>
      </c>
      <c r="F31" s="52">
        <f>4.6+2.2+1.3</f>
        <v>8.1</v>
      </c>
      <c r="G31" s="52">
        <f>4.3+2.8+1.6</f>
        <v>8.6999999999999993</v>
      </c>
      <c r="H31" s="52">
        <f>1.2+3+4</f>
        <v>8.1999999999999993</v>
      </c>
      <c r="I31" s="52">
        <f>1.2+2+3.6</f>
        <v>6.8000000000000007</v>
      </c>
      <c r="J31" s="52">
        <f>2.9+2.6+2</f>
        <v>7.5</v>
      </c>
      <c r="K31" s="52">
        <f>2.9+2.6+2</f>
        <v>7.5</v>
      </c>
      <c r="L31" s="52">
        <f>3.7+5.4+3.9</f>
        <v>13.000000000000002</v>
      </c>
      <c r="M31" s="52">
        <f>3.9+5.4+2</f>
        <v>11.3</v>
      </c>
      <c r="N31" s="52">
        <f>3.9+4.9+0.9</f>
        <v>9.7000000000000011</v>
      </c>
      <c r="O31" s="52">
        <f>2.6+2.6+2.1</f>
        <v>7.3000000000000007</v>
      </c>
      <c r="P31" s="52">
        <f>1.2+3.6+4</f>
        <v>8.8000000000000007</v>
      </c>
      <c r="Q31" s="52">
        <f>2.6+3+1.6</f>
        <v>7.1999999999999993</v>
      </c>
      <c r="R31" s="52">
        <f>1+2+3</f>
        <v>6</v>
      </c>
      <c r="S31" s="52">
        <f>1.6+2.6+2.6</f>
        <v>6.8000000000000007</v>
      </c>
      <c r="T31" s="52">
        <f>3.6+2.6+1.6</f>
        <v>7.8000000000000007</v>
      </c>
      <c r="U31" s="52">
        <f>1+2.6+4</f>
        <v>7.6</v>
      </c>
      <c r="V31" s="52">
        <f>1.6+2.6+3.6</f>
        <v>7.8000000000000007</v>
      </c>
      <c r="W31" s="52">
        <f>3.6+1.2+2.6</f>
        <v>7.4</v>
      </c>
      <c r="X31" s="52">
        <f>1.6+2+3</f>
        <v>6.6</v>
      </c>
      <c r="Y31" s="52">
        <f>2+7+2.1</f>
        <v>11.1</v>
      </c>
      <c r="Z31" s="52">
        <f>2.9+3.9+9</f>
        <v>15.8</v>
      </c>
      <c r="AA31" s="52">
        <f>1.6+2.6</f>
        <v>4.2</v>
      </c>
      <c r="AB31" s="52">
        <f>3.6+2.6+1</f>
        <v>7.2</v>
      </c>
      <c r="AC31" s="52">
        <f>1+2+2.5</f>
        <v>5.5</v>
      </c>
      <c r="AD31" s="52">
        <f>1.6+2+3</f>
        <v>6.6</v>
      </c>
      <c r="AE31" s="52">
        <f>3.6+4.3</f>
        <v>7.9</v>
      </c>
      <c r="AF31" s="52">
        <f>2.9+2.5</f>
        <v>5.4</v>
      </c>
      <c r="AG31" s="46">
        <f t="shared" si="0"/>
        <v>241.9</v>
      </c>
      <c r="AH31" s="48"/>
      <c r="AI31" s="48"/>
    </row>
    <row r="32" spans="1:35" s="44" customFormat="1" ht="18.75" customHeight="1" x14ac:dyDescent="0.35">
      <c r="A32" s="60" t="s">
        <v>178</v>
      </c>
      <c r="B32" s="52">
        <v>0.1</v>
      </c>
      <c r="C32" s="114">
        <v>1</v>
      </c>
      <c r="D32" s="52">
        <v>0.3</v>
      </c>
      <c r="E32" s="52">
        <v>0.1</v>
      </c>
      <c r="F32" s="114">
        <v>1</v>
      </c>
      <c r="G32" s="52">
        <v>0.1</v>
      </c>
      <c r="H32" s="114">
        <v>1</v>
      </c>
      <c r="I32" s="52">
        <v>0.8</v>
      </c>
      <c r="J32" s="52">
        <v>0.1</v>
      </c>
      <c r="K32" s="52">
        <v>0.1</v>
      </c>
      <c r="L32" s="114">
        <v>1</v>
      </c>
      <c r="M32" s="52">
        <v>0.1</v>
      </c>
      <c r="N32" s="52">
        <v>0.1</v>
      </c>
      <c r="O32" s="114">
        <v>1</v>
      </c>
      <c r="P32" s="114">
        <v>1</v>
      </c>
      <c r="Q32" s="114">
        <v>1</v>
      </c>
      <c r="R32" s="114">
        <v>1</v>
      </c>
      <c r="S32" s="52">
        <v>0.1</v>
      </c>
      <c r="T32" s="114">
        <v>2</v>
      </c>
      <c r="U32" s="114">
        <v>1</v>
      </c>
      <c r="V32" s="114">
        <v>1</v>
      </c>
      <c r="W32" s="114">
        <v>1</v>
      </c>
      <c r="X32" s="114">
        <v>1</v>
      </c>
      <c r="Y32" s="52">
        <v>1.9</v>
      </c>
      <c r="Z32" s="52">
        <v>0.1</v>
      </c>
      <c r="AA32" s="52">
        <v>0.1</v>
      </c>
      <c r="AB32" s="114">
        <v>1</v>
      </c>
      <c r="AC32" s="114">
        <v>1</v>
      </c>
      <c r="AD32" s="114">
        <v>1</v>
      </c>
      <c r="AE32" s="114">
        <v>1</v>
      </c>
      <c r="AF32" s="52">
        <v>1.1000000000000001</v>
      </c>
      <c r="AG32" s="46">
        <f t="shared" si="0"/>
        <v>23.1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44.2</v>
      </c>
      <c r="C33" s="51">
        <f t="shared" ref="C33:AF33" si="2">SUM(C3:C32)</f>
        <v>55.000000000000007</v>
      </c>
      <c r="D33" s="51">
        <f t="shared" si="2"/>
        <v>55</v>
      </c>
      <c r="E33" s="51">
        <f t="shared" si="2"/>
        <v>44</v>
      </c>
      <c r="F33" s="51">
        <f t="shared" si="2"/>
        <v>58.300000000000004</v>
      </c>
      <c r="G33" s="51">
        <f t="shared" si="2"/>
        <v>50.300000000000004</v>
      </c>
      <c r="H33" s="51">
        <f t="shared" si="2"/>
        <v>52.7</v>
      </c>
      <c r="I33" s="51">
        <f t="shared" si="2"/>
        <v>40.099999999999994</v>
      </c>
      <c r="J33" s="51">
        <f t="shared" si="2"/>
        <v>51.4</v>
      </c>
      <c r="K33" s="51">
        <f t="shared" si="2"/>
        <v>52.199999999999996</v>
      </c>
      <c r="L33" s="51">
        <f t="shared" si="2"/>
        <v>58.800000000000004</v>
      </c>
      <c r="M33" s="51">
        <f t="shared" si="2"/>
        <v>54.4</v>
      </c>
      <c r="N33" s="51">
        <f t="shared" si="2"/>
        <v>52.500000000000007</v>
      </c>
      <c r="O33" s="51">
        <f t="shared" si="2"/>
        <v>57.8</v>
      </c>
      <c r="P33" s="51">
        <f t="shared" si="2"/>
        <v>49.3</v>
      </c>
      <c r="Q33" s="51">
        <f t="shared" si="2"/>
        <v>54.300000000000011</v>
      </c>
      <c r="R33" s="51">
        <f t="shared" si="2"/>
        <v>56.9</v>
      </c>
      <c r="S33" s="51">
        <f t="shared" si="2"/>
        <v>52.000000000000007</v>
      </c>
      <c r="T33" s="51">
        <f t="shared" si="2"/>
        <v>58.2</v>
      </c>
      <c r="U33" s="51">
        <f t="shared" si="2"/>
        <v>50.900000000000006</v>
      </c>
      <c r="V33" s="51">
        <f t="shared" si="2"/>
        <v>50.000000000000014</v>
      </c>
      <c r="W33" s="51">
        <f t="shared" si="2"/>
        <v>44.199999999999996</v>
      </c>
      <c r="X33" s="51">
        <f t="shared" si="2"/>
        <v>48.900000000000006</v>
      </c>
      <c r="Y33" s="51">
        <f t="shared" si="2"/>
        <v>58.7</v>
      </c>
      <c r="Z33" s="51">
        <f t="shared" si="2"/>
        <v>58.20000000000001</v>
      </c>
      <c r="AA33" s="51">
        <f t="shared" si="2"/>
        <v>49.500000000000014</v>
      </c>
      <c r="AB33" s="51">
        <f t="shared" si="2"/>
        <v>50</v>
      </c>
      <c r="AC33" s="51">
        <f t="shared" si="2"/>
        <v>50.300000000000004</v>
      </c>
      <c r="AD33" s="51">
        <f t="shared" si="2"/>
        <v>40.4</v>
      </c>
      <c r="AE33" s="51">
        <f t="shared" si="2"/>
        <v>47.199999999999996</v>
      </c>
      <c r="AF33" s="51">
        <f t="shared" si="2"/>
        <v>38.599999999999994</v>
      </c>
      <c r="AG33" s="56">
        <f>SUM(B33:AF33)</f>
        <v>1584.3000000000002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1584.2999999999997</v>
      </c>
      <c r="AH34" s="48"/>
      <c r="AI34" s="48"/>
    </row>
    <row r="35" spans="1:35" s="2" customFormat="1" x14ac:dyDescent="0.25"/>
  </sheetData>
  <mergeCells count="1">
    <mergeCell ref="A1:AG1"/>
  </mergeCells>
  <conditionalFormatting sqref="AG33">
    <cfRule type="cellIs" dxfId="55" priority="2" operator="equal">
      <formula>$AG$34</formula>
    </cfRule>
  </conditionalFormatting>
  <conditionalFormatting sqref="AG34">
    <cfRule type="cellIs" dxfId="54" priority="1" operator="equal">
      <formula>$AG$33</formula>
    </cfRule>
  </conditionalFormatting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RowHeight="15" x14ac:dyDescent="0.25"/>
  <cols>
    <col min="1" max="1" width="57.42578125" customWidth="1"/>
    <col min="2" max="32" width="7.710937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>
        <v>0.9</v>
      </c>
      <c r="C3" s="49">
        <v>1.4</v>
      </c>
      <c r="D3" s="49">
        <v>1</v>
      </c>
      <c r="E3" s="49">
        <v>1.4</v>
      </c>
      <c r="F3" s="49"/>
      <c r="G3" s="49">
        <v>0.7</v>
      </c>
      <c r="H3" s="49">
        <v>0.8</v>
      </c>
      <c r="I3" s="50">
        <v>1.7</v>
      </c>
      <c r="J3" s="49"/>
      <c r="K3" s="50"/>
      <c r="L3" s="49">
        <v>1.9</v>
      </c>
      <c r="M3" s="50"/>
      <c r="N3" s="49">
        <v>2</v>
      </c>
      <c r="O3" s="49">
        <v>3</v>
      </c>
      <c r="P3" s="50">
        <v>2.9</v>
      </c>
      <c r="Q3" s="49">
        <v>1.7</v>
      </c>
      <c r="R3" s="49">
        <v>1.6</v>
      </c>
      <c r="S3" s="50">
        <v>2.7</v>
      </c>
      <c r="T3" s="50"/>
      <c r="U3" s="50">
        <v>1.1000000000000001</v>
      </c>
      <c r="V3" s="50">
        <v>1.3</v>
      </c>
      <c r="W3" s="49">
        <v>1.1000000000000001</v>
      </c>
      <c r="X3" s="49">
        <v>0.9</v>
      </c>
      <c r="Y3" s="49">
        <v>0.7</v>
      </c>
      <c r="Z3" s="49">
        <v>0.9</v>
      </c>
      <c r="AA3" s="49"/>
      <c r="AB3" s="49">
        <v>2.1</v>
      </c>
      <c r="AC3" s="49">
        <v>2.2000000000000002</v>
      </c>
      <c r="AD3" s="49">
        <v>0.7</v>
      </c>
      <c r="AE3" s="49">
        <v>0.9</v>
      </c>
      <c r="AF3" s="49"/>
      <c r="AG3" s="46">
        <f>SUM(B3:AF3)</f>
        <v>35.6</v>
      </c>
      <c r="AH3" s="47"/>
      <c r="AI3" s="48"/>
    </row>
    <row r="4" spans="1:35" s="44" customFormat="1" ht="36.75" customHeight="1" x14ac:dyDescent="0.35">
      <c r="A4" s="81" t="s">
        <v>193</v>
      </c>
      <c r="B4" s="51">
        <v>1.5</v>
      </c>
      <c r="C4" s="51">
        <v>1.3</v>
      </c>
      <c r="D4" s="51">
        <v>1.7</v>
      </c>
      <c r="E4" s="51">
        <v>1.9</v>
      </c>
      <c r="F4" s="51">
        <v>1.3</v>
      </c>
      <c r="G4" s="51">
        <v>1.3</v>
      </c>
      <c r="H4" s="51">
        <v>2.7</v>
      </c>
      <c r="I4" s="51">
        <v>1</v>
      </c>
      <c r="J4" s="51"/>
      <c r="K4" s="51"/>
      <c r="L4" s="51">
        <v>1.8</v>
      </c>
      <c r="M4" s="51">
        <v>2</v>
      </c>
      <c r="N4" s="51">
        <v>3</v>
      </c>
      <c r="O4" s="51">
        <v>3.8</v>
      </c>
      <c r="P4" s="51">
        <v>2.9</v>
      </c>
      <c r="Q4" s="51">
        <v>1.4</v>
      </c>
      <c r="R4" s="51">
        <v>1.9</v>
      </c>
      <c r="S4" s="51">
        <v>2.1</v>
      </c>
      <c r="T4" s="51">
        <v>2.1</v>
      </c>
      <c r="U4" s="51">
        <v>2.9</v>
      </c>
      <c r="V4" s="51">
        <v>0.8</v>
      </c>
      <c r="W4" s="51">
        <v>1.7</v>
      </c>
      <c r="X4" s="51">
        <v>2.5</v>
      </c>
      <c r="Y4" s="51">
        <v>2</v>
      </c>
      <c r="Z4" s="51">
        <v>2.1</v>
      </c>
      <c r="AA4" s="51">
        <v>3.1</v>
      </c>
      <c r="AB4" s="51">
        <v>2</v>
      </c>
      <c r="AC4" s="51">
        <v>1.7</v>
      </c>
      <c r="AD4" s="51">
        <v>2.2999999999999998</v>
      </c>
      <c r="AE4" s="51">
        <v>2.1</v>
      </c>
      <c r="AF4" s="51"/>
      <c r="AG4" s="46">
        <f t="shared" ref="AG4:AG32" si="0">SUM(B4:AF4)</f>
        <v>56.9</v>
      </c>
      <c r="AH4" s="47"/>
      <c r="AI4" s="48"/>
    </row>
    <row r="5" spans="1:35" s="44" customFormat="1" ht="18.75" customHeight="1" x14ac:dyDescent="0.35">
      <c r="A5" s="60" t="s">
        <v>83</v>
      </c>
      <c r="B5" s="87">
        <v>1.3</v>
      </c>
      <c r="C5" s="87">
        <v>1.1000000000000001</v>
      </c>
      <c r="D5" s="87">
        <v>1.3</v>
      </c>
      <c r="E5" s="87">
        <v>2.5</v>
      </c>
      <c r="F5" s="87">
        <v>1.2</v>
      </c>
      <c r="G5" s="87">
        <v>1.5</v>
      </c>
      <c r="H5" s="87">
        <v>0.9</v>
      </c>
      <c r="I5" s="87">
        <v>0.5</v>
      </c>
      <c r="J5" s="87">
        <v>1.9</v>
      </c>
      <c r="K5" s="87">
        <v>2.5</v>
      </c>
      <c r="L5" s="87">
        <v>0.5</v>
      </c>
      <c r="M5" s="87">
        <v>2.8</v>
      </c>
      <c r="N5" s="87">
        <v>1.9</v>
      </c>
      <c r="O5" s="87">
        <v>3.2</v>
      </c>
      <c r="P5" s="87">
        <v>2.8</v>
      </c>
      <c r="Q5" s="87">
        <v>1.3</v>
      </c>
      <c r="R5" s="87">
        <v>1.4</v>
      </c>
      <c r="S5" s="87">
        <v>2.2000000000000002</v>
      </c>
      <c r="T5" s="87">
        <v>0.9</v>
      </c>
      <c r="U5" s="87">
        <v>1.3</v>
      </c>
      <c r="V5" s="87">
        <v>4.3</v>
      </c>
      <c r="W5" s="87">
        <v>2.2999999999999998</v>
      </c>
      <c r="X5" s="87">
        <v>1.6</v>
      </c>
      <c r="Y5" s="87">
        <v>2</v>
      </c>
      <c r="Z5" s="87">
        <v>3.4</v>
      </c>
      <c r="AA5" s="87">
        <v>4.3</v>
      </c>
      <c r="AB5" s="87">
        <v>2.9</v>
      </c>
      <c r="AC5" s="87">
        <v>1.4</v>
      </c>
      <c r="AD5" s="87">
        <v>1</v>
      </c>
      <c r="AE5" s="87">
        <v>3.1</v>
      </c>
      <c r="AF5" s="51"/>
      <c r="AG5" s="46">
        <f t="shared" si="0"/>
        <v>59.299999999999983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3</v>
      </c>
      <c r="C7" s="51">
        <v>3.2</v>
      </c>
      <c r="D7" s="51">
        <v>2.9</v>
      </c>
      <c r="E7" s="51">
        <v>2</v>
      </c>
      <c r="F7" s="51">
        <v>3</v>
      </c>
      <c r="G7" s="51">
        <v>2.9</v>
      </c>
      <c r="H7" s="51">
        <v>3</v>
      </c>
      <c r="I7" s="51">
        <v>2.5</v>
      </c>
      <c r="J7" s="51">
        <v>2</v>
      </c>
      <c r="K7" s="51">
        <v>3.5</v>
      </c>
      <c r="L7" s="51">
        <v>3.5</v>
      </c>
      <c r="M7" s="51">
        <v>2.8</v>
      </c>
      <c r="N7" s="51">
        <v>2.5</v>
      </c>
      <c r="O7" s="51">
        <v>2.8</v>
      </c>
      <c r="P7" s="51">
        <v>3</v>
      </c>
      <c r="Q7" s="51">
        <v>3.5</v>
      </c>
      <c r="R7" s="51">
        <v>3</v>
      </c>
      <c r="S7" s="51" t="s">
        <v>201</v>
      </c>
      <c r="T7" s="51">
        <v>3.5</v>
      </c>
      <c r="U7" s="51">
        <v>3</v>
      </c>
      <c r="V7" s="51">
        <v>3</v>
      </c>
      <c r="W7" s="51">
        <v>2.5</v>
      </c>
      <c r="X7" s="51">
        <v>2.8</v>
      </c>
      <c r="Y7" s="51"/>
      <c r="Z7" s="51">
        <v>2.8</v>
      </c>
      <c r="AA7" s="51">
        <v>2</v>
      </c>
      <c r="AB7" s="51">
        <v>2.8</v>
      </c>
      <c r="AC7" s="51">
        <v>2</v>
      </c>
      <c r="AD7" s="51">
        <v>2.5</v>
      </c>
      <c r="AE7" s="51">
        <v>2.8</v>
      </c>
      <c r="AF7" s="51"/>
      <c r="AG7" s="46">
        <f t="shared" si="0"/>
        <v>78.799999999999983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88"/>
      <c r="C9" s="88">
        <v>3</v>
      </c>
      <c r="D9" s="88">
        <v>2.9</v>
      </c>
      <c r="E9" s="88">
        <v>3.8</v>
      </c>
      <c r="F9" s="88">
        <v>4.8</v>
      </c>
      <c r="G9" s="88">
        <v>2.1</v>
      </c>
      <c r="H9" s="88">
        <v>3.1</v>
      </c>
      <c r="I9" s="88"/>
      <c r="J9" s="88">
        <v>4.8</v>
      </c>
      <c r="K9" s="88">
        <v>3.7</v>
      </c>
      <c r="L9" s="88">
        <v>4.0999999999999996</v>
      </c>
      <c r="M9" s="88">
        <v>1.1000000000000001</v>
      </c>
      <c r="N9" s="88">
        <v>2.2000000000000002</v>
      </c>
      <c r="O9" s="88">
        <v>3</v>
      </c>
      <c r="P9" s="88">
        <v>4.0999999999999996</v>
      </c>
      <c r="Q9" s="88"/>
      <c r="R9" s="88">
        <v>3.7</v>
      </c>
      <c r="S9" s="88">
        <v>4.0999999999999996</v>
      </c>
      <c r="T9" s="88">
        <v>3.8</v>
      </c>
      <c r="U9" s="88">
        <v>3.1</v>
      </c>
      <c r="V9" s="88">
        <v>4.5999999999999996</v>
      </c>
      <c r="W9" s="88">
        <v>4.8</v>
      </c>
      <c r="X9" s="88">
        <v>3.2</v>
      </c>
      <c r="Y9" s="88"/>
      <c r="Z9" s="88">
        <v>3.2</v>
      </c>
      <c r="AA9" s="88">
        <v>3.9</v>
      </c>
      <c r="AB9" s="88">
        <v>2.2000000000000002</v>
      </c>
      <c r="AC9" s="88">
        <v>3.1</v>
      </c>
      <c r="AD9" s="88">
        <v>4.8</v>
      </c>
      <c r="AE9" s="88">
        <v>3.9</v>
      </c>
      <c r="AF9" s="52"/>
      <c r="AG9" s="46">
        <f t="shared" si="0"/>
        <v>91.100000000000023</v>
      </c>
      <c r="AH9" s="48"/>
      <c r="AI9" s="48"/>
    </row>
    <row r="10" spans="1:35" s="44" customFormat="1" ht="18.75" customHeight="1" x14ac:dyDescent="0.35">
      <c r="A10" s="60" t="s">
        <v>67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51">
        <v>1.3</v>
      </c>
      <c r="C12" s="51">
        <v>1.9</v>
      </c>
      <c r="D12" s="51">
        <v>2.1</v>
      </c>
      <c r="E12" s="51">
        <v>3.1</v>
      </c>
      <c r="F12" s="51">
        <v>2.2999999999999998</v>
      </c>
      <c r="G12" s="51">
        <v>2.9</v>
      </c>
      <c r="H12" s="51">
        <v>2.2999999999999998</v>
      </c>
      <c r="I12" s="51">
        <v>2.4</v>
      </c>
      <c r="J12" s="51">
        <v>1.9</v>
      </c>
      <c r="K12" s="51">
        <v>2.7</v>
      </c>
      <c r="L12" s="51">
        <v>2.9</v>
      </c>
      <c r="M12" s="51">
        <v>5.0999999999999996</v>
      </c>
      <c r="N12" s="51">
        <v>2.2000000000000002</v>
      </c>
      <c r="O12" s="51">
        <v>2.2999999999999998</v>
      </c>
      <c r="P12" s="51">
        <v>2.9</v>
      </c>
      <c r="Q12" s="51">
        <v>3.1</v>
      </c>
      <c r="R12" s="51">
        <v>1.3</v>
      </c>
      <c r="S12" s="51">
        <v>1.4</v>
      </c>
      <c r="T12" s="51">
        <v>1.9</v>
      </c>
      <c r="U12" s="51">
        <v>2.1</v>
      </c>
      <c r="V12" s="51">
        <v>2.2000000000000002</v>
      </c>
      <c r="W12" s="51">
        <v>1.9</v>
      </c>
      <c r="X12" s="51">
        <v>2.2999999999999998</v>
      </c>
      <c r="Y12" s="51">
        <v>2.5</v>
      </c>
      <c r="Z12" s="51">
        <v>3.1</v>
      </c>
      <c r="AA12" s="51">
        <v>1.9</v>
      </c>
      <c r="AB12" s="51">
        <v>2.4</v>
      </c>
      <c r="AC12" s="51">
        <v>2.9</v>
      </c>
      <c r="AD12" s="51">
        <v>3.1</v>
      </c>
      <c r="AE12" s="51">
        <v>2.4</v>
      </c>
      <c r="AF12" s="51"/>
      <c r="AG12" s="46">
        <f t="shared" si="0"/>
        <v>72.8</v>
      </c>
    </row>
    <row r="13" spans="1:35" s="44" customFormat="1" ht="21" x14ac:dyDescent="0.35">
      <c r="A13" s="60" t="s">
        <v>69</v>
      </c>
      <c r="B13" s="55">
        <v>1.4</v>
      </c>
      <c r="C13" s="55">
        <v>1</v>
      </c>
      <c r="D13" s="55">
        <v>1.8</v>
      </c>
      <c r="E13" s="55">
        <v>1.2</v>
      </c>
      <c r="F13" s="55">
        <v>2</v>
      </c>
      <c r="G13" s="55">
        <v>1.3</v>
      </c>
      <c r="H13" s="55">
        <v>1</v>
      </c>
      <c r="I13" s="55">
        <v>1.1000000000000001</v>
      </c>
      <c r="J13" s="55">
        <v>1.3</v>
      </c>
      <c r="K13" s="55">
        <v>1.1000000000000001</v>
      </c>
      <c r="L13" s="55">
        <v>1.3</v>
      </c>
      <c r="M13" s="55"/>
      <c r="N13" s="55">
        <v>1</v>
      </c>
      <c r="O13" s="55">
        <v>1.7</v>
      </c>
      <c r="P13" s="55">
        <v>1.4</v>
      </c>
      <c r="Q13" s="55">
        <v>1.3</v>
      </c>
      <c r="R13" s="55">
        <v>1</v>
      </c>
      <c r="S13" s="55">
        <v>2</v>
      </c>
      <c r="T13" s="55"/>
      <c r="U13" s="55">
        <v>1</v>
      </c>
      <c r="V13" s="55">
        <v>1.5</v>
      </c>
      <c r="W13" s="55">
        <v>2</v>
      </c>
      <c r="X13" s="55">
        <v>1.7</v>
      </c>
      <c r="Y13" s="55">
        <v>1</v>
      </c>
      <c r="Z13" s="55">
        <v>1.2</v>
      </c>
      <c r="AA13" s="55"/>
      <c r="AB13" s="55">
        <v>1</v>
      </c>
      <c r="AC13" s="55">
        <v>2</v>
      </c>
      <c r="AD13" s="55">
        <v>1.1000000000000001</v>
      </c>
      <c r="AE13" s="55">
        <v>0.9</v>
      </c>
      <c r="AF13" s="55"/>
      <c r="AG13" s="46">
        <f t="shared" si="0"/>
        <v>36.299999999999997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6.4</v>
      </c>
      <c r="C14" s="51">
        <v>9.3000000000000007</v>
      </c>
      <c r="D14" s="51">
        <v>7.2</v>
      </c>
      <c r="E14" s="51">
        <v>7.5</v>
      </c>
      <c r="F14" s="51">
        <v>8.3000000000000007</v>
      </c>
      <c r="G14" s="51">
        <v>99.2</v>
      </c>
      <c r="H14" s="51">
        <v>7.4</v>
      </c>
      <c r="I14" s="51">
        <v>6.3</v>
      </c>
      <c r="J14" s="51">
        <v>4.3</v>
      </c>
      <c r="K14" s="51">
        <v>6.3</v>
      </c>
      <c r="L14" s="51">
        <v>5.2</v>
      </c>
      <c r="M14" s="51">
        <v>8.4</v>
      </c>
      <c r="N14" s="51">
        <v>7.3</v>
      </c>
      <c r="O14" s="51">
        <v>6.3</v>
      </c>
      <c r="P14" s="51">
        <v>5.2</v>
      </c>
      <c r="Q14" s="51">
        <v>6.2</v>
      </c>
      <c r="R14" s="51">
        <v>4.2</v>
      </c>
      <c r="S14" s="51">
        <v>5.2</v>
      </c>
      <c r="T14" s="51">
        <v>6.3</v>
      </c>
      <c r="U14" s="51">
        <v>7.4</v>
      </c>
      <c r="V14" s="51">
        <v>8.3000000000000007</v>
      </c>
      <c r="W14" s="51">
        <v>6.2</v>
      </c>
      <c r="X14" s="51">
        <v>9.3000000000000007</v>
      </c>
      <c r="Y14" s="52">
        <v>6.2</v>
      </c>
      <c r="Z14" s="52">
        <v>2.1</v>
      </c>
      <c r="AA14" s="52">
        <v>1.1000000000000001</v>
      </c>
      <c r="AB14" s="52">
        <v>0.2</v>
      </c>
      <c r="AC14" s="52">
        <v>3.1</v>
      </c>
      <c r="AD14" s="52">
        <v>2.1</v>
      </c>
      <c r="AE14" s="52">
        <v>3.1</v>
      </c>
      <c r="AF14" s="52"/>
      <c r="AG14" s="46">
        <f t="shared" si="0"/>
        <v>265.60000000000014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2.1</v>
      </c>
      <c r="C15" s="51"/>
      <c r="D15" s="51">
        <v>2.1</v>
      </c>
      <c r="E15" s="51">
        <v>2.5</v>
      </c>
      <c r="F15" s="51">
        <v>1</v>
      </c>
      <c r="G15" s="51">
        <v>1.2</v>
      </c>
      <c r="H15" s="51">
        <v>2.1</v>
      </c>
      <c r="I15" s="51">
        <v>0.1</v>
      </c>
      <c r="J15" s="51">
        <v>2.5</v>
      </c>
      <c r="K15" s="51"/>
      <c r="L15" s="51">
        <v>1.5</v>
      </c>
      <c r="M15" s="51">
        <v>1.2</v>
      </c>
      <c r="N15" s="51">
        <v>1.9</v>
      </c>
      <c r="O15" s="51">
        <v>0.8</v>
      </c>
      <c r="P15" s="51">
        <v>1.9</v>
      </c>
      <c r="Q15" s="51">
        <v>0.9</v>
      </c>
      <c r="R15" s="51">
        <v>1.8</v>
      </c>
      <c r="S15" s="51"/>
      <c r="T15" s="51">
        <v>3.1</v>
      </c>
      <c r="U15" s="51">
        <v>0.1</v>
      </c>
      <c r="V15" s="51"/>
      <c r="W15" s="51">
        <v>0.5</v>
      </c>
      <c r="X15" s="51">
        <v>0.5</v>
      </c>
      <c r="Y15" s="51">
        <v>1.7</v>
      </c>
      <c r="Z15" s="51">
        <v>1.2</v>
      </c>
      <c r="AA15" s="51"/>
      <c r="AB15" s="51">
        <v>2.4</v>
      </c>
      <c r="AC15" s="51">
        <v>2.5</v>
      </c>
      <c r="AD15" s="51">
        <v>2</v>
      </c>
      <c r="AE15" s="51">
        <v>2.5</v>
      </c>
      <c r="AF15" s="51"/>
      <c r="AG15" s="46">
        <f t="shared" si="0"/>
        <v>40.1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>
        <v>1.2</v>
      </c>
      <c r="C17" s="51">
        <v>2.1</v>
      </c>
      <c r="D17" s="51">
        <v>1.9</v>
      </c>
      <c r="E17" s="51">
        <v>2</v>
      </c>
      <c r="F17" s="51">
        <v>1.3</v>
      </c>
      <c r="G17" s="51">
        <v>1.4</v>
      </c>
      <c r="H17" s="51">
        <v>2.5</v>
      </c>
      <c r="I17" s="51">
        <v>1.5</v>
      </c>
      <c r="J17" s="51">
        <v>1.9</v>
      </c>
      <c r="K17" s="51">
        <v>0.7</v>
      </c>
      <c r="L17" s="51">
        <v>1.7</v>
      </c>
      <c r="M17" s="51">
        <v>1</v>
      </c>
      <c r="N17" s="51">
        <v>1</v>
      </c>
      <c r="O17" s="51">
        <v>0.7</v>
      </c>
      <c r="P17" s="51">
        <v>1.9</v>
      </c>
      <c r="Q17" s="51">
        <v>1.5</v>
      </c>
      <c r="R17" s="51">
        <v>1.2</v>
      </c>
      <c r="S17" s="51">
        <v>0.9</v>
      </c>
      <c r="T17" s="51">
        <v>1.4</v>
      </c>
      <c r="U17" s="51">
        <v>1.3</v>
      </c>
      <c r="V17" s="51">
        <v>2</v>
      </c>
      <c r="W17" s="51">
        <v>1.6</v>
      </c>
      <c r="X17" s="51">
        <v>2.2000000000000002</v>
      </c>
      <c r="Y17" s="51">
        <v>2.2999999999999998</v>
      </c>
      <c r="Z17" s="51">
        <v>3.5</v>
      </c>
      <c r="AA17" s="51">
        <v>0.7</v>
      </c>
      <c r="AB17" s="51">
        <v>1.4</v>
      </c>
      <c r="AC17" s="51">
        <v>1.3</v>
      </c>
      <c r="AD17" s="51">
        <v>1.9</v>
      </c>
      <c r="AE17" s="51">
        <v>0.5</v>
      </c>
      <c r="AF17" s="51"/>
      <c r="AG17" s="46">
        <f t="shared" si="0"/>
        <v>46.499999999999993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>
        <v>1.2</v>
      </c>
      <c r="D18" s="51"/>
      <c r="E18" s="51">
        <v>1.3</v>
      </c>
      <c r="F18" s="51"/>
      <c r="G18" s="51">
        <v>1.2</v>
      </c>
      <c r="H18" s="51"/>
      <c r="I18" s="51">
        <v>1.4</v>
      </c>
      <c r="J18" s="51"/>
      <c r="K18" s="51">
        <v>1.1000000000000001</v>
      </c>
      <c r="L18" s="51"/>
      <c r="M18" s="51">
        <v>1.9</v>
      </c>
      <c r="N18" s="51"/>
      <c r="O18" s="51">
        <v>0.9</v>
      </c>
      <c r="P18" s="51"/>
      <c r="Q18" s="51">
        <v>0.7</v>
      </c>
      <c r="R18" s="51"/>
      <c r="S18" s="51">
        <v>0.8</v>
      </c>
      <c r="T18" s="51"/>
      <c r="U18" s="51">
        <v>1.4</v>
      </c>
      <c r="V18" s="51">
        <v>1.1000000000000001</v>
      </c>
      <c r="W18" s="51">
        <v>0.5</v>
      </c>
      <c r="X18" s="51"/>
      <c r="Y18" s="51">
        <v>0.1</v>
      </c>
      <c r="Z18" s="51"/>
      <c r="AA18" s="51">
        <v>0.4</v>
      </c>
      <c r="AB18" s="51"/>
      <c r="AC18" s="51">
        <v>1.1000000000000001</v>
      </c>
      <c r="AD18" s="51"/>
      <c r="AE18" s="51">
        <v>1.2</v>
      </c>
      <c r="AF18" s="51"/>
      <c r="AG18" s="46">
        <f t="shared" si="0"/>
        <v>16.3</v>
      </c>
      <c r="AH18" s="48"/>
      <c r="AI18" s="48"/>
    </row>
    <row r="19" spans="1:35" s="44" customFormat="1" ht="18.75" customHeight="1" x14ac:dyDescent="0.35">
      <c r="A19" s="60" t="s">
        <v>92</v>
      </c>
      <c r="B19" s="51">
        <v>1</v>
      </c>
      <c r="C19" s="51">
        <v>1.2</v>
      </c>
      <c r="D19" s="51">
        <v>0.5</v>
      </c>
      <c r="E19" s="51"/>
      <c r="F19" s="51"/>
      <c r="G19" s="51">
        <v>0.5</v>
      </c>
      <c r="H19" s="51">
        <v>1</v>
      </c>
      <c r="I19" s="51">
        <v>1.3</v>
      </c>
      <c r="J19" s="51">
        <v>0.6</v>
      </c>
      <c r="K19" s="51">
        <v>1.5</v>
      </c>
      <c r="L19" s="51"/>
      <c r="M19" s="51"/>
      <c r="N19" s="51">
        <v>1.3</v>
      </c>
      <c r="O19" s="51">
        <v>1</v>
      </c>
      <c r="P19" s="51">
        <v>0.9</v>
      </c>
      <c r="Q19" s="51">
        <v>1</v>
      </c>
      <c r="R19" s="51">
        <v>1.4</v>
      </c>
      <c r="S19" s="51"/>
      <c r="T19" s="51"/>
      <c r="U19" s="51">
        <v>2.5</v>
      </c>
      <c r="V19" s="51">
        <v>1.4</v>
      </c>
      <c r="W19" s="51">
        <v>1.3</v>
      </c>
      <c r="X19" s="51">
        <v>1</v>
      </c>
      <c r="Y19" s="51"/>
      <c r="Z19" s="51"/>
      <c r="AA19" s="51"/>
      <c r="AB19" s="51">
        <v>0.9</v>
      </c>
      <c r="AC19" s="51">
        <v>1.1000000000000001</v>
      </c>
      <c r="AD19" s="51">
        <v>0.5</v>
      </c>
      <c r="AE19" s="51">
        <v>0.4</v>
      </c>
      <c r="AF19" s="51"/>
      <c r="AG19" s="46">
        <f t="shared" si="0"/>
        <v>22.3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>
        <v>1.4</v>
      </c>
      <c r="D22" s="51"/>
      <c r="E22" s="51">
        <v>1.7</v>
      </c>
      <c r="F22" s="51"/>
      <c r="G22" s="51"/>
      <c r="H22" s="51">
        <v>1.2</v>
      </c>
      <c r="I22" s="51">
        <v>0.4</v>
      </c>
      <c r="J22" s="51"/>
      <c r="K22" s="51"/>
      <c r="L22" s="51">
        <v>0.6</v>
      </c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>
        <v>2.2999999999999998</v>
      </c>
      <c r="X22" s="51">
        <v>1.2</v>
      </c>
      <c r="Y22" s="51"/>
      <c r="Z22" s="51">
        <v>1.4</v>
      </c>
      <c r="AA22" s="51"/>
      <c r="AB22" s="51"/>
      <c r="AC22" s="51"/>
      <c r="AD22" s="51"/>
      <c r="AE22" s="51"/>
      <c r="AF22" s="51"/>
      <c r="AG22" s="46">
        <f t="shared" si="0"/>
        <v>10.199999999999999</v>
      </c>
      <c r="AH22" s="48"/>
      <c r="AI22" s="48"/>
    </row>
    <row r="23" spans="1:35" s="44" customFormat="1" ht="18.75" customHeight="1" x14ac:dyDescent="0.35">
      <c r="A23" s="60" t="s">
        <v>77</v>
      </c>
      <c r="B23" s="51">
        <v>0.2</v>
      </c>
      <c r="C23" s="51">
        <v>1</v>
      </c>
      <c r="D23" s="51">
        <v>1.1000000000000001</v>
      </c>
      <c r="E23" s="51"/>
      <c r="F23" s="51"/>
      <c r="G23" s="51">
        <v>1.3</v>
      </c>
      <c r="H23" s="51">
        <v>1</v>
      </c>
      <c r="I23" s="51">
        <v>1.1000000000000001</v>
      </c>
      <c r="J23" s="51">
        <v>0.8</v>
      </c>
      <c r="K23" s="51">
        <v>1.1000000000000001</v>
      </c>
      <c r="L23" s="51"/>
      <c r="M23" s="51"/>
      <c r="N23" s="51">
        <v>0.9</v>
      </c>
      <c r="O23" s="51">
        <v>1.2</v>
      </c>
      <c r="P23" s="51">
        <v>1</v>
      </c>
      <c r="Q23" s="51">
        <v>0.8</v>
      </c>
      <c r="R23" s="51">
        <v>0.3</v>
      </c>
      <c r="S23" s="51"/>
      <c r="T23" s="51"/>
      <c r="U23" s="51">
        <v>1</v>
      </c>
      <c r="V23" s="51">
        <v>0.7</v>
      </c>
      <c r="W23" s="51">
        <v>1.1000000000000001</v>
      </c>
      <c r="X23" s="51">
        <v>1</v>
      </c>
      <c r="Y23" s="51">
        <v>0.3</v>
      </c>
      <c r="Z23" s="51"/>
      <c r="AA23" s="51"/>
      <c r="AB23" s="51">
        <v>1</v>
      </c>
      <c r="AC23" s="51">
        <v>1.2</v>
      </c>
      <c r="AD23" s="51">
        <v>1</v>
      </c>
      <c r="AE23" s="51">
        <v>2.1</v>
      </c>
      <c r="AF23" s="51"/>
      <c r="AG23" s="46">
        <f t="shared" si="0"/>
        <v>21.2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3</v>
      </c>
      <c r="C24" s="51">
        <v>3</v>
      </c>
      <c r="D24" s="51">
        <v>5</v>
      </c>
      <c r="E24" s="51">
        <v>3</v>
      </c>
      <c r="F24" s="51">
        <v>5</v>
      </c>
      <c r="G24" s="51">
        <v>4</v>
      </c>
      <c r="H24" s="51">
        <v>6</v>
      </c>
      <c r="I24" s="51">
        <v>4</v>
      </c>
      <c r="J24" s="51">
        <v>4</v>
      </c>
      <c r="K24" s="51">
        <v>4</v>
      </c>
      <c r="L24" s="51">
        <v>4</v>
      </c>
      <c r="M24" s="51">
        <v>5</v>
      </c>
      <c r="N24" s="51">
        <v>6</v>
      </c>
      <c r="O24" s="51">
        <v>6</v>
      </c>
      <c r="P24" s="51">
        <v>5</v>
      </c>
      <c r="Q24" s="51">
        <v>6</v>
      </c>
      <c r="R24" s="51">
        <v>4</v>
      </c>
      <c r="S24" s="51">
        <v>6</v>
      </c>
      <c r="T24" s="51">
        <v>6</v>
      </c>
      <c r="U24" s="51">
        <v>7</v>
      </c>
      <c r="V24" s="51">
        <v>7</v>
      </c>
      <c r="W24" s="51">
        <v>6</v>
      </c>
      <c r="X24" s="51">
        <v>4</v>
      </c>
      <c r="Y24" s="51">
        <v>6</v>
      </c>
      <c r="Z24" s="51">
        <v>4</v>
      </c>
      <c r="AA24" s="51">
        <v>3</v>
      </c>
      <c r="AB24" s="51">
        <v>4</v>
      </c>
      <c r="AC24" s="51">
        <v>5</v>
      </c>
      <c r="AD24" s="51">
        <v>4</v>
      </c>
      <c r="AE24" s="51">
        <v>4</v>
      </c>
      <c r="AF24" s="51"/>
      <c r="AG24" s="46">
        <f t="shared" si="0"/>
        <v>143</v>
      </c>
      <c r="AH24" s="48"/>
      <c r="AI24" s="48"/>
    </row>
    <row r="25" spans="1:35" s="44" customFormat="1" ht="18.75" customHeight="1" x14ac:dyDescent="0.35">
      <c r="A25" s="116" t="s">
        <v>79</v>
      </c>
      <c r="B25" s="106">
        <v>1</v>
      </c>
      <c r="C25" s="106">
        <v>1</v>
      </c>
      <c r="D25" s="106">
        <v>1</v>
      </c>
      <c r="E25" s="106">
        <v>1</v>
      </c>
      <c r="F25" s="106">
        <v>1</v>
      </c>
      <c r="G25" s="106">
        <v>1</v>
      </c>
      <c r="H25" s="106">
        <v>1.5</v>
      </c>
      <c r="I25" s="106">
        <v>1</v>
      </c>
      <c r="J25" s="106">
        <v>1</v>
      </c>
      <c r="K25" s="106">
        <v>1</v>
      </c>
      <c r="L25" s="106">
        <v>1.5</v>
      </c>
      <c r="M25" s="106">
        <v>1</v>
      </c>
      <c r="N25" s="106">
        <v>1</v>
      </c>
      <c r="O25" s="106">
        <v>11</v>
      </c>
      <c r="P25" s="106">
        <v>1</v>
      </c>
      <c r="Q25" s="106">
        <v>1</v>
      </c>
      <c r="R25" s="106">
        <v>1</v>
      </c>
      <c r="S25" s="106">
        <v>1.5</v>
      </c>
      <c r="T25" s="106">
        <v>1.5</v>
      </c>
      <c r="U25" s="106">
        <v>1</v>
      </c>
      <c r="V25" s="106">
        <v>1</v>
      </c>
      <c r="W25" s="106">
        <v>1</v>
      </c>
      <c r="X25" s="106">
        <v>1</v>
      </c>
      <c r="Y25" s="106">
        <v>1.5</v>
      </c>
      <c r="Z25" s="106">
        <v>1.5</v>
      </c>
      <c r="AA25" s="106">
        <v>1</v>
      </c>
      <c r="AB25" s="106">
        <v>1</v>
      </c>
      <c r="AC25" s="106">
        <v>0.9</v>
      </c>
      <c r="AD25" s="106">
        <v>0.9</v>
      </c>
      <c r="AE25" s="106">
        <v>0.9</v>
      </c>
      <c r="AF25" s="51"/>
      <c r="AG25" s="46">
        <f t="shared" si="0"/>
        <v>42.699999999999996</v>
      </c>
      <c r="AH25" s="48"/>
      <c r="AI25" s="48"/>
    </row>
    <row r="26" spans="1:35" s="44" customFormat="1" ht="18.75" customHeight="1" x14ac:dyDescent="0.35">
      <c r="A26" s="116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116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116" t="s">
        <v>81</v>
      </c>
      <c r="B29" s="52">
        <f>0.9+2.3+1.9</f>
        <v>5.0999999999999996</v>
      </c>
      <c r="C29" s="52">
        <f>1.2+1.9+2.3</f>
        <v>5.3999999999999995</v>
      </c>
      <c r="D29" s="52">
        <f>2+1+2.4</f>
        <v>5.4</v>
      </c>
      <c r="E29" s="52">
        <f>3.6+2+1.9</f>
        <v>7.5</v>
      </c>
      <c r="F29" s="52">
        <f>2.3+1.4+2</f>
        <v>5.6999999999999993</v>
      </c>
      <c r="G29" s="52">
        <f>2.3+1.6+1.7</f>
        <v>5.6</v>
      </c>
      <c r="H29" s="52">
        <f>3.3+2+1.6</f>
        <v>6.9</v>
      </c>
      <c r="I29" s="52">
        <f>4.1+2.4+2.3</f>
        <v>8.8000000000000007</v>
      </c>
      <c r="J29" s="52">
        <f>1.2+1.7+2</f>
        <v>4.9000000000000004</v>
      </c>
      <c r="K29" s="52">
        <f>2+1.9+1.4</f>
        <v>5.3</v>
      </c>
      <c r="L29" s="52">
        <f>2.9+1.7+2.3</f>
        <v>6.8999999999999995</v>
      </c>
      <c r="M29" s="52">
        <f>1.6+1.9+2.3</f>
        <v>5.8</v>
      </c>
      <c r="N29" s="52">
        <f>1.4+2+2.4</f>
        <v>5.8</v>
      </c>
      <c r="O29" s="52">
        <f>2.9+1.6+2.3</f>
        <v>6.8</v>
      </c>
      <c r="P29" s="52">
        <f>2.9+1.3+2.9</f>
        <v>7.1</v>
      </c>
      <c r="Q29" s="52">
        <f>3.7+3+2.9</f>
        <v>9.6</v>
      </c>
      <c r="R29" s="52">
        <f>2+1+2.4</f>
        <v>5.4</v>
      </c>
      <c r="S29" s="52">
        <f>2.3+1+2</f>
        <v>5.3</v>
      </c>
      <c r="T29" s="52">
        <f>2.2+19+2.1</f>
        <v>23.3</v>
      </c>
      <c r="U29" s="52">
        <f>1.7+1.8+1.5</f>
        <v>5</v>
      </c>
      <c r="V29" s="52">
        <f>2.1+2.3+2.4</f>
        <v>6.8000000000000007</v>
      </c>
      <c r="W29" s="52">
        <f>1.9+2.1+1.9</f>
        <v>5.9</v>
      </c>
      <c r="X29" s="52">
        <f>2.1+1.9+2.1</f>
        <v>6.1</v>
      </c>
      <c r="Y29" s="52">
        <f>3.5+2.1+2.2</f>
        <v>7.8</v>
      </c>
      <c r="Z29" s="52">
        <f>1.5+0.9+1.5</f>
        <v>3.9</v>
      </c>
      <c r="AA29" s="52">
        <f>1.2+1.9+2.3</f>
        <v>5.3999999999999995</v>
      </c>
      <c r="AB29" s="52">
        <f>2.5+1.5+0.9</f>
        <v>4.9000000000000004</v>
      </c>
      <c r="AC29" s="52">
        <f>2.6+1.5+0.1</f>
        <v>4.1999999999999993</v>
      </c>
      <c r="AD29" s="52">
        <f>2.9+1.1+2.1</f>
        <v>6.1</v>
      </c>
      <c r="AE29" s="52">
        <f>2.3+1.9+1</f>
        <v>5.1999999999999993</v>
      </c>
      <c r="AF29" s="52"/>
      <c r="AG29" s="46">
        <f t="shared" si="0"/>
        <v>197.89999999999998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116" t="s">
        <v>82</v>
      </c>
      <c r="B31" s="52">
        <v>7.8</v>
      </c>
      <c r="C31" s="52">
        <v>7</v>
      </c>
      <c r="D31" s="52">
        <v>8.5</v>
      </c>
      <c r="E31" s="52">
        <v>7</v>
      </c>
      <c r="F31" s="52">
        <v>6.8</v>
      </c>
      <c r="G31" s="52">
        <v>7.6</v>
      </c>
      <c r="H31" s="52">
        <v>7.5</v>
      </c>
      <c r="I31" s="52">
        <v>2.8</v>
      </c>
      <c r="J31" s="52">
        <v>8</v>
      </c>
      <c r="K31" s="52">
        <v>7</v>
      </c>
      <c r="L31" s="52">
        <v>8</v>
      </c>
      <c r="M31" s="52">
        <v>9</v>
      </c>
      <c r="N31" s="52">
        <v>10</v>
      </c>
      <c r="O31" s="52">
        <v>7.2</v>
      </c>
      <c r="P31" s="52">
        <v>8.9</v>
      </c>
      <c r="Q31" s="52">
        <v>7.2</v>
      </c>
      <c r="R31" s="52">
        <v>10</v>
      </c>
      <c r="S31" s="52">
        <v>9.5</v>
      </c>
      <c r="T31" s="52">
        <v>8.9</v>
      </c>
      <c r="U31" s="52">
        <v>8.5</v>
      </c>
      <c r="V31" s="52">
        <v>8</v>
      </c>
      <c r="W31" s="52">
        <v>9.5</v>
      </c>
      <c r="X31" s="52">
        <v>8</v>
      </c>
      <c r="Y31" s="52">
        <v>9.9</v>
      </c>
      <c r="Z31" s="52">
        <v>8</v>
      </c>
      <c r="AA31" s="52">
        <v>9.5</v>
      </c>
      <c r="AB31" s="52">
        <v>7.9</v>
      </c>
      <c r="AC31" s="52">
        <v>8.1999999999999993</v>
      </c>
      <c r="AD31" s="52">
        <v>8.3000000000000007</v>
      </c>
      <c r="AE31" s="52">
        <v>8.9</v>
      </c>
      <c r="AF31" s="52"/>
      <c r="AG31" s="46">
        <f t="shared" si="0"/>
        <v>243.40000000000003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114"/>
      <c r="D32" s="52"/>
      <c r="E32" s="52"/>
      <c r="F32" s="114"/>
      <c r="G32" s="52"/>
      <c r="H32" s="114"/>
      <c r="I32" s="52"/>
      <c r="J32" s="52"/>
      <c r="K32" s="52"/>
      <c r="L32" s="114"/>
      <c r="M32" s="52"/>
      <c r="N32" s="52"/>
      <c r="O32" s="114"/>
      <c r="P32" s="114"/>
      <c r="Q32" s="114"/>
      <c r="R32" s="114"/>
      <c r="S32" s="52"/>
      <c r="T32" s="114"/>
      <c r="U32" s="114"/>
      <c r="V32" s="114"/>
      <c r="W32" s="114"/>
      <c r="X32" s="114"/>
      <c r="Y32" s="52"/>
      <c r="Z32" s="52"/>
      <c r="AA32" s="52"/>
      <c r="AB32" s="114"/>
      <c r="AC32" s="114"/>
      <c r="AD32" s="114"/>
      <c r="AE32" s="114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37.199999999999996</v>
      </c>
      <c r="C33" s="51">
        <f t="shared" ref="C33:AF33" si="1">SUM(C3:C32)</f>
        <v>45.5</v>
      </c>
      <c r="D33" s="51">
        <f t="shared" si="1"/>
        <v>46.4</v>
      </c>
      <c r="E33" s="51">
        <f t="shared" si="1"/>
        <v>49.4</v>
      </c>
      <c r="F33" s="51">
        <f t="shared" si="1"/>
        <v>43.7</v>
      </c>
      <c r="G33" s="51">
        <f t="shared" si="1"/>
        <v>135.70000000000002</v>
      </c>
      <c r="H33" s="51">
        <f t="shared" si="1"/>
        <v>50.9</v>
      </c>
      <c r="I33" s="51">
        <f t="shared" si="1"/>
        <v>37.9</v>
      </c>
      <c r="J33" s="51">
        <f t="shared" si="1"/>
        <v>39.9</v>
      </c>
      <c r="K33" s="51">
        <f t="shared" si="1"/>
        <v>41.5</v>
      </c>
      <c r="L33" s="51">
        <f t="shared" si="1"/>
        <v>45.4</v>
      </c>
      <c r="M33" s="51">
        <f t="shared" si="1"/>
        <v>47.099999999999994</v>
      </c>
      <c r="N33" s="51">
        <f t="shared" si="1"/>
        <v>50</v>
      </c>
      <c r="O33" s="51">
        <f t="shared" si="1"/>
        <v>61.7</v>
      </c>
      <c r="P33" s="51">
        <f t="shared" si="1"/>
        <v>52.899999999999991</v>
      </c>
      <c r="Q33" s="51">
        <f t="shared" si="1"/>
        <v>47.2</v>
      </c>
      <c r="R33" s="51">
        <f t="shared" si="1"/>
        <v>43.2</v>
      </c>
      <c r="S33" s="51">
        <f t="shared" si="1"/>
        <v>43.7</v>
      </c>
      <c r="T33" s="51">
        <f t="shared" si="1"/>
        <v>62.699999999999996</v>
      </c>
      <c r="U33" s="51">
        <f t="shared" si="1"/>
        <v>49.7</v>
      </c>
      <c r="V33" s="51">
        <f t="shared" si="1"/>
        <v>54</v>
      </c>
      <c r="W33" s="51">
        <f t="shared" si="1"/>
        <v>52.199999999999996</v>
      </c>
      <c r="X33" s="51">
        <f t="shared" si="1"/>
        <v>49.300000000000004</v>
      </c>
      <c r="Y33" s="51">
        <f t="shared" si="1"/>
        <v>44</v>
      </c>
      <c r="Z33" s="51">
        <f t="shared" si="1"/>
        <v>42.3</v>
      </c>
      <c r="AA33" s="51">
        <f t="shared" si="1"/>
        <v>36.299999999999997</v>
      </c>
      <c r="AB33" s="51">
        <f t="shared" si="1"/>
        <v>39.099999999999994</v>
      </c>
      <c r="AC33" s="51">
        <f t="shared" si="1"/>
        <v>43.900000000000006</v>
      </c>
      <c r="AD33" s="51">
        <f t="shared" si="1"/>
        <v>42.3</v>
      </c>
      <c r="AE33" s="51">
        <f t="shared" si="1"/>
        <v>44.9</v>
      </c>
      <c r="AF33" s="51">
        <f t="shared" si="1"/>
        <v>0</v>
      </c>
      <c r="AG33" s="56">
        <f>SUM(B33:AF33)</f>
        <v>1480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1480</v>
      </c>
      <c r="AH34" s="48"/>
      <c r="AI34" s="48"/>
    </row>
    <row r="35" spans="1:35" s="2" customFormat="1" x14ac:dyDescent="0.25"/>
  </sheetData>
  <mergeCells count="1">
    <mergeCell ref="A1:AG1"/>
  </mergeCells>
  <conditionalFormatting sqref="AG33">
    <cfRule type="cellIs" dxfId="53" priority="2" operator="equal">
      <formula>$AG$34</formula>
    </cfRule>
  </conditionalFormatting>
  <conditionalFormatting sqref="AG34">
    <cfRule type="cellIs" dxfId="52" priority="1" operator="equal">
      <formula>$AG$33</formula>
    </cfRule>
  </conditionalFormatting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RowHeight="15" x14ac:dyDescent="0.25"/>
  <cols>
    <col min="1" max="1" width="57.42578125" customWidth="1"/>
    <col min="2" max="32" width="7.710937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/>
      <c r="C3" s="49">
        <v>0.5</v>
      </c>
      <c r="D3" s="49"/>
      <c r="E3" s="49">
        <v>0.5</v>
      </c>
      <c r="F3" s="49">
        <v>0.9</v>
      </c>
      <c r="G3" s="49">
        <v>0.5</v>
      </c>
      <c r="H3" s="49">
        <v>0.5</v>
      </c>
      <c r="I3" s="50">
        <v>2.2999999999999998</v>
      </c>
      <c r="J3" s="49">
        <v>0.9</v>
      </c>
      <c r="K3" s="50"/>
      <c r="L3" s="49">
        <v>1</v>
      </c>
      <c r="M3" s="50">
        <v>0.8</v>
      </c>
      <c r="N3" s="49">
        <v>2</v>
      </c>
      <c r="O3" s="49">
        <v>1.3</v>
      </c>
      <c r="P3" s="50">
        <v>0.7</v>
      </c>
      <c r="Q3" s="49">
        <v>2.1</v>
      </c>
      <c r="R3" s="49"/>
      <c r="S3" s="50">
        <v>0.8</v>
      </c>
      <c r="T3" s="50">
        <v>0.3</v>
      </c>
      <c r="U3" s="50">
        <v>1.1000000000000001</v>
      </c>
      <c r="V3" s="50">
        <v>1.3</v>
      </c>
      <c r="W3" s="49">
        <v>1</v>
      </c>
      <c r="X3" s="49">
        <v>0.9</v>
      </c>
      <c r="Y3" s="49"/>
      <c r="Z3" s="49"/>
      <c r="AA3" s="49">
        <v>1.1000000000000001</v>
      </c>
      <c r="AB3" s="49">
        <v>0.5</v>
      </c>
      <c r="AC3" s="49">
        <v>0.7</v>
      </c>
      <c r="AD3" s="49">
        <v>1.3</v>
      </c>
      <c r="AE3" s="49">
        <v>0.4</v>
      </c>
      <c r="AF3" s="49"/>
      <c r="AG3" s="46">
        <f>SUM(B3:AF3)</f>
        <v>23.4</v>
      </c>
      <c r="AH3" s="47"/>
      <c r="AI3" s="48"/>
    </row>
    <row r="4" spans="1:35" s="44" customFormat="1" ht="36.75" customHeight="1" x14ac:dyDescent="0.35">
      <c r="A4" s="81" t="s">
        <v>193</v>
      </c>
      <c r="B4" s="51">
        <v>0.9</v>
      </c>
      <c r="C4" s="51">
        <v>1.3</v>
      </c>
      <c r="D4" s="51">
        <v>1.9</v>
      </c>
      <c r="E4" s="51">
        <v>1.9</v>
      </c>
      <c r="F4" s="51">
        <v>2.9</v>
      </c>
      <c r="G4" s="51">
        <v>1.8</v>
      </c>
      <c r="H4" s="51">
        <v>1.9</v>
      </c>
      <c r="I4" s="51">
        <v>2.7</v>
      </c>
      <c r="J4" s="51">
        <v>2</v>
      </c>
      <c r="K4" s="51">
        <v>1.8</v>
      </c>
      <c r="L4" s="51">
        <v>1</v>
      </c>
      <c r="M4" s="51">
        <v>2.8</v>
      </c>
      <c r="N4" s="51">
        <v>1.3</v>
      </c>
      <c r="O4" s="51">
        <v>2</v>
      </c>
      <c r="P4" s="51">
        <v>1.7</v>
      </c>
      <c r="Q4" s="51">
        <v>0.9</v>
      </c>
      <c r="R4" s="51">
        <v>0.9</v>
      </c>
      <c r="S4" s="51">
        <v>1.1000000000000001</v>
      </c>
      <c r="T4" s="51">
        <v>0.8</v>
      </c>
      <c r="U4" s="51">
        <v>0.9</v>
      </c>
      <c r="V4" s="51">
        <v>1.3</v>
      </c>
      <c r="W4" s="51">
        <v>2</v>
      </c>
      <c r="X4" s="51">
        <v>0.5</v>
      </c>
      <c r="Y4" s="51">
        <v>0.7</v>
      </c>
      <c r="Z4" s="51">
        <v>0.7</v>
      </c>
      <c r="AA4" s="51">
        <v>0.5</v>
      </c>
      <c r="AB4" s="51">
        <v>0.6</v>
      </c>
      <c r="AC4" s="51">
        <v>0.3</v>
      </c>
      <c r="AD4" s="51">
        <v>0.9</v>
      </c>
      <c r="AE4" s="51">
        <v>0.7</v>
      </c>
      <c r="AF4" s="51">
        <v>0.9</v>
      </c>
      <c r="AG4" s="46">
        <f t="shared" ref="AG4:AG32" si="0">SUM(B4:AF4)</f>
        <v>41.6</v>
      </c>
      <c r="AH4" s="47"/>
      <c r="AI4" s="48"/>
    </row>
    <row r="5" spans="1:35" s="44" customFormat="1" ht="18.75" customHeight="1" x14ac:dyDescent="0.35">
      <c r="A5" s="60" t="s">
        <v>83</v>
      </c>
      <c r="B5" s="51">
        <v>0.1</v>
      </c>
      <c r="C5" s="51">
        <v>0.1</v>
      </c>
      <c r="D5" s="51">
        <v>0.1</v>
      </c>
      <c r="E5" s="51">
        <v>1</v>
      </c>
      <c r="F5" s="51">
        <v>1</v>
      </c>
      <c r="G5" s="51">
        <v>1</v>
      </c>
      <c r="H5" s="51" t="s">
        <v>182</v>
      </c>
      <c r="I5" s="51">
        <v>1</v>
      </c>
      <c r="J5" s="51">
        <v>0.1</v>
      </c>
      <c r="K5" s="51" t="s">
        <v>182</v>
      </c>
      <c r="L5" s="51">
        <v>1</v>
      </c>
      <c r="M5" s="51" t="s">
        <v>182</v>
      </c>
      <c r="N5" s="51">
        <v>1</v>
      </c>
      <c r="O5" s="51">
        <v>1</v>
      </c>
      <c r="P5" s="51">
        <v>1</v>
      </c>
      <c r="Q5" s="51">
        <v>1</v>
      </c>
      <c r="R5" s="51">
        <v>1</v>
      </c>
      <c r="S5" s="51">
        <v>0.1</v>
      </c>
      <c r="T5" s="51">
        <v>0.1</v>
      </c>
      <c r="U5" s="51">
        <v>1</v>
      </c>
      <c r="V5" s="51">
        <v>1</v>
      </c>
      <c r="W5" s="51">
        <v>2</v>
      </c>
      <c r="X5" s="51">
        <v>2</v>
      </c>
      <c r="Y5" s="51">
        <v>0.1</v>
      </c>
      <c r="Z5" s="51">
        <v>0.1</v>
      </c>
      <c r="AA5" s="51">
        <v>0.1</v>
      </c>
      <c r="AB5" s="51">
        <v>0.1</v>
      </c>
      <c r="AC5" s="51">
        <v>1</v>
      </c>
      <c r="AD5" s="51">
        <v>1</v>
      </c>
      <c r="AE5" s="51">
        <v>1</v>
      </c>
      <c r="AF5" s="51">
        <v>1</v>
      </c>
      <c r="AG5" s="46">
        <f t="shared" si="0"/>
        <v>21.000000000000004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2.9</v>
      </c>
      <c r="C7" s="51">
        <v>2.5</v>
      </c>
      <c r="D7" s="51">
        <v>2.8</v>
      </c>
      <c r="E7" s="51">
        <v>2.9</v>
      </c>
      <c r="F7" s="51">
        <v>2.5</v>
      </c>
      <c r="G7" s="51">
        <v>2.9</v>
      </c>
      <c r="H7" s="51">
        <v>2.9</v>
      </c>
      <c r="I7" s="51">
        <v>2.9</v>
      </c>
      <c r="J7" s="51">
        <v>2.5</v>
      </c>
      <c r="K7" s="51">
        <v>2</v>
      </c>
      <c r="L7" s="51">
        <v>2.5</v>
      </c>
      <c r="M7" s="51">
        <v>2.5</v>
      </c>
      <c r="N7" s="51">
        <v>2.8</v>
      </c>
      <c r="O7" s="51">
        <v>2.8</v>
      </c>
      <c r="P7" s="51">
        <v>2.5</v>
      </c>
      <c r="Q7" s="51">
        <v>2.5</v>
      </c>
      <c r="R7" s="51">
        <v>2.8</v>
      </c>
      <c r="S7" s="51">
        <v>2</v>
      </c>
      <c r="T7" s="51">
        <v>2.5</v>
      </c>
      <c r="U7" s="51">
        <v>2</v>
      </c>
      <c r="V7" s="51">
        <v>2.9</v>
      </c>
      <c r="W7" s="51">
        <v>2.8</v>
      </c>
      <c r="X7" s="51">
        <v>2.5</v>
      </c>
      <c r="Y7" s="51">
        <v>2.5</v>
      </c>
      <c r="Z7" s="51">
        <v>3.5</v>
      </c>
      <c r="AA7" s="51">
        <v>2.8</v>
      </c>
      <c r="AB7" s="51">
        <v>2.5</v>
      </c>
      <c r="AC7" s="51">
        <v>2.8</v>
      </c>
      <c r="AD7" s="51">
        <v>2.2000000000000002</v>
      </c>
      <c r="AE7" s="51">
        <v>2</v>
      </c>
      <c r="AF7" s="51">
        <v>2.5</v>
      </c>
      <c r="AG7" s="46">
        <f t="shared" si="0"/>
        <v>80.699999999999974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>
        <f>1.4+1</f>
        <v>2.4</v>
      </c>
      <c r="C9" s="51">
        <f>1.9+2</f>
        <v>3.9</v>
      </c>
      <c r="D9" s="51">
        <f>0.6+2.3</f>
        <v>2.9</v>
      </c>
      <c r="E9" s="51">
        <f>1.4+1.9</f>
        <v>3.3</v>
      </c>
      <c r="F9" s="51">
        <f>2.3+2</f>
        <v>4.3</v>
      </c>
      <c r="G9" s="51">
        <f>2.9+2</f>
        <v>4.9000000000000004</v>
      </c>
      <c r="H9" s="51">
        <f>1.9+2.7</f>
        <v>4.5999999999999996</v>
      </c>
      <c r="I9" s="51">
        <f>2.8+2.2</f>
        <v>5</v>
      </c>
      <c r="J9" s="51">
        <v>1.6</v>
      </c>
      <c r="K9" s="51">
        <v>2</v>
      </c>
      <c r="L9" s="51">
        <v>2.9</v>
      </c>
      <c r="M9" s="51">
        <v>3</v>
      </c>
      <c r="N9" s="51">
        <v>2.9</v>
      </c>
      <c r="O9" s="51">
        <v>3</v>
      </c>
      <c r="P9" s="51">
        <v>1.7</v>
      </c>
      <c r="Q9" s="51">
        <v>2</v>
      </c>
      <c r="R9" s="51">
        <f>1.6+1.3</f>
        <v>2.9000000000000004</v>
      </c>
      <c r="S9" s="51">
        <f>2+2</f>
        <v>4</v>
      </c>
      <c r="T9" s="51">
        <f>1.6+2.3</f>
        <v>3.9</v>
      </c>
      <c r="U9" s="51">
        <f>2.6+1.4</f>
        <v>4</v>
      </c>
      <c r="V9" s="51">
        <f>2+2.9</f>
        <v>4.9000000000000004</v>
      </c>
      <c r="W9" s="51">
        <f>2+2</f>
        <v>4</v>
      </c>
      <c r="X9" s="51">
        <f>2.1+1</f>
        <v>3.1</v>
      </c>
      <c r="Y9" s="51">
        <f>2.3+4</f>
        <v>6.3</v>
      </c>
      <c r="Z9" s="51">
        <f>2.9+2.6</f>
        <v>5.5</v>
      </c>
      <c r="AA9" s="51">
        <f>3.7+2.9</f>
        <v>6.6</v>
      </c>
      <c r="AB9" s="51">
        <f>2.3+1.9</f>
        <v>4.1999999999999993</v>
      </c>
      <c r="AC9" s="51">
        <f>3+2.3</f>
        <v>5.3</v>
      </c>
      <c r="AD9" s="51">
        <f>2.2+1.9</f>
        <v>4.0999999999999996</v>
      </c>
      <c r="AE9" s="51">
        <f>3+2.6</f>
        <v>5.6</v>
      </c>
      <c r="AF9" s="52"/>
      <c r="AG9" s="46">
        <f t="shared" si="0"/>
        <v>114.79999999999998</v>
      </c>
      <c r="AH9" s="48"/>
      <c r="AI9" s="48"/>
    </row>
    <row r="10" spans="1:35" s="44" customFormat="1" ht="18.75" customHeight="1" x14ac:dyDescent="0.35">
      <c r="A10" s="60" t="s">
        <v>67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</row>
    <row r="13" spans="1:35" s="44" customFormat="1" ht="21" x14ac:dyDescent="0.35">
      <c r="A13" s="60" t="s">
        <v>69</v>
      </c>
      <c r="B13" s="55">
        <v>1.2</v>
      </c>
      <c r="C13" s="126">
        <v>1</v>
      </c>
      <c r="D13" s="55"/>
      <c r="E13" s="55">
        <v>1.8</v>
      </c>
      <c r="F13" s="55">
        <v>0.9</v>
      </c>
      <c r="G13" s="55">
        <v>1.3</v>
      </c>
      <c r="H13" s="55">
        <v>1.8</v>
      </c>
      <c r="I13" s="126">
        <v>1</v>
      </c>
      <c r="J13" s="55">
        <v>1.2</v>
      </c>
      <c r="K13" s="55"/>
      <c r="L13" s="126">
        <v>2</v>
      </c>
      <c r="M13" s="55">
        <v>1.5</v>
      </c>
      <c r="N13" s="126">
        <v>2</v>
      </c>
      <c r="O13" s="126">
        <v>1</v>
      </c>
      <c r="P13" s="55">
        <v>1.8</v>
      </c>
      <c r="Q13" s="126">
        <v>1</v>
      </c>
      <c r="R13" s="55"/>
      <c r="S13" s="55">
        <v>1.7</v>
      </c>
      <c r="T13" s="126">
        <v>1</v>
      </c>
      <c r="U13" s="126">
        <v>3</v>
      </c>
      <c r="V13" s="55">
        <v>1.5</v>
      </c>
      <c r="W13" s="126">
        <v>2</v>
      </c>
      <c r="X13" s="126">
        <v>1</v>
      </c>
      <c r="Y13" s="55"/>
      <c r="Z13" s="126">
        <v>1</v>
      </c>
      <c r="AA13" s="126">
        <v>2</v>
      </c>
      <c r="AB13" s="55">
        <v>2.1</v>
      </c>
      <c r="AC13" s="126">
        <v>2</v>
      </c>
      <c r="AD13" s="126">
        <v>1</v>
      </c>
      <c r="AE13" s="126">
        <v>2</v>
      </c>
      <c r="AF13" s="55"/>
      <c r="AG13" s="46">
        <f t="shared" si="0"/>
        <v>39.800000000000004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9</v>
      </c>
      <c r="C14" s="51">
        <v>8</v>
      </c>
      <c r="D14" s="51">
        <v>7</v>
      </c>
      <c r="E14" s="51">
        <v>4</v>
      </c>
      <c r="F14" s="51">
        <v>6</v>
      </c>
      <c r="G14" s="51">
        <v>1.1000000000000001</v>
      </c>
      <c r="H14" s="51">
        <v>2</v>
      </c>
      <c r="I14" s="51">
        <v>9</v>
      </c>
      <c r="J14" s="51">
        <v>1.1000000000000001</v>
      </c>
      <c r="K14" s="51">
        <v>8</v>
      </c>
      <c r="L14" s="51">
        <v>6</v>
      </c>
      <c r="M14" s="51">
        <v>9</v>
      </c>
      <c r="N14" s="51">
        <v>1</v>
      </c>
      <c r="O14" s="51">
        <v>1.1000000000000001</v>
      </c>
      <c r="P14" s="51">
        <v>6</v>
      </c>
      <c r="Q14" s="51">
        <v>7</v>
      </c>
      <c r="R14" s="51">
        <v>8</v>
      </c>
      <c r="S14" s="51">
        <v>9</v>
      </c>
      <c r="T14" s="51">
        <v>1</v>
      </c>
      <c r="U14" s="51">
        <v>1.1000000000000001</v>
      </c>
      <c r="V14" s="51">
        <v>1.2</v>
      </c>
      <c r="W14" s="51">
        <v>9</v>
      </c>
      <c r="X14" s="51">
        <v>0.6</v>
      </c>
      <c r="Y14" s="114">
        <v>7</v>
      </c>
      <c r="Z14" s="114">
        <v>8</v>
      </c>
      <c r="AA14" s="114">
        <v>9</v>
      </c>
      <c r="AB14" s="114">
        <v>6</v>
      </c>
      <c r="AC14" s="114">
        <v>5</v>
      </c>
      <c r="AD14" s="114">
        <v>6</v>
      </c>
      <c r="AE14" s="114">
        <v>7</v>
      </c>
      <c r="AF14" s="114">
        <v>6</v>
      </c>
      <c r="AG14" s="46">
        <f t="shared" si="0"/>
        <v>169.2</v>
      </c>
      <c r="AH14" s="48"/>
      <c r="AI14" s="48"/>
    </row>
    <row r="15" spans="1:35" s="44" customFormat="1" ht="18.75" customHeight="1" x14ac:dyDescent="0.35">
      <c r="A15" s="60" t="s">
        <v>72</v>
      </c>
      <c r="B15" s="51"/>
      <c r="C15" s="51"/>
      <c r="D15" s="51">
        <v>3.1</v>
      </c>
      <c r="E15" s="51">
        <v>0.1</v>
      </c>
      <c r="F15" s="51">
        <v>0.3</v>
      </c>
      <c r="G15" s="51">
        <v>0.2</v>
      </c>
      <c r="H15" s="51">
        <v>1.2</v>
      </c>
      <c r="I15" s="51">
        <v>0.5</v>
      </c>
      <c r="J15" s="51">
        <v>1.9</v>
      </c>
      <c r="K15" s="51">
        <v>0.5</v>
      </c>
      <c r="L15" s="51">
        <v>0.6</v>
      </c>
      <c r="M15" s="51">
        <v>0.8</v>
      </c>
      <c r="N15" s="51">
        <v>0.9</v>
      </c>
      <c r="O15" s="51">
        <v>1.9</v>
      </c>
      <c r="P15" s="51">
        <v>2.5</v>
      </c>
      <c r="Q15" s="51"/>
      <c r="R15" s="51">
        <v>2.5</v>
      </c>
      <c r="S15" s="51">
        <v>0.5</v>
      </c>
      <c r="T15" s="51">
        <v>1.1000000000000001</v>
      </c>
      <c r="U15" s="51">
        <v>0.4</v>
      </c>
      <c r="V15" s="51"/>
      <c r="W15" s="51">
        <v>1.5</v>
      </c>
      <c r="X15" s="51">
        <v>1</v>
      </c>
      <c r="Y15" s="51"/>
      <c r="Z15" s="51">
        <v>1</v>
      </c>
      <c r="AA15" s="51"/>
      <c r="AB15" s="51">
        <v>1.5</v>
      </c>
      <c r="AC15" s="51">
        <v>1.5</v>
      </c>
      <c r="AD15" s="51">
        <v>2.5</v>
      </c>
      <c r="AE15" s="51"/>
      <c r="AF15" s="51">
        <v>3</v>
      </c>
      <c r="AG15" s="46">
        <f t="shared" si="0"/>
        <v>31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>
        <v>1.5</v>
      </c>
      <c r="C17" s="51">
        <v>1</v>
      </c>
      <c r="D17" s="51">
        <v>0.9</v>
      </c>
      <c r="E17" s="51">
        <v>2.2999999999999998</v>
      </c>
      <c r="F17" s="51">
        <v>2.6</v>
      </c>
      <c r="G17" s="51">
        <v>2.9</v>
      </c>
      <c r="H17" s="51">
        <v>3.2</v>
      </c>
      <c r="I17" s="51">
        <v>2.6</v>
      </c>
      <c r="J17" s="51">
        <v>2.9</v>
      </c>
      <c r="K17" s="51">
        <v>1.6</v>
      </c>
      <c r="L17" s="51">
        <v>1.2</v>
      </c>
      <c r="M17" s="51">
        <v>1.5</v>
      </c>
      <c r="N17" s="51">
        <v>1.3</v>
      </c>
      <c r="O17" s="51">
        <v>2</v>
      </c>
      <c r="P17" s="51">
        <v>1.8</v>
      </c>
      <c r="Q17" s="51">
        <v>1.9</v>
      </c>
      <c r="R17" s="51">
        <v>2.4</v>
      </c>
      <c r="S17" s="51">
        <v>1.5</v>
      </c>
      <c r="T17" s="51">
        <v>1.7</v>
      </c>
      <c r="U17" s="51">
        <v>2.1</v>
      </c>
      <c r="V17" s="51">
        <v>2.5</v>
      </c>
      <c r="W17" s="51">
        <v>2.8</v>
      </c>
      <c r="X17" s="51">
        <v>3</v>
      </c>
      <c r="Y17" s="51">
        <v>1.3</v>
      </c>
      <c r="Z17" s="51">
        <v>1.4</v>
      </c>
      <c r="AA17" s="51">
        <v>2.1</v>
      </c>
      <c r="AB17" s="51">
        <v>1.8</v>
      </c>
      <c r="AC17" s="51">
        <v>2.2999999999999998</v>
      </c>
      <c r="AD17" s="51">
        <v>1.6</v>
      </c>
      <c r="AE17" s="51">
        <v>2.5</v>
      </c>
      <c r="AF17" s="51">
        <v>1</v>
      </c>
      <c r="AG17" s="46">
        <f t="shared" si="0"/>
        <v>61.199999999999996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87">
        <v>4.5999999999999996</v>
      </c>
      <c r="C20" s="87">
        <v>3.8</v>
      </c>
      <c r="D20" s="87">
        <v>5.6</v>
      </c>
      <c r="E20" s="87">
        <v>4.8</v>
      </c>
      <c r="F20" s="87">
        <v>4.5999999999999996</v>
      </c>
      <c r="G20" s="87">
        <v>5.8</v>
      </c>
      <c r="H20" s="87">
        <v>4.9000000000000004</v>
      </c>
      <c r="I20" s="87">
        <v>5</v>
      </c>
      <c r="J20" s="87">
        <v>4.9000000000000004</v>
      </c>
      <c r="K20" s="87">
        <v>2.9</v>
      </c>
      <c r="L20" s="87">
        <v>4.4000000000000004</v>
      </c>
      <c r="M20" s="87">
        <v>5.9</v>
      </c>
      <c r="N20" s="87">
        <v>4.2</v>
      </c>
      <c r="O20" s="87">
        <v>1.9</v>
      </c>
      <c r="P20" s="87">
        <v>3.8</v>
      </c>
      <c r="Q20" s="87">
        <v>4.2</v>
      </c>
      <c r="R20" s="87">
        <v>3.8</v>
      </c>
      <c r="S20" s="87">
        <v>3.9</v>
      </c>
      <c r="T20" s="87">
        <v>4.2</v>
      </c>
      <c r="U20" s="87">
        <v>3.9</v>
      </c>
      <c r="V20" s="87">
        <v>3.6</v>
      </c>
      <c r="W20" s="87">
        <v>4.5</v>
      </c>
      <c r="X20" s="87">
        <v>4.3</v>
      </c>
      <c r="Y20" s="87">
        <v>4.9000000000000004</v>
      </c>
      <c r="Z20" s="87">
        <v>3.1</v>
      </c>
      <c r="AA20" s="87">
        <v>3.8</v>
      </c>
      <c r="AB20" s="87">
        <v>3.6</v>
      </c>
      <c r="AC20" s="87">
        <v>2.8</v>
      </c>
      <c r="AD20" s="87">
        <v>3.4</v>
      </c>
      <c r="AE20" s="87">
        <v>3</v>
      </c>
      <c r="AF20" s="51"/>
      <c r="AG20" s="46">
        <f t="shared" si="0"/>
        <v>124.1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>
        <v>1.3</v>
      </c>
      <c r="D22" s="51"/>
      <c r="E22" s="51"/>
      <c r="F22" s="51">
        <v>1.6</v>
      </c>
      <c r="G22" s="51"/>
      <c r="H22" s="51">
        <v>2.2999999999999998</v>
      </c>
      <c r="I22" s="51">
        <v>1.2</v>
      </c>
      <c r="J22" s="51">
        <v>1.3</v>
      </c>
      <c r="K22" s="51"/>
      <c r="L22" s="51"/>
      <c r="M22" s="51"/>
      <c r="N22" s="51">
        <v>1.7</v>
      </c>
      <c r="O22" s="51"/>
      <c r="P22" s="51"/>
      <c r="Q22" s="51">
        <v>2.9</v>
      </c>
      <c r="R22" s="51"/>
      <c r="S22" s="51"/>
      <c r="T22" s="51">
        <v>1.4</v>
      </c>
      <c r="U22" s="51"/>
      <c r="V22" s="51">
        <v>2.2999999999999998</v>
      </c>
      <c r="W22" s="51"/>
      <c r="X22" s="51">
        <v>1.2</v>
      </c>
      <c r="Y22" s="51"/>
      <c r="Z22" s="51"/>
      <c r="AA22" s="51"/>
      <c r="AB22" s="51">
        <v>1.2</v>
      </c>
      <c r="AC22" s="51"/>
      <c r="AD22" s="51">
        <v>1.5</v>
      </c>
      <c r="AE22" s="51">
        <v>1.1000000000000001</v>
      </c>
      <c r="AF22" s="51"/>
      <c r="AG22" s="46">
        <f t="shared" si="0"/>
        <v>21</v>
      </c>
      <c r="AH22" s="48"/>
      <c r="AI22" s="48"/>
    </row>
    <row r="23" spans="1:35" s="44" customFormat="1" ht="18.75" customHeight="1" x14ac:dyDescent="0.35">
      <c r="A23" s="60" t="s">
        <v>77</v>
      </c>
      <c r="B23" s="51">
        <v>0.2</v>
      </c>
      <c r="C23" s="51">
        <v>1</v>
      </c>
      <c r="D23" s="51"/>
      <c r="E23" s="51"/>
      <c r="F23" s="51"/>
      <c r="G23" s="51"/>
      <c r="H23" s="51">
        <v>0.3</v>
      </c>
      <c r="I23" s="51"/>
      <c r="J23" s="51"/>
      <c r="K23" s="51"/>
      <c r="L23" s="51"/>
      <c r="M23" s="51"/>
      <c r="N23" s="51"/>
      <c r="O23" s="51"/>
      <c r="P23" s="51">
        <v>0.3</v>
      </c>
      <c r="Q23" s="51"/>
      <c r="R23" s="51"/>
      <c r="S23" s="51"/>
      <c r="T23" s="51"/>
      <c r="U23" s="51">
        <v>0.7</v>
      </c>
      <c r="V23" s="51"/>
      <c r="W23" s="51"/>
      <c r="X23" s="51"/>
      <c r="Y23" s="51"/>
      <c r="Z23" s="51"/>
      <c r="AA23" s="51"/>
      <c r="AB23" s="51"/>
      <c r="AC23" s="51"/>
      <c r="AD23" s="51">
        <v>0.4</v>
      </c>
      <c r="AE23" s="51"/>
      <c r="AF23" s="51"/>
      <c r="AG23" s="46">
        <f t="shared" si="0"/>
        <v>2.9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3</v>
      </c>
      <c r="C24" s="51">
        <v>5</v>
      </c>
      <c r="D24" s="51">
        <v>3</v>
      </c>
      <c r="E24" s="51">
        <v>5</v>
      </c>
      <c r="F24" s="51">
        <v>6</v>
      </c>
      <c r="G24" s="51">
        <v>4</v>
      </c>
      <c r="H24" s="51">
        <v>5</v>
      </c>
      <c r="I24" s="51">
        <v>3</v>
      </c>
      <c r="J24" s="51">
        <v>3</v>
      </c>
      <c r="K24" s="51">
        <v>5</v>
      </c>
      <c r="L24" s="51">
        <v>7</v>
      </c>
      <c r="M24" s="51">
        <v>6</v>
      </c>
      <c r="N24" s="51">
        <v>6</v>
      </c>
      <c r="O24" s="51">
        <v>5</v>
      </c>
      <c r="P24" s="51">
        <v>4</v>
      </c>
      <c r="Q24" s="51">
        <v>5</v>
      </c>
      <c r="R24" s="51">
        <v>3</v>
      </c>
      <c r="S24" s="51">
        <v>4</v>
      </c>
      <c r="T24" s="51">
        <v>4</v>
      </c>
      <c r="U24" s="51">
        <v>3</v>
      </c>
      <c r="V24" s="51">
        <v>3</v>
      </c>
      <c r="W24" s="51">
        <v>5</v>
      </c>
      <c r="X24" s="51">
        <v>6</v>
      </c>
      <c r="Y24" s="51">
        <v>4</v>
      </c>
      <c r="Z24" s="51">
        <v>3</v>
      </c>
      <c r="AA24" s="51">
        <v>2</v>
      </c>
      <c r="AB24" s="51">
        <v>5</v>
      </c>
      <c r="AC24" s="51">
        <v>5</v>
      </c>
      <c r="AD24" s="51">
        <v>6</v>
      </c>
      <c r="AE24" s="51">
        <v>3</v>
      </c>
      <c r="AF24" s="51">
        <v>5</v>
      </c>
      <c r="AG24" s="46">
        <f t="shared" si="0"/>
        <v>136</v>
      </c>
      <c r="AH24" s="48"/>
      <c r="AI24" s="48"/>
    </row>
    <row r="25" spans="1:35" s="44" customFormat="1" ht="18.75" customHeight="1" x14ac:dyDescent="0.35">
      <c r="A25" s="116" t="s">
        <v>79</v>
      </c>
      <c r="B25" s="51">
        <v>2</v>
      </c>
      <c r="C25" s="51">
        <v>3</v>
      </c>
      <c r="D25" s="51">
        <v>2</v>
      </c>
      <c r="E25" s="51">
        <v>3</v>
      </c>
      <c r="F25" s="51">
        <v>1</v>
      </c>
      <c r="G25" s="51">
        <v>2</v>
      </c>
      <c r="H25" s="51">
        <v>2</v>
      </c>
      <c r="I25" s="51">
        <v>3</v>
      </c>
      <c r="J25" s="51">
        <v>1</v>
      </c>
      <c r="K25" s="51">
        <v>2</v>
      </c>
      <c r="L25" s="51">
        <v>3</v>
      </c>
      <c r="M25" s="51">
        <v>2</v>
      </c>
      <c r="N25" s="51">
        <v>3</v>
      </c>
      <c r="O25" s="51">
        <v>4</v>
      </c>
      <c r="P25" s="51">
        <v>3</v>
      </c>
      <c r="Q25" s="51">
        <v>2</v>
      </c>
      <c r="R25" s="51">
        <v>3</v>
      </c>
      <c r="S25" s="51">
        <v>2</v>
      </c>
      <c r="T25" s="51">
        <v>3</v>
      </c>
      <c r="U25" s="51">
        <v>3</v>
      </c>
      <c r="V25" s="51">
        <v>2</v>
      </c>
      <c r="W25" s="51">
        <v>4</v>
      </c>
      <c r="X25" s="51">
        <v>3</v>
      </c>
      <c r="Y25" s="51">
        <v>2</v>
      </c>
      <c r="Z25" s="51">
        <v>3</v>
      </c>
      <c r="AA25" s="51">
        <v>2</v>
      </c>
      <c r="AB25" s="51">
        <v>3</v>
      </c>
      <c r="AC25" s="51">
        <v>2</v>
      </c>
      <c r="AD25" s="51">
        <v>2</v>
      </c>
      <c r="AE25" s="51">
        <v>1</v>
      </c>
      <c r="AF25" s="51">
        <v>2</v>
      </c>
      <c r="AG25" s="46">
        <f t="shared" si="0"/>
        <v>75</v>
      </c>
      <c r="AH25" s="48"/>
      <c r="AI25" s="48"/>
    </row>
    <row r="26" spans="1:35" s="44" customFormat="1" ht="18.75" customHeight="1" x14ac:dyDescent="0.35">
      <c r="A26" s="60" t="s">
        <v>154</v>
      </c>
      <c r="B26" s="114">
        <v>1</v>
      </c>
      <c r="C26" s="52">
        <v>0.2</v>
      </c>
      <c r="D26" s="114">
        <v>1</v>
      </c>
      <c r="E26" s="52">
        <v>0.1</v>
      </c>
      <c r="F26" s="114">
        <v>1</v>
      </c>
      <c r="G26" s="114">
        <v>1</v>
      </c>
      <c r="H26" s="114">
        <v>1</v>
      </c>
      <c r="I26" s="114">
        <v>1</v>
      </c>
      <c r="J26" s="52">
        <v>0.1</v>
      </c>
      <c r="K26" s="114">
        <v>1</v>
      </c>
      <c r="L26" s="114">
        <v>1</v>
      </c>
      <c r="M26" s="114">
        <v>1</v>
      </c>
      <c r="N26" s="114">
        <v>1</v>
      </c>
      <c r="O26" s="114">
        <v>1</v>
      </c>
      <c r="P26" s="114">
        <v>1</v>
      </c>
      <c r="Q26" s="114">
        <v>1</v>
      </c>
      <c r="R26" s="52">
        <v>0.1</v>
      </c>
      <c r="S26" s="52">
        <v>0.1</v>
      </c>
      <c r="T26" s="114">
        <v>1</v>
      </c>
      <c r="U26" s="114">
        <v>1</v>
      </c>
      <c r="V26" s="114">
        <v>1</v>
      </c>
      <c r="W26" s="114">
        <v>1</v>
      </c>
      <c r="X26" s="114">
        <v>1</v>
      </c>
      <c r="Y26" s="52">
        <v>0.2</v>
      </c>
      <c r="Z26" s="114">
        <v>1</v>
      </c>
      <c r="AA26" s="114">
        <v>1</v>
      </c>
      <c r="AB26" s="114">
        <v>1</v>
      </c>
      <c r="AC26" s="114">
        <v>1</v>
      </c>
      <c r="AD26" s="114">
        <v>1</v>
      </c>
      <c r="AE26" s="114">
        <v>1</v>
      </c>
      <c r="AF26" s="52">
        <v>0.1</v>
      </c>
      <c r="AG26" s="46">
        <f t="shared" si="0"/>
        <v>24.900000000000002</v>
      </c>
      <c r="AH26" s="48"/>
      <c r="AI26" s="48"/>
    </row>
    <row r="27" spans="1:35" s="44" customFormat="1" ht="18.75" customHeight="1" x14ac:dyDescent="0.35">
      <c r="A27" s="60" t="s">
        <v>80</v>
      </c>
      <c r="B27" s="114">
        <v>1</v>
      </c>
      <c r="C27" s="52">
        <v>0.9</v>
      </c>
      <c r="D27" s="52"/>
      <c r="E27" s="52">
        <v>1.2</v>
      </c>
      <c r="F27" s="52">
        <v>0.9</v>
      </c>
      <c r="G27" s="52">
        <v>1.2</v>
      </c>
      <c r="H27" s="114">
        <v>1</v>
      </c>
      <c r="I27" s="52">
        <v>0.8</v>
      </c>
      <c r="J27" s="52">
        <v>1.2</v>
      </c>
      <c r="K27" s="52"/>
      <c r="L27" s="52">
        <v>0.9</v>
      </c>
      <c r="M27" s="52">
        <v>1.2</v>
      </c>
      <c r="N27" s="114">
        <v>1</v>
      </c>
      <c r="O27" s="52">
        <v>0.7</v>
      </c>
      <c r="P27" s="52">
        <v>1.1000000000000001</v>
      </c>
      <c r="Q27" s="52">
        <v>1.2</v>
      </c>
      <c r="R27" s="52">
        <v>1.3</v>
      </c>
      <c r="S27" s="52">
        <v>0.9</v>
      </c>
      <c r="T27" s="52">
        <v>1.1000000000000001</v>
      </c>
      <c r="U27" s="52">
        <v>0.3</v>
      </c>
      <c r="V27" s="52">
        <v>1.1000000000000001</v>
      </c>
      <c r="W27" s="114">
        <v>2</v>
      </c>
      <c r="X27" s="52">
        <v>1.1000000000000001</v>
      </c>
      <c r="Y27" s="52"/>
      <c r="Z27" s="52">
        <v>0.8</v>
      </c>
      <c r="AA27" s="114">
        <v>1</v>
      </c>
      <c r="AB27" s="52">
        <v>0.9</v>
      </c>
      <c r="AC27" s="52">
        <v>1.1000000000000001</v>
      </c>
      <c r="AD27" s="52">
        <v>1.3</v>
      </c>
      <c r="AE27" s="114">
        <v>1</v>
      </c>
      <c r="AF27" s="52"/>
      <c r="AG27" s="46">
        <f t="shared" si="0"/>
        <v>28.200000000000003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>
        <f>2.5+1.5+0.9</f>
        <v>4.9000000000000004</v>
      </c>
      <c r="C29" s="52">
        <f>2+1.9+1</f>
        <v>4.9000000000000004</v>
      </c>
      <c r="D29" s="52">
        <f>2.1+1.5+1.2</f>
        <v>4.8</v>
      </c>
      <c r="E29" s="52">
        <f>2+1.5+1.9</f>
        <v>5.4</v>
      </c>
      <c r="F29" s="52">
        <f>2.5+1.9+0.9</f>
        <v>5.3000000000000007</v>
      </c>
      <c r="G29" s="52">
        <f>2.1+1.9+2</f>
        <v>6</v>
      </c>
      <c r="H29" s="52">
        <f>1.9+2+0.9</f>
        <v>4.8</v>
      </c>
      <c r="I29" s="52">
        <f>2.5+1.9+2</f>
        <v>6.4</v>
      </c>
      <c r="J29" s="52">
        <f>2.1+1.9+3</f>
        <v>7</v>
      </c>
      <c r="K29" s="52">
        <f>2.5+1.9+1.5</f>
        <v>5.9</v>
      </c>
      <c r="L29" s="52">
        <f>2.5+1.9+2</f>
        <v>6.4</v>
      </c>
      <c r="M29" s="52">
        <f>1.9+2.1+1.5</f>
        <v>5.5</v>
      </c>
      <c r="N29" s="52">
        <f>1.9+2.1+0.9</f>
        <v>4.9000000000000004</v>
      </c>
      <c r="O29" s="52">
        <f>2.1+3.1+4.2</f>
        <v>9.4</v>
      </c>
      <c r="P29" s="52">
        <f>2.2+1.9+0.8</f>
        <v>4.8999999999999995</v>
      </c>
      <c r="Q29" s="52">
        <f>1.3+2.5+1.8</f>
        <v>5.6</v>
      </c>
      <c r="R29" s="52">
        <f>1.9+2.5+3.6</f>
        <v>8</v>
      </c>
      <c r="S29" s="52">
        <f>4.1+2.5+4.2</f>
        <v>10.8</v>
      </c>
      <c r="T29" s="52">
        <f>1.9+1.8+2.8</f>
        <v>6.5</v>
      </c>
      <c r="U29" s="52">
        <f>1.9+0.2+0.4</f>
        <v>2.5</v>
      </c>
      <c r="V29" s="52">
        <f>2+1.4+2.6</f>
        <v>6</v>
      </c>
      <c r="W29" s="52">
        <f>1.6+2+2.3</f>
        <v>5.9</v>
      </c>
      <c r="X29" s="52">
        <f>1.9+1+2.3</f>
        <v>5.1999999999999993</v>
      </c>
      <c r="Y29" s="52">
        <f>2+1+2.4</f>
        <v>5.4</v>
      </c>
      <c r="Z29" s="52">
        <f>3+1+2.3</f>
        <v>6.3</v>
      </c>
      <c r="AA29" s="52">
        <f>1.9+1.6+2.3</f>
        <v>5.8</v>
      </c>
      <c r="AB29" s="52">
        <f>3.2+1+2.3</f>
        <v>6.5</v>
      </c>
      <c r="AC29" s="52">
        <f>3+1+2</f>
        <v>6</v>
      </c>
      <c r="AD29" s="52">
        <f>3.4+1.6+2.3</f>
        <v>7.3</v>
      </c>
      <c r="AE29" s="52">
        <f>1.9+2.3+1.6</f>
        <v>5.7999999999999989</v>
      </c>
      <c r="AF29" s="52">
        <f>4+1.2+2</f>
        <v>7.2</v>
      </c>
      <c r="AG29" s="46">
        <f t="shared" si="0"/>
        <v>187.30000000000004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114"/>
      <c r="D32" s="52"/>
      <c r="E32" s="52"/>
      <c r="F32" s="114"/>
      <c r="G32" s="52"/>
      <c r="H32" s="114"/>
      <c r="I32" s="52"/>
      <c r="J32" s="52"/>
      <c r="K32" s="52"/>
      <c r="L32" s="114"/>
      <c r="M32" s="52"/>
      <c r="N32" s="52"/>
      <c r="O32" s="114"/>
      <c r="P32" s="114"/>
      <c r="Q32" s="114"/>
      <c r="R32" s="114"/>
      <c r="S32" s="52"/>
      <c r="T32" s="114"/>
      <c r="U32" s="114"/>
      <c r="V32" s="114"/>
      <c r="W32" s="114"/>
      <c r="X32" s="114"/>
      <c r="Y32" s="52"/>
      <c r="Z32" s="52"/>
      <c r="AA32" s="52"/>
      <c r="AB32" s="114"/>
      <c r="AC32" s="114"/>
      <c r="AD32" s="114"/>
      <c r="AE32" s="114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34.700000000000003</v>
      </c>
      <c r="C33" s="51">
        <f t="shared" ref="C33:AF33" si="1">SUM(C3:C32)</f>
        <v>38.400000000000006</v>
      </c>
      <c r="D33" s="51">
        <f t="shared" si="1"/>
        <v>35.099999999999994</v>
      </c>
      <c r="E33" s="51">
        <f t="shared" si="1"/>
        <v>37.300000000000004</v>
      </c>
      <c r="F33" s="51">
        <f t="shared" si="1"/>
        <v>41.8</v>
      </c>
      <c r="G33" s="51">
        <f t="shared" si="1"/>
        <v>36.599999999999994</v>
      </c>
      <c r="H33" s="51">
        <f t="shared" si="1"/>
        <v>39.4</v>
      </c>
      <c r="I33" s="51">
        <f t="shared" si="1"/>
        <v>47.4</v>
      </c>
      <c r="J33" s="51">
        <f t="shared" si="1"/>
        <v>32.700000000000003</v>
      </c>
      <c r="K33" s="51">
        <f t="shared" si="1"/>
        <v>32.700000000000003</v>
      </c>
      <c r="L33" s="51">
        <f t="shared" si="1"/>
        <v>40.9</v>
      </c>
      <c r="M33" s="51">
        <f t="shared" si="1"/>
        <v>43.500000000000007</v>
      </c>
      <c r="N33" s="51">
        <f t="shared" si="1"/>
        <v>37</v>
      </c>
      <c r="O33" s="51">
        <f t="shared" si="1"/>
        <v>38.1</v>
      </c>
      <c r="P33" s="51">
        <f t="shared" si="1"/>
        <v>37.799999999999997</v>
      </c>
      <c r="Q33" s="51">
        <f t="shared" si="1"/>
        <v>40.300000000000004</v>
      </c>
      <c r="R33" s="51">
        <f t="shared" si="1"/>
        <v>39.700000000000003</v>
      </c>
      <c r="S33" s="51">
        <f t="shared" si="1"/>
        <v>42.4</v>
      </c>
      <c r="T33" s="51">
        <f t="shared" si="1"/>
        <v>33.599999999999994</v>
      </c>
      <c r="U33" s="51">
        <f t="shared" si="1"/>
        <v>30</v>
      </c>
      <c r="V33" s="51">
        <f t="shared" si="1"/>
        <v>35.600000000000009</v>
      </c>
      <c r="W33" s="51">
        <f t="shared" si="1"/>
        <v>49.5</v>
      </c>
      <c r="X33" s="51">
        <f t="shared" si="1"/>
        <v>36.4</v>
      </c>
      <c r="Y33" s="51">
        <f t="shared" si="1"/>
        <v>34.400000000000006</v>
      </c>
      <c r="Z33" s="51">
        <f t="shared" si="1"/>
        <v>38.4</v>
      </c>
      <c r="AA33" s="51">
        <f t="shared" si="1"/>
        <v>39.799999999999997</v>
      </c>
      <c r="AB33" s="51">
        <f t="shared" si="1"/>
        <v>40.5</v>
      </c>
      <c r="AC33" s="51">
        <f t="shared" si="1"/>
        <v>38.800000000000004</v>
      </c>
      <c r="AD33" s="51">
        <f t="shared" si="1"/>
        <v>43.499999999999993</v>
      </c>
      <c r="AE33" s="51">
        <f t="shared" si="1"/>
        <v>37.1</v>
      </c>
      <c r="AF33" s="51">
        <f t="shared" si="1"/>
        <v>28.7</v>
      </c>
      <c r="AG33" s="56">
        <f>SUM(B33:AF33)</f>
        <v>1182.0999999999997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1182.1000000000001</v>
      </c>
      <c r="AH34" s="48"/>
      <c r="AI34" s="48"/>
    </row>
    <row r="35" spans="1:35" s="2" customFormat="1" x14ac:dyDescent="0.25"/>
  </sheetData>
  <mergeCells count="1">
    <mergeCell ref="A1:AG1"/>
  </mergeCells>
  <conditionalFormatting sqref="AG33">
    <cfRule type="cellIs" dxfId="51" priority="2" operator="equal">
      <formula>$AG$34</formula>
    </cfRule>
  </conditionalFormatting>
  <conditionalFormatting sqref="AG34">
    <cfRule type="cellIs" dxfId="50" priority="1" operator="equal">
      <formula>$AG$33</formula>
    </cfRule>
  </conditionalFormatting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RowHeight="15" x14ac:dyDescent="0.25"/>
  <cols>
    <col min="1" max="1" width="57.42578125" customWidth="1"/>
    <col min="2" max="32" width="7.710937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>
        <v>0.9</v>
      </c>
      <c r="C3" s="49">
        <v>0.2</v>
      </c>
      <c r="D3" s="49">
        <v>0.1</v>
      </c>
      <c r="E3" s="49">
        <v>0.4</v>
      </c>
      <c r="F3" s="49">
        <v>0.5</v>
      </c>
      <c r="G3" s="49">
        <v>0.2</v>
      </c>
      <c r="H3" s="49"/>
      <c r="I3" s="50">
        <v>0.6</v>
      </c>
      <c r="J3" s="49">
        <v>0.8</v>
      </c>
      <c r="K3" s="50">
        <v>0.4</v>
      </c>
      <c r="L3" s="49">
        <v>0.2</v>
      </c>
      <c r="M3" s="50">
        <v>0.5</v>
      </c>
      <c r="N3" s="49">
        <v>0.5</v>
      </c>
      <c r="O3" s="49"/>
      <c r="P3" s="50"/>
      <c r="Q3" s="49">
        <v>0.6</v>
      </c>
      <c r="R3" s="49">
        <v>0.4</v>
      </c>
      <c r="S3" s="50">
        <v>0.2</v>
      </c>
      <c r="T3" s="50">
        <v>0.3</v>
      </c>
      <c r="U3" s="50">
        <v>0.1</v>
      </c>
      <c r="V3" s="50"/>
      <c r="W3" s="49"/>
      <c r="X3" s="49">
        <v>0.2</v>
      </c>
      <c r="Y3" s="49">
        <v>0.6</v>
      </c>
      <c r="Z3" s="49">
        <v>0.9</v>
      </c>
      <c r="AA3" s="49">
        <v>0.8</v>
      </c>
      <c r="AB3" s="49">
        <v>0.3</v>
      </c>
      <c r="AC3" s="49"/>
      <c r="AD3" s="49"/>
      <c r="AE3" s="49">
        <v>0.2</v>
      </c>
      <c r="AF3" s="49"/>
      <c r="AG3" s="46">
        <f>SUM(B3:AF3)</f>
        <v>9.9</v>
      </c>
      <c r="AH3" s="47"/>
      <c r="AI3" s="48"/>
    </row>
    <row r="4" spans="1:35" s="44" customFormat="1" ht="21" x14ac:dyDescent="0.35">
      <c r="A4" s="81" t="s">
        <v>193</v>
      </c>
      <c r="B4" s="51">
        <v>0.5</v>
      </c>
      <c r="C4" s="51">
        <v>0.7</v>
      </c>
      <c r="D4" s="51">
        <v>0.3</v>
      </c>
      <c r="E4" s="51">
        <v>0.5</v>
      </c>
      <c r="F4" s="51">
        <v>0.7</v>
      </c>
      <c r="G4" s="51">
        <v>0.3</v>
      </c>
      <c r="H4" s="51">
        <v>0.3</v>
      </c>
      <c r="I4" s="51">
        <v>0.3</v>
      </c>
      <c r="J4" s="51">
        <v>0.5</v>
      </c>
      <c r="K4" s="51">
        <v>0.3</v>
      </c>
      <c r="L4" s="51">
        <v>0.3</v>
      </c>
      <c r="M4" s="51">
        <v>0.3</v>
      </c>
      <c r="N4" s="51">
        <v>0.5</v>
      </c>
      <c r="O4" s="51">
        <v>0.3</v>
      </c>
      <c r="P4" s="51">
        <v>0.3</v>
      </c>
      <c r="Q4" s="51">
        <v>0.3</v>
      </c>
      <c r="R4" s="51">
        <v>0.6</v>
      </c>
      <c r="S4" s="51">
        <v>0.2</v>
      </c>
      <c r="T4" s="51">
        <v>0.4</v>
      </c>
      <c r="U4" s="51">
        <v>0.3</v>
      </c>
      <c r="V4" s="51"/>
      <c r="W4" s="51">
        <v>0.3</v>
      </c>
      <c r="X4" s="51">
        <v>0.7</v>
      </c>
      <c r="Y4" s="51">
        <v>0.4</v>
      </c>
      <c r="Z4" s="51">
        <v>0.5</v>
      </c>
      <c r="AA4" s="51">
        <v>0.3</v>
      </c>
      <c r="AB4" s="51">
        <v>0.3</v>
      </c>
      <c r="AC4" s="51">
        <v>0.3</v>
      </c>
      <c r="AD4" s="51">
        <v>1.4</v>
      </c>
      <c r="AE4" s="51">
        <v>1.1000000000000001</v>
      </c>
      <c r="AF4" s="51"/>
      <c r="AG4" s="46">
        <f t="shared" ref="AG4:AG32" si="0">SUM(B4:AF4)</f>
        <v>13.200000000000001</v>
      </c>
      <c r="AH4" s="47"/>
      <c r="AI4" s="48"/>
    </row>
    <row r="5" spans="1:35" s="44" customFormat="1" ht="18.75" customHeight="1" x14ac:dyDescent="0.35">
      <c r="A5" s="60" t="s">
        <v>83</v>
      </c>
      <c r="B5" s="51">
        <v>1.2</v>
      </c>
      <c r="C5" s="51">
        <v>1</v>
      </c>
      <c r="D5" s="51">
        <v>0.1</v>
      </c>
      <c r="E5" s="51">
        <v>0.1</v>
      </c>
      <c r="F5" s="51">
        <v>1.4</v>
      </c>
      <c r="G5" s="51">
        <v>0.3</v>
      </c>
      <c r="H5" s="51">
        <v>0.7</v>
      </c>
      <c r="I5" s="51">
        <v>0.1</v>
      </c>
      <c r="J5" s="51">
        <v>1</v>
      </c>
      <c r="K5" s="51">
        <v>0.1</v>
      </c>
      <c r="L5" s="51">
        <v>1.2</v>
      </c>
      <c r="M5" s="51">
        <v>0.1</v>
      </c>
      <c r="N5" s="51">
        <v>1</v>
      </c>
      <c r="O5" s="51">
        <v>1</v>
      </c>
      <c r="P5" s="51"/>
      <c r="Q5" s="51">
        <v>1</v>
      </c>
      <c r="R5" s="51">
        <v>1.3</v>
      </c>
      <c r="S5" s="51">
        <v>0.9</v>
      </c>
      <c r="T5" s="51">
        <v>0.9</v>
      </c>
      <c r="U5" s="51">
        <v>0.7</v>
      </c>
      <c r="V5" s="51"/>
      <c r="W5" s="51"/>
      <c r="X5" s="51">
        <v>0.2</v>
      </c>
      <c r="Y5" s="51">
        <v>0.1</v>
      </c>
      <c r="Z5" s="51">
        <v>0.1</v>
      </c>
      <c r="AA5" s="51">
        <v>0.1</v>
      </c>
      <c r="AB5" s="51">
        <v>0.1</v>
      </c>
      <c r="AC5" s="51"/>
      <c r="AD5" s="51"/>
      <c r="AE5" s="51">
        <v>1.1000000000000001</v>
      </c>
      <c r="AF5" s="51"/>
      <c r="AG5" s="46">
        <f t="shared" si="0"/>
        <v>15.799999999999999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2.5</v>
      </c>
      <c r="C7" s="51">
        <v>2.8</v>
      </c>
      <c r="D7" s="51">
        <v>2.8</v>
      </c>
      <c r="E7" s="51">
        <v>2.2000000000000002</v>
      </c>
      <c r="F7" s="51">
        <v>2.5</v>
      </c>
      <c r="G7" s="51">
        <v>2.2000000000000002</v>
      </c>
      <c r="H7" s="51">
        <v>2.2000000000000002</v>
      </c>
      <c r="I7" s="51">
        <v>2</v>
      </c>
      <c r="J7" s="51">
        <v>2.5</v>
      </c>
      <c r="K7" s="51">
        <v>2.5</v>
      </c>
      <c r="L7" s="51">
        <v>2</v>
      </c>
      <c r="M7" s="51">
        <v>2.8</v>
      </c>
      <c r="N7" s="51">
        <v>2</v>
      </c>
      <c r="O7" s="51">
        <v>2.8</v>
      </c>
      <c r="P7" s="51">
        <v>2</v>
      </c>
      <c r="Q7" s="51">
        <v>2.5</v>
      </c>
      <c r="R7" s="51">
        <v>2</v>
      </c>
      <c r="S7" s="51">
        <v>2.2999999999999998</v>
      </c>
      <c r="T7" s="51">
        <v>2.5</v>
      </c>
      <c r="U7" s="51">
        <v>2</v>
      </c>
      <c r="V7" s="51">
        <v>2.52</v>
      </c>
      <c r="W7" s="51">
        <v>2.5</v>
      </c>
      <c r="X7" s="51">
        <v>2.5</v>
      </c>
      <c r="Y7" s="51">
        <v>3</v>
      </c>
      <c r="Z7" s="51">
        <v>2.8</v>
      </c>
      <c r="AA7" s="51">
        <v>2.5</v>
      </c>
      <c r="AB7" s="51">
        <v>2.5</v>
      </c>
      <c r="AC7" s="51">
        <v>2</v>
      </c>
      <c r="AD7" s="51">
        <v>2</v>
      </c>
      <c r="AE7" s="51">
        <v>2</v>
      </c>
      <c r="AF7" s="51"/>
      <c r="AG7" s="46">
        <f t="shared" si="0"/>
        <v>71.419999999999987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>
        <f>2+5</f>
        <v>7</v>
      </c>
      <c r="C9" s="52">
        <f>3.1+4.1</f>
        <v>7.1999999999999993</v>
      </c>
      <c r="D9" s="52">
        <f>4+3.5</f>
        <v>7.5</v>
      </c>
      <c r="E9" s="52">
        <f>2.4+4</f>
        <v>6.4</v>
      </c>
      <c r="F9" s="52">
        <f>3+4.8</f>
        <v>7.8</v>
      </c>
      <c r="G9" s="52">
        <f>2.4+5</f>
        <v>7.4</v>
      </c>
      <c r="H9" s="52">
        <f>3+4.1</f>
        <v>7.1</v>
      </c>
      <c r="I9" s="52">
        <f>2.9+5</f>
        <v>7.9</v>
      </c>
      <c r="J9" s="52">
        <f>4.3+3.5</f>
        <v>7.8</v>
      </c>
      <c r="K9" s="52">
        <f>3.9+3.5</f>
        <v>7.4</v>
      </c>
      <c r="L9" s="52">
        <f>4.1+3.3</f>
        <v>7.3999999999999995</v>
      </c>
      <c r="M9" s="52">
        <f>5.3+4</f>
        <v>9.3000000000000007</v>
      </c>
      <c r="N9" s="52">
        <f>4.8+6</f>
        <v>10.8</v>
      </c>
      <c r="O9" s="52">
        <f>5.6+5</f>
        <v>10.6</v>
      </c>
      <c r="P9" s="52">
        <f>4+3.8</f>
        <v>7.8</v>
      </c>
      <c r="Q9" s="52">
        <f>5.1+3.6</f>
        <v>8.6999999999999993</v>
      </c>
      <c r="R9" s="52">
        <f>4+2</f>
        <v>6</v>
      </c>
      <c r="S9" s="52">
        <f>3+2.1</f>
        <v>5.0999999999999996</v>
      </c>
      <c r="T9" s="52">
        <f>2+1.9</f>
        <v>3.9</v>
      </c>
      <c r="U9" s="52">
        <f>2.8+2.9</f>
        <v>5.6999999999999993</v>
      </c>
      <c r="V9" s="52">
        <f>3+2.4</f>
        <v>5.4</v>
      </c>
      <c r="W9" s="52">
        <f>2.9+4</f>
        <v>6.9</v>
      </c>
      <c r="X9" s="52">
        <f>3+3.8</f>
        <v>6.8</v>
      </c>
      <c r="Y9" s="52">
        <f>2+1.9</f>
        <v>3.9</v>
      </c>
      <c r="Z9" s="52">
        <f>4.3+3.1</f>
        <v>7.4</v>
      </c>
      <c r="AA9" s="52">
        <f>5+2.8</f>
        <v>7.8</v>
      </c>
      <c r="AB9" s="52">
        <f>4+3.7</f>
        <v>7.7</v>
      </c>
      <c r="AC9" s="52">
        <f>5.2+1</f>
        <v>6.2</v>
      </c>
      <c r="AD9" s="52">
        <f>6+1.3</f>
        <v>7.3</v>
      </c>
      <c r="AE9" s="52">
        <f>2+2.9</f>
        <v>4.9000000000000004</v>
      </c>
      <c r="AF9" s="52"/>
      <c r="AG9" s="46">
        <f t="shared" si="0"/>
        <v>213.10000000000002</v>
      </c>
      <c r="AH9" s="48"/>
      <c r="AI9" s="48"/>
    </row>
    <row r="10" spans="1:35" s="44" customFormat="1" ht="18.75" customHeight="1" x14ac:dyDescent="0.35">
      <c r="A10" s="60" t="s">
        <v>67</v>
      </c>
      <c r="B10" s="117"/>
      <c r="C10" s="117"/>
      <c r="D10" s="117"/>
      <c r="E10" s="117"/>
      <c r="F10" s="117"/>
      <c r="G10" s="117"/>
      <c r="H10" s="117"/>
      <c r="I10" s="117"/>
      <c r="J10" s="117"/>
      <c r="K10" s="117"/>
      <c r="L10" s="117"/>
      <c r="M10" s="117"/>
      <c r="N10" s="117"/>
      <c r="O10" s="117"/>
      <c r="P10" s="117"/>
      <c r="Q10" s="117"/>
      <c r="R10" s="117"/>
      <c r="S10" s="117"/>
      <c r="T10" s="117"/>
      <c r="U10" s="117"/>
      <c r="V10" s="117"/>
      <c r="W10" s="117"/>
      <c r="X10" s="117"/>
      <c r="Y10" s="117"/>
      <c r="Z10" s="117"/>
      <c r="AA10" s="117"/>
      <c r="AB10" s="117"/>
      <c r="AC10" s="117"/>
      <c r="AD10" s="117"/>
      <c r="AE10" s="117"/>
      <c r="AF10" s="117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51">
        <v>1.3</v>
      </c>
      <c r="C12" s="51">
        <v>2</v>
      </c>
      <c r="D12" s="51">
        <v>3.2</v>
      </c>
      <c r="E12" s="51">
        <v>2.5</v>
      </c>
      <c r="F12" s="51">
        <v>2.2999999999999998</v>
      </c>
      <c r="G12" s="51">
        <v>3.1</v>
      </c>
      <c r="H12" s="51">
        <v>2.7</v>
      </c>
      <c r="I12" s="51">
        <v>2.9</v>
      </c>
      <c r="J12" s="51">
        <v>2.4</v>
      </c>
      <c r="K12" s="51">
        <v>2.7</v>
      </c>
      <c r="L12" s="51">
        <v>1.5</v>
      </c>
      <c r="M12" s="51">
        <v>2</v>
      </c>
      <c r="N12" s="51">
        <v>3.9</v>
      </c>
      <c r="O12" s="51">
        <v>3.5</v>
      </c>
      <c r="P12" s="51">
        <v>3.1</v>
      </c>
      <c r="Q12" s="51">
        <v>2.6</v>
      </c>
      <c r="R12" s="51">
        <v>3.7</v>
      </c>
      <c r="S12" s="51">
        <v>3.5</v>
      </c>
      <c r="T12" s="51">
        <v>2</v>
      </c>
      <c r="U12" s="51">
        <v>2.2999999999999998</v>
      </c>
      <c r="V12" s="51">
        <v>3.2</v>
      </c>
      <c r="W12" s="51">
        <v>3.1</v>
      </c>
      <c r="X12" s="51">
        <v>2.9</v>
      </c>
      <c r="Y12" s="51">
        <v>3.5</v>
      </c>
      <c r="Z12" s="51">
        <v>3.1</v>
      </c>
      <c r="AA12" s="51">
        <v>3.2</v>
      </c>
      <c r="AB12" s="51">
        <v>3</v>
      </c>
      <c r="AC12" s="51">
        <v>3.5</v>
      </c>
      <c r="AD12" s="51">
        <v>3.1</v>
      </c>
      <c r="AE12" s="51">
        <v>3.2</v>
      </c>
      <c r="AF12" s="51"/>
      <c r="AG12" s="46">
        <f t="shared" si="0"/>
        <v>85</v>
      </c>
    </row>
    <row r="13" spans="1:35" s="44" customFormat="1" ht="21" x14ac:dyDescent="0.35">
      <c r="A13" s="60" t="s">
        <v>69</v>
      </c>
      <c r="B13" s="55">
        <v>0.4</v>
      </c>
      <c r="C13" s="126">
        <v>0.7</v>
      </c>
      <c r="D13" s="55">
        <v>0.1</v>
      </c>
      <c r="E13" s="55">
        <v>0.2</v>
      </c>
      <c r="F13" s="55">
        <v>0.1</v>
      </c>
      <c r="G13" s="55">
        <v>0.2</v>
      </c>
      <c r="H13" s="55">
        <v>0.3</v>
      </c>
      <c r="I13" s="126">
        <v>0.3</v>
      </c>
      <c r="J13" s="55">
        <v>0.3</v>
      </c>
      <c r="K13" s="55">
        <v>0.1</v>
      </c>
      <c r="L13" s="126">
        <v>0.1</v>
      </c>
      <c r="M13" s="55">
        <v>0.3</v>
      </c>
      <c r="N13" s="126">
        <v>0.3</v>
      </c>
      <c r="O13" s="126">
        <v>0.3</v>
      </c>
      <c r="P13" s="55">
        <v>0.1</v>
      </c>
      <c r="Q13" s="126">
        <v>0.1</v>
      </c>
      <c r="R13" s="55">
        <v>0.1</v>
      </c>
      <c r="S13" s="55">
        <v>0.2</v>
      </c>
      <c r="T13" s="126">
        <v>0.1</v>
      </c>
      <c r="U13" s="126">
        <v>0.2</v>
      </c>
      <c r="V13" s="55">
        <v>0.1</v>
      </c>
      <c r="W13" s="126">
        <v>0.2</v>
      </c>
      <c r="X13" s="126">
        <v>0.1</v>
      </c>
      <c r="Y13" s="55">
        <v>0.1</v>
      </c>
      <c r="Z13" s="126">
        <v>0.1</v>
      </c>
      <c r="AA13" s="126">
        <v>0.3</v>
      </c>
      <c r="AB13" s="55">
        <v>0.1</v>
      </c>
      <c r="AC13" s="126">
        <v>0.2</v>
      </c>
      <c r="AD13" s="126">
        <v>0.1</v>
      </c>
      <c r="AE13" s="126">
        <v>0.2</v>
      </c>
      <c r="AF13" s="55"/>
      <c r="AG13" s="46">
        <f t="shared" si="0"/>
        <v>5.9999999999999973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f>1+2.1+0.9</f>
        <v>4</v>
      </c>
      <c r="C14" s="51">
        <f>3+1.2+1.4</f>
        <v>5.6</v>
      </c>
      <c r="D14" s="51">
        <f>2.9+2.2+4.1</f>
        <v>9.1999999999999993</v>
      </c>
      <c r="E14" s="51">
        <f>3+1.9+2.6</f>
        <v>7.5</v>
      </c>
      <c r="F14" s="51">
        <f>2+3.4+2.4</f>
        <v>7.8000000000000007</v>
      </c>
      <c r="G14" s="51">
        <f>2+1.3+1.4</f>
        <v>4.6999999999999993</v>
      </c>
      <c r="H14" s="51">
        <f>1.2+2+2.9</f>
        <v>6.1</v>
      </c>
      <c r="I14" s="51">
        <f>1.4+2+1.3</f>
        <v>4.7</v>
      </c>
      <c r="J14" s="51">
        <f>1.3+2.1+4</f>
        <v>7.4</v>
      </c>
      <c r="K14" s="51">
        <f>2.6+1.1+2</f>
        <v>5.7</v>
      </c>
      <c r="L14" s="51">
        <f>2.3+1.4+2</f>
        <v>5.6999999999999993</v>
      </c>
      <c r="M14" s="51">
        <f>1.4+2+1.3</f>
        <v>4.7</v>
      </c>
      <c r="N14" s="51">
        <f>1.7+1+2</f>
        <v>4.7</v>
      </c>
      <c r="O14" s="51">
        <f>1.6+1.6+0.9</f>
        <v>4.1000000000000005</v>
      </c>
      <c r="P14" s="51">
        <f>1.3+2+1</f>
        <v>4.3</v>
      </c>
      <c r="Q14" s="51">
        <f>0.9+2+1.7</f>
        <v>4.5999999999999996</v>
      </c>
      <c r="R14" s="51">
        <f>2+1.9+1.4</f>
        <v>5.3</v>
      </c>
      <c r="S14" s="51">
        <f>2+1+0.9</f>
        <v>3.9</v>
      </c>
      <c r="T14" s="51">
        <f>2+1.7</f>
        <v>3.7</v>
      </c>
      <c r="U14" s="51">
        <f>1.2+4.1+3.2</f>
        <v>8.5</v>
      </c>
      <c r="V14" s="51">
        <f>3+2+1.7</f>
        <v>6.7</v>
      </c>
      <c r="W14" s="51">
        <f>3+2.3+1.9</f>
        <v>7.1999999999999993</v>
      </c>
      <c r="X14" s="51">
        <f>3.6+1+2</f>
        <v>6.6</v>
      </c>
      <c r="Y14" s="114">
        <f>1+2+0.9</f>
        <v>3.9</v>
      </c>
      <c r="Z14" s="114">
        <f>0.9+1.3+1</f>
        <v>3.2</v>
      </c>
      <c r="AA14" s="114">
        <f>1.9+2.3+2</f>
        <v>6.1999999999999993</v>
      </c>
      <c r="AB14" s="114">
        <f>1.6+1.7+2</f>
        <v>5.3</v>
      </c>
      <c r="AC14" s="114">
        <f>1+2+1.6</f>
        <v>4.5999999999999996</v>
      </c>
      <c r="AD14" s="114">
        <f>2.3+1.9+1.7</f>
        <v>5.8999999999999995</v>
      </c>
      <c r="AE14" s="114">
        <f>2.3+1+0.9</f>
        <v>4.2</v>
      </c>
      <c r="AF14" s="114"/>
      <c r="AG14" s="46">
        <f t="shared" si="0"/>
        <v>166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0</v>
      </c>
      <c r="C15" s="51">
        <v>2.9</v>
      </c>
      <c r="D15" s="51">
        <v>1.5</v>
      </c>
      <c r="E15" s="51">
        <v>0</v>
      </c>
      <c r="F15" s="51">
        <v>1.4</v>
      </c>
      <c r="G15" s="51">
        <v>2.5</v>
      </c>
      <c r="H15" s="51">
        <v>0</v>
      </c>
      <c r="I15" s="51">
        <v>2.1</v>
      </c>
      <c r="J15" s="51">
        <v>1.5</v>
      </c>
      <c r="K15" s="51">
        <v>1.8</v>
      </c>
      <c r="L15" s="51">
        <v>2.1</v>
      </c>
      <c r="M15" s="51">
        <v>1.1000000000000001</v>
      </c>
      <c r="N15" s="51">
        <v>2.2999999999999998</v>
      </c>
      <c r="O15" s="51">
        <v>1.1000000000000001</v>
      </c>
      <c r="P15" s="51">
        <v>2.1</v>
      </c>
      <c r="Q15" s="51">
        <v>2.5</v>
      </c>
      <c r="R15" s="51">
        <v>1.3</v>
      </c>
      <c r="S15" s="51">
        <v>1.2</v>
      </c>
      <c r="T15" s="51">
        <v>1.5</v>
      </c>
      <c r="U15" s="51">
        <v>1.9</v>
      </c>
      <c r="V15" s="51">
        <v>0</v>
      </c>
      <c r="W15" s="51">
        <v>1.2</v>
      </c>
      <c r="X15" s="51">
        <v>3.1</v>
      </c>
      <c r="Y15" s="51">
        <v>2.1</v>
      </c>
      <c r="Z15" s="51">
        <v>2.1</v>
      </c>
      <c r="AA15" s="51">
        <v>2</v>
      </c>
      <c r="AB15" s="51">
        <v>3.3</v>
      </c>
      <c r="AC15" s="51">
        <v>0.1</v>
      </c>
      <c r="AD15" s="51">
        <v>1.5</v>
      </c>
      <c r="AE15" s="51">
        <v>2.5</v>
      </c>
      <c r="AF15" s="51"/>
      <c r="AG15" s="46">
        <f t="shared" si="0"/>
        <v>48.70000000000001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>
        <v>1.3</v>
      </c>
      <c r="E18" s="51"/>
      <c r="F18" s="51"/>
      <c r="G18" s="51"/>
      <c r="H18" s="51">
        <v>1.5</v>
      </c>
      <c r="I18" s="51"/>
      <c r="J18" s="51"/>
      <c r="K18" s="51">
        <v>1.7</v>
      </c>
      <c r="L18" s="51"/>
      <c r="M18" s="51"/>
      <c r="N18" s="51">
        <v>2</v>
      </c>
      <c r="O18" s="51"/>
      <c r="P18" s="51"/>
      <c r="Q18" s="51"/>
      <c r="R18" s="51"/>
      <c r="S18" s="51">
        <v>1.9</v>
      </c>
      <c r="T18" s="51"/>
      <c r="U18" s="51"/>
      <c r="V18" s="51"/>
      <c r="W18" s="51">
        <v>1.3</v>
      </c>
      <c r="X18" s="51"/>
      <c r="Y18" s="51"/>
      <c r="Z18" s="51"/>
      <c r="AA18" s="51"/>
      <c r="AB18" s="51">
        <v>1.2</v>
      </c>
      <c r="AC18" s="51"/>
      <c r="AD18" s="51"/>
      <c r="AE18" s="51">
        <v>1.6</v>
      </c>
      <c r="AF18" s="51"/>
      <c r="AG18" s="46">
        <f t="shared" si="0"/>
        <v>12.5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>
        <v>1.5</v>
      </c>
      <c r="E19" s="51"/>
      <c r="F19" s="51"/>
      <c r="G19" s="51">
        <v>2.9</v>
      </c>
      <c r="H19" s="51"/>
      <c r="I19" s="51"/>
      <c r="J19" s="51"/>
      <c r="K19" s="51">
        <v>1.3</v>
      </c>
      <c r="L19" s="51"/>
      <c r="M19" s="51"/>
      <c r="N19" s="51">
        <v>1.8</v>
      </c>
      <c r="O19" s="51"/>
      <c r="P19" s="51"/>
      <c r="Q19" s="51">
        <v>2.1</v>
      </c>
      <c r="R19" s="51"/>
      <c r="S19" s="51">
        <v>1.3</v>
      </c>
      <c r="T19" s="51"/>
      <c r="U19" s="51"/>
      <c r="V19" s="51"/>
      <c r="W19" s="51">
        <v>1.9</v>
      </c>
      <c r="X19" s="51"/>
      <c r="Y19" s="51"/>
      <c r="Z19" s="51"/>
      <c r="AA19" s="51">
        <v>1.7</v>
      </c>
      <c r="AB19" s="51"/>
      <c r="AC19" s="51"/>
      <c r="AD19" s="51">
        <v>1.9</v>
      </c>
      <c r="AE19" s="51"/>
      <c r="AF19" s="51"/>
      <c r="AG19" s="46">
        <f t="shared" si="0"/>
        <v>16.399999999999999</v>
      </c>
      <c r="AH19" s="48"/>
      <c r="AI19" s="48"/>
    </row>
    <row r="20" spans="1:35" s="44" customFormat="1" ht="18.75" customHeight="1" x14ac:dyDescent="0.35">
      <c r="A20" s="60" t="s">
        <v>89</v>
      </c>
      <c r="B20" s="87">
        <v>4.9000000000000004</v>
      </c>
      <c r="C20" s="87">
        <v>3.1</v>
      </c>
      <c r="D20" s="87">
        <v>4.0999999999999996</v>
      </c>
      <c r="E20" s="87">
        <v>4.7</v>
      </c>
      <c r="F20" s="87">
        <v>4.0999999999999996</v>
      </c>
      <c r="G20" s="87">
        <v>5.0999999999999996</v>
      </c>
      <c r="H20" s="87">
        <v>4.3</v>
      </c>
      <c r="I20" s="87">
        <v>3.9</v>
      </c>
      <c r="J20" s="87">
        <v>4.9000000000000004</v>
      </c>
      <c r="K20" s="87">
        <v>2.9</v>
      </c>
      <c r="L20" s="87">
        <v>1.4</v>
      </c>
      <c r="M20" s="87">
        <v>4.7</v>
      </c>
      <c r="N20" s="87">
        <v>1.8</v>
      </c>
      <c r="O20" s="87">
        <v>4.2</v>
      </c>
      <c r="P20" s="87">
        <v>4.9000000000000004</v>
      </c>
      <c r="Q20" s="87">
        <v>4.8</v>
      </c>
      <c r="R20" s="87">
        <v>4.3</v>
      </c>
      <c r="S20" s="87">
        <v>4.7</v>
      </c>
      <c r="T20" s="87">
        <v>4.0999999999999996</v>
      </c>
      <c r="U20" s="87">
        <v>2.9</v>
      </c>
      <c r="V20" s="87">
        <v>3.8</v>
      </c>
      <c r="W20" s="87">
        <v>4</v>
      </c>
      <c r="X20" s="87">
        <v>3.8</v>
      </c>
      <c r="Y20" s="87">
        <v>4.5</v>
      </c>
      <c r="Z20" s="87">
        <v>4.0999999999999996</v>
      </c>
      <c r="AA20" s="87">
        <v>3.9</v>
      </c>
      <c r="AB20" s="87">
        <v>2.9</v>
      </c>
      <c r="AC20" s="87">
        <v>3.9</v>
      </c>
      <c r="AD20" s="87">
        <v>5.6</v>
      </c>
      <c r="AE20" s="87">
        <v>7.1</v>
      </c>
      <c r="AF20" s="51"/>
      <c r="AG20" s="46">
        <f t="shared" si="0"/>
        <v>123.39999999999999</v>
      </c>
      <c r="AH20" s="48"/>
      <c r="AI20" s="48"/>
    </row>
    <row r="21" spans="1:35" s="44" customFormat="1" ht="18.75" customHeight="1" x14ac:dyDescent="0.35">
      <c r="A21" s="60" t="s">
        <v>74</v>
      </c>
      <c r="B21" s="51">
        <f>1.4+1</f>
        <v>2.4</v>
      </c>
      <c r="C21" s="51">
        <f>1.9+2</f>
        <v>3.9</v>
      </c>
      <c r="D21" s="51">
        <f>0.6+2.3</f>
        <v>2.9</v>
      </c>
      <c r="E21" s="51">
        <f>1.4+1.9</f>
        <v>3.3</v>
      </c>
      <c r="F21" s="51">
        <f>2.3+2</f>
        <v>4.3</v>
      </c>
      <c r="G21" s="51">
        <f>2.9+2</f>
        <v>4.9000000000000004</v>
      </c>
      <c r="H21" s="51">
        <f>1.9+2.7</f>
        <v>4.5999999999999996</v>
      </c>
      <c r="I21" s="51">
        <f>2.8+2.2</f>
        <v>5</v>
      </c>
      <c r="J21" s="51">
        <v>1.6</v>
      </c>
      <c r="K21" s="51">
        <v>2</v>
      </c>
      <c r="L21" s="51">
        <v>2.9</v>
      </c>
      <c r="M21" s="51">
        <v>3</v>
      </c>
      <c r="N21" s="51">
        <v>2.9</v>
      </c>
      <c r="O21" s="51">
        <v>3</v>
      </c>
      <c r="P21" s="51">
        <v>1.7</v>
      </c>
      <c r="Q21" s="51">
        <v>2</v>
      </c>
      <c r="R21" s="51">
        <f>1.6+1.3</f>
        <v>2.9000000000000004</v>
      </c>
      <c r="S21" s="51">
        <f>2+2</f>
        <v>4</v>
      </c>
      <c r="T21" s="51">
        <f>1.6+2.3</f>
        <v>3.9</v>
      </c>
      <c r="U21" s="51">
        <f>2.6+1.4</f>
        <v>4</v>
      </c>
      <c r="V21" s="51">
        <f>2+2.9</f>
        <v>4.9000000000000004</v>
      </c>
      <c r="W21" s="51">
        <f>2+2</f>
        <v>4</v>
      </c>
      <c r="X21" s="51">
        <f>2.1+1</f>
        <v>3.1</v>
      </c>
      <c r="Y21" s="51">
        <f>2.3+4</f>
        <v>6.3</v>
      </c>
      <c r="Z21" s="51">
        <f>2.9+2.6</f>
        <v>5.5</v>
      </c>
      <c r="AA21" s="51">
        <f>3.7+2.9</f>
        <v>6.6</v>
      </c>
      <c r="AB21" s="51">
        <f>2.3+1.9</f>
        <v>4.1999999999999993</v>
      </c>
      <c r="AC21" s="51">
        <f>3+2.3</f>
        <v>5.3</v>
      </c>
      <c r="AD21" s="51">
        <f>2.2+1.9</f>
        <v>4.0999999999999996</v>
      </c>
      <c r="AE21" s="51">
        <f>3+2.6</f>
        <v>5.6</v>
      </c>
      <c r="AF21" s="51"/>
      <c r="AG21" s="46">
        <f t="shared" si="0"/>
        <v>114.79999999999998</v>
      </c>
      <c r="AH21" s="48"/>
      <c r="AI21" s="48"/>
    </row>
    <row r="22" spans="1:35" s="44" customFormat="1" ht="18.75" customHeight="1" x14ac:dyDescent="0.35">
      <c r="A22" s="60" t="s">
        <v>75</v>
      </c>
      <c r="B22" s="51">
        <v>2</v>
      </c>
      <c r="C22" s="51">
        <v>2.2999999999999998</v>
      </c>
      <c r="D22" s="51">
        <v>1.5</v>
      </c>
      <c r="E22" s="51">
        <v>1.9</v>
      </c>
      <c r="F22" s="51">
        <v>2.2000000000000002</v>
      </c>
      <c r="G22" s="51">
        <v>2.4</v>
      </c>
      <c r="H22" s="51"/>
      <c r="I22" s="51">
        <v>1.4</v>
      </c>
      <c r="J22" s="51">
        <v>1</v>
      </c>
      <c r="K22" s="51">
        <v>1.3</v>
      </c>
      <c r="L22" s="51">
        <v>1.6</v>
      </c>
      <c r="M22" s="51">
        <v>2</v>
      </c>
      <c r="N22" s="51">
        <v>2.2000000000000002</v>
      </c>
      <c r="O22" s="51"/>
      <c r="P22" s="51">
        <v>0.9</v>
      </c>
      <c r="Q22" s="51">
        <v>2.2999999999999998</v>
      </c>
      <c r="R22" s="51">
        <v>2</v>
      </c>
      <c r="S22" s="51">
        <v>1.3</v>
      </c>
      <c r="T22" s="51">
        <v>1.6</v>
      </c>
      <c r="U22" s="51">
        <v>2</v>
      </c>
      <c r="V22" s="51"/>
      <c r="W22" s="51">
        <v>2.2000000000000002</v>
      </c>
      <c r="X22" s="51">
        <v>1.7</v>
      </c>
      <c r="Y22" s="51">
        <v>1.7</v>
      </c>
      <c r="Z22" s="51">
        <v>2</v>
      </c>
      <c r="AA22" s="51">
        <v>1</v>
      </c>
      <c r="AB22" s="51">
        <v>1.4</v>
      </c>
      <c r="AC22" s="51"/>
      <c r="AD22" s="51">
        <v>2</v>
      </c>
      <c r="AE22" s="51">
        <v>2.2000000000000002</v>
      </c>
      <c r="AF22" s="51"/>
      <c r="AG22" s="46">
        <f t="shared" si="0"/>
        <v>46.100000000000009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>
        <v>0.6</v>
      </c>
      <c r="D23" s="51"/>
      <c r="E23" s="51">
        <v>0.3</v>
      </c>
      <c r="F23" s="51"/>
      <c r="G23" s="51"/>
      <c r="H23" s="51"/>
      <c r="I23" s="51">
        <v>0.5</v>
      </c>
      <c r="J23" s="51"/>
      <c r="K23" s="51">
        <v>0.8</v>
      </c>
      <c r="L23" s="51"/>
      <c r="M23" s="51">
        <v>0.3</v>
      </c>
      <c r="N23" s="51"/>
      <c r="O23" s="51"/>
      <c r="P23" s="51"/>
      <c r="Q23" s="51"/>
      <c r="R23" s="51">
        <v>0.2</v>
      </c>
      <c r="S23" s="51"/>
      <c r="T23" s="51">
        <v>0.4</v>
      </c>
      <c r="U23" s="51"/>
      <c r="V23" s="51"/>
      <c r="W23" s="51"/>
      <c r="X23" s="51"/>
      <c r="Y23" s="51">
        <v>0.7</v>
      </c>
      <c r="Z23" s="51"/>
      <c r="AA23" s="51">
        <v>0.9</v>
      </c>
      <c r="AB23" s="51">
        <v>0.4</v>
      </c>
      <c r="AC23" s="51"/>
      <c r="AD23" s="51"/>
      <c r="AE23" s="51"/>
      <c r="AF23" s="51"/>
      <c r="AG23" s="46">
        <f t="shared" si="0"/>
        <v>5.1000000000000005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3</v>
      </c>
      <c r="C24" s="51">
        <v>2</v>
      </c>
      <c r="D24" s="51">
        <v>3</v>
      </c>
      <c r="E24" s="51">
        <v>3</v>
      </c>
      <c r="F24" s="51">
        <v>5</v>
      </c>
      <c r="G24" s="51">
        <v>5</v>
      </c>
      <c r="H24" s="51">
        <v>4</v>
      </c>
      <c r="I24" s="51">
        <v>7</v>
      </c>
      <c r="J24" s="51">
        <v>1</v>
      </c>
      <c r="K24" s="51">
        <v>3</v>
      </c>
      <c r="L24" s="51">
        <v>6</v>
      </c>
      <c r="M24" s="51">
        <v>5</v>
      </c>
      <c r="N24" s="51">
        <v>6</v>
      </c>
      <c r="O24" s="51">
        <v>6</v>
      </c>
      <c r="P24" s="51">
        <v>6</v>
      </c>
      <c r="Q24" s="51">
        <v>6</v>
      </c>
      <c r="R24" s="51">
        <v>5</v>
      </c>
      <c r="S24" s="51">
        <v>5</v>
      </c>
      <c r="T24" s="51">
        <v>7</v>
      </c>
      <c r="U24" s="51">
        <v>6</v>
      </c>
      <c r="V24" s="51">
        <v>5</v>
      </c>
      <c r="W24" s="51">
        <v>7</v>
      </c>
      <c r="X24" s="51">
        <v>4</v>
      </c>
      <c r="Y24" s="51">
        <v>6</v>
      </c>
      <c r="Z24" s="51">
        <v>5.6</v>
      </c>
      <c r="AA24" s="51">
        <v>4.9000000000000004</v>
      </c>
      <c r="AB24" s="51">
        <v>4.3</v>
      </c>
      <c r="AC24" s="51">
        <v>5.0999999999999996</v>
      </c>
      <c r="AD24" s="51">
        <v>5.3</v>
      </c>
      <c r="AE24" s="51">
        <v>4.2</v>
      </c>
      <c r="AF24" s="51"/>
      <c r="AG24" s="46">
        <f t="shared" si="0"/>
        <v>145.4</v>
      </c>
      <c r="AH24" s="48"/>
      <c r="AI24" s="48"/>
    </row>
    <row r="25" spans="1:35" s="44" customFormat="1" ht="18.75" customHeight="1" x14ac:dyDescent="0.35">
      <c r="A25" s="116" t="s">
        <v>79</v>
      </c>
      <c r="B25" s="52">
        <v>1.5</v>
      </c>
      <c r="C25" s="52"/>
      <c r="D25" s="52">
        <v>2.2999999999999998</v>
      </c>
      <c r="E25" s="52">
        <v>3.1</v>
      </c>
      <c r="F25" s="52">
        <v>1.7</v>
      </c>
      <c r="G25" s="52">
        <v>3.8</v>
      </c>
      <c r="H25" s="52">
        <v>1.4</v>
      </c>
      <c r="I25" s="52">
        <v>1.2</v>
      </c>
      <c r="J25" s="52"/>
      <c r="K25" s="52">
        <v>3</v>
      </c>
      <c r="L25" s="52">
        <v>3.2</v>
      </c>
      <c r="M25" s="52">
        <v>2.5</v>
      </c>
      <c r="N25" s="52">
        <v>1.9</v>
      </c>
      <c r="O25" s="52">
        <v>2.2999999999999998</v>
      </c>
      <c r="P25" s="52">
        <v>5.4</v>
      </c>
      <c r="Q25" s="52">
        <v>1.7</v>
      </c>
      <c r="R25" s="52">
        <v>1.2</v>
      </c>
      <c r="S25" s="52">
        <v>1.3</v>
      </c>
      <c r="T25" s="52">
        <v>1.2</v>
      </c>
      <c r="U25" s="52">
        <v>1</v>
      </c>
      <c r="V25" s="52">
        <v>1.2</v>
      </c>
      <c r="W25" s="52">
        <v>1.5</v>
      </c>
      <c r="X25" s="52"/>
      <c r="Y25" s="52">
        <v>1.9</v>
      </c>
      <c r="Z25" s="52">
        <v>0.9</v>
      </c>
      <c r="AA25" s="52">
        <v>0.3</v>
      </c>
      <c r="AB25" s="52">
        <v>0.6</v>
      </c>
      <c r="AC25" s="52">
        <v>0.7</v>
      </c>
      <c r="AD25" s="52">
        <v>1.1000000000000001</v>
      </c>
      <c r="AE25" s="51"/>
      <c r="AF25" s="51"/>
      <c r="AG25" s="46">
        <f t="shared" si="0"/>
        <v>47.900000000000006</v>
      </c>
      <c r="AH25" s="48"/>
      <c r="AI25" s="48"/>
    </row>
    <row r="26" spans="1:35" s="44" customFormat="1" ht="18.75" customHeight="1" x14ac:dyDescent="0.35">
      <c r="A26" s="60" t="s">
        <v>154</v>
      </c>
      <c r="B26" s="114">
        <v>0.2</v>
      </c>
      <c r="C26" s="52">
        <v>0.7</v>
      </c>
      <c r="D26" s="114">
        <v>0.9</v>
      </c>
      <c r="E26" s="52">
        <v>1.3</v>
      </c>
      <c r="F26" s="114">
        <v>1.1000000000000001</v>
      </c>
      <c r="G26" s="114">
        <v>1.5</v>
      </c>
      <c r="H26" s="114">
        <v>1.9</v>
      </c>
      <c r="I26" s="114">
        <v>3</v>
      </c>
      <c r="J26" s="52">
        <v>1.3</v>
      </c>
      <c r="K26" s="114">
        <v>1</v>
      </c>
      <c r="L26" s="114">
        <v>2</v>
      </c>
      <c r="M26" s="114">
        <v>0.1</v>
      </c>
      <c r="N26" s="114">
        <v>0.1</v>
      </c>
      <c r="O26" s="114">
        <v>1.2</v>
      </c>
      <c r="P26" s="114"/>
      <c r="Q26" s="114">
        <v>1.2</v>
      </c>
      <c r="R26" s="52">
        <v>1.5</v>
      </c>
      <c r="S26" s="52">
        <v>1.2</v>
      </c>
      <c r="T26" s="114">
        <v>1</v>
      </c>
      <c r="U26" s="114">
        <v>2</v>
      </c>
      <c r="V26" s="114"/>
      <c r="W26" s="114"/>
      <c r="X26" s="114">
        <v>1</v>
      </c>
      <c r="Y26" s="52">
        <v>1</v>
      </c>
      <c r="Z26" s="114">
        <v>1</v>
      </c>
      <c r="AA26" s="114">
        <v>1</v>
      </c>
      <c r="AB26" s="114">
        <v>0.2</v>
      </c>
      <c r="AC26" s="114"/>
      <c r="AD26" s="114"/>
      <c r="AE26" s="114">
        <v>1.2</v>
      </c>
      <c r="AF26" s="52"/>
      <c r="AG26" s="46">
        <f t="shared" si="0"/>
        <v>28.599999999999998</v>
      </c>
      <c r="AH26" s="48"/>
      <c r="AI26" s="48"/>
    </row>
    <row r="27" spans="1:35" s="44" customFormat="1" ht="18.75" customHeight="1" x14ac:dyDescent="0.35">
      <c r="A27" s="60" t="s">
        <v>80</v>
      </c>
      <c r="B27" s="114">
        <v>0.4</v>
      </c>
      <c r="C27" s="52">
        <v>1.2</v>
      </c>
      <c r="D27" s="52">
        <v>1.1000000000000001</v>
      </c>
      <c r="E27" s="52">
        <v>1.5</v>
      </c>
      <c r="F27" s="52">
        <v>0.7</v>
      </c>
      <c r="G27" s="52">
        <v>0.9</v>
      </c>
      <c r="H27" s="114">
        <v>0.6</v>
      </c>
      <c r="I27" s="52">
        <v>1.3</v>
      </c>
      <c r="J27" s="52">
        <v>0.6</v>
      </c>
      <c r="K27" s="52">
        <v>1.3</v>
      </c>
      <c r="L27" s="52">
        <v>1.6</v>
      </c>
      <c r="M27" s="52">
        <v>2</v>
      </c>
      <c r="N27" s="114">
        <v>1.1000000000000001</v>
      </c>
      <c r="O27" s="52">
        <v>0.5</v>
      </c>
      <c r="P27" s="52">
        <v>0.9</v>
      </c>
      <c r="Q27" s="52">
        <v>1</v>
      </c>
      <c r="R27" s="52">
        <v>1.1000000000000001</v>
      </c>
      <c r="S27" s="52">
        <v>0.9</v>
      </c>
      <c r="T27" s="52">
        <v>1.2</v>
      </c>
      <c r="U27" s="52">
        <v>0.8</v>
      </c>
      <c r="V27" s="52">
        <v>1.3</v>
      </c>
      <c r="W27" s="114">
        <v>0.6</v>
      </c>
      <c r="X27" s="52">
        <v>0.5</v>
      </c>
      <c r="Y27" s="52">
        <v>0.4</v>
      </c>
      <c r="Z27" s="52">
        <v>1</v>
      </c>
      <c r="AA27" s="114">
        <v>0.9</v>
      </c>
      <c r="AB27" s="52">
        <v>1.2</v>
      </c>
      <c r="AC27" s="52">
        <v>0.7</v>
      </c>
      <c r="AD27" s="52">
        <v>1.3</v>
      </c>
      <c r="AE27" s="114">
        <v>0.4</v>
      </c>
      <c r="AF27" s="52"/>
      <c r="AG27" s="46">
        <f t="shared" si="0"/>
        <v>29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>
        <f>4.5+2.5+1.5</f>
        <v>8.5</v>
      </c>
      <c r="C29" s="52">
        <f>2.5+1.5+1</f>
        <v>5</v>
      </c>
      <c r="D29" s="52">
        <f>3+2.5+1.5</f>
        <v>7</v>
      </c>
      <c r="E29" s="52">
        <f>3.5+1.5+1</f>
        <v>6</v>
      </c>
      <c r="F29" s="52">
        <f>5+2.1+1.5</f>
        <v>8.6</v>
      </c>
      <c r="G29" s="52">
        <f>3.5+1.5+2</f>
        <v>7</v>
      </c>
      <c r="H29" s="52">
        <f>5.1+2.5</f>
        <v>7.6</v>
      </c>
      <c r="I29" s="52">
        <f>3+1.5+2</f>
        <v>6.5</v>
      </c>
      <c r="J29" s="52">
        <f>3.5+1.5+2.5</f>
        <v>7.5</v>
      </c>
      <c r="K29" s="52">
        <f>4+2.5+1.9</f>
        <v>8.4</v>
      </c>
      <c r="L29" s="52">
        <f>2+2.9+1.5</f>
        <v>6.4</v>
      </c>
      <c r="M29" s="52">
        <f>3.2+1.8+1.7</f>
        <v>6.7</v>
      </c>
      <c r="N29" s="52">
        <f>1.9+2.1+1.9</f>
        <v>5.9</v>
      </c>
      <c r="O29" s="52">
        <f>2.1+2.2+3.1</f>
        <v>7.4</v>
      </c>
      <c r="P29" s="52">
        <f>3.1+2.2+2.3</f>
        <v>7.6000000000000005</v>
      </c>
      <c r="Q29" s="52">
        <f>5.3+4.1+2.3</f>
        <v>11.7</v>
      </c>
      <c r="R29" s="52">
        <f>2.3+2.1+2.9</f>
        <v>7.3000000000000007</v>
      </c>
      <c r="S29" s="52">
        <f>3.1+2.1+2.2</f>
        <v>7.4</v>
      </c>
      <c r="T29" s="52">
        <f>1.9+2.2+1.8</f>
        <v>5.8999999999999995</v>
      </c>
      <c r="U29" s="52">
        <f>2.1+3.1+4.5</f>
        <v>9.6999999999999993</v>
      </c>
      <c r="V29" s="52">
        <f>3.1+2.2+3.5</f>
        <v>8.8000000000000007</v>
      </c>
      <c r="W29" s="52">
        <f>3.1+1.9+2.5</f>
        <v>7.5</v>
      </c>
      <c r="X29" s="52">
        <f>1.9+2.2+3.1</f>
        <v>7.1999999999999993</v>
      </c>
      <c r="Y29" s="52">
        <f>2.1+2.2+1.9</f>
        <v>6.2000000000000011</v>
      </c>
      <c r="Z29" s="52">
        <f>1.9+2.2+1.8</f>
        <v>5.8999999999999995</v>
      </c>
      <c r="AA29" s="52">
        <f>2.2+1.8+3.1</f>
        <v>7.1</v>
      </c>
      <c r="AB29" s="52">
        <f>4.5+2.3+2.8</f>
        <v>9.6</v>
      </c>
      <c r="AC29" s="52">
        <f>3.8+5.5+3.8</f>
        <v>13.100000000000001</v>
      </c>
      <c r="AD29" s="52">
        <f>1.8+2.9+1</f>
        <v>5.7</v>
      </c>
      <c r="AE29" s="52">
        <f>1.9+1.8+2.2</f>
        <v>5.9</v>
      </c>
      <c r="AF29" s="52"/>
      <c r="AG29" s="46">
        <f t="shared" si="0"/>
        <v>225.1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125"/>
      <c r="C31" s="125"/>
      <c r="D31" s="125"/>
      <c r="E31" s="125"/>
      <c r="F31" s="125"/>
      <c r="G31" s="125"/>
      <c r="H31" s="125"/>
      <c r="I31" s="125"/>
      <c r="J31" s="125"/>
      <c r="K31" s="125"/>
      <c r="L31" s="125"/>
      <c r="M31" s="125"/>
      <c r="N31" s="125"/>
      <c r="O31" s="125"/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114"/>
      <c r="D32" s="52"/>
      <c r="E32" s="52"/>
      <c r="F32" s="114"/>
      <c r="G32" s="52"/>
      <c r="H32" s="114"/>
      <c r="I32" s="52"/>
      <c r="J32" s="52"/>
      <c r="K32" s="52"/>
      <c r="L32" s="114"/>
      <c r="M32" s="52"/>
      <c r="N32" s="52"/>
      <c r="O32" s="114"/>
      <c r="P32" s="114"/>
      <c r="Q32" s="114"/>
      <c r="R32" s="114"/>
      <c r="S32" s="52"/>
      <c r="T32" s="114"/>
      <c r="U32" s="114"/>
      <c r="V32" s="114"/>
      <c r="W32" s="114"/>
      <c r="X32" s="114"/>
      <c r="Y32" s="52"/>
      <c r="Z32" s="52"/>
      <c r="AA32" s="52"/>
      <c r="AB32" s="114"/>
      <c r="AC32" s="114"/>
      <c r="AD32" s="114"/>
      <c r="AE32" s="114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40.700000000000003</v>
      </c>
      <c r="C33" s="51">
        <f t="shared" ref="C33:AF33" si="1">SUM(C3:C32)</f>
        <v>41.9</v>
      </c>
      <c r="D33" s="51">
        <f t="shared" si="1"/>
        <v>50.399999999999991</v>
      </c>
      <c r="E33" s="51">
        <f t="shared" si="1"/>
        <v>44.9</v>
      </c>
      <c r="F33" s="51">
        <f t="shared" si="1"/>
        <v>52.20000000000001</v>
      </c>
      <c r="G33" s="51">
        <f t="shared" si="1"/>
        <v>54.399999999999991</v>
      </c>
      <c r="H33" s="51">
        <f t="shared" si="1"/>
        <v>45.3</v>
      </c>
      <c r="I33" s="51">
        <f t="shared" si="1"/>
        <v>50.7</v>
      </c>
      <c r="J33" s="51">
        <f t="shared" si="1"/>
        <v>42.1</v>
      </c>
      <c r="K33" s="51">
        <f t="shared" si="1"/>
        <v>47.699999999999996</v>
      </c>
      <c r="L33" s="51">
        <f t="shared" si="1"/>
        <v>45.6</v>
      </c>
      <c r="M33" s="51">
        <f t="shared" si="1"/>
        <v>47.400000000000006</v>
      </c>
      <c r="N33" s="51">
        <f t="shared" si="1"/>
        <v>51.7</v>
      </c>
      <c r="O33" s="51">
        <f t="shared" si="1"/>
        <v>48.300000000000004</v>
      </c>
      <c r="P33" s="51">
        <f t="shared" si="1"/>
        <v>47.1</v>
      </c>
      <c r="Q33" s="51">
        <f t="shared" si="1"/>
        <v>55.7</v>
      </c>
      <c r="R33" s="51">
        <f t="shared" si="1"/>
        <v>46.2</v>
      </c>
      <c r="S33" s="51">
        <f t="shared" si="1"/>
        <v>46.499999999999993</v>
      </c>
      <c r="T33" s="51">
        <f t="shared" si="1"/>
        <v>41.6</v>
      </c>
      <c r="U33" s="51">
        <f t="shared" si="1"/>
        <v>50.099999999999994</v>
      </c>
      <c r="V33" s="51">
        <f t="shared" si="1"/>
        <v>42.92</v>
      </c>
      <c r="W33" s="51">
        <f t="shared" si="1"/>
        <v>51.4</v>
      </c>
      <c r="X33" s="51">
        <f t="shared" si="1"/>
        <v>44.400000000000006</v>
      </c>
      <c r="Y33" s="51">
        <f t="shared" si="1"/>
        <v>46.3</v>
      </c>
      <c r="Z33" s="51">
        <f t="shared" si="1"/>
        <v>46.199999999999996</v>
      </c>
      <c r="AA33" s="51">
        <f t="shared" si="1"/>
        <v>51.499999999999993</v>
      </c>
      <c r="AB33" s="51">
        <f t="shared" si="1"/>
        <v>48.6</v>
      </c>
      <c r="AC33" s="51">
        <f t="shared" si="1"/>
        <v>45.699999999999996</v>
      </c>
      <c r="AD33" s="51">
        <f t="shared" si="1"/>
        <v>48.3</v>
      </c>
      <c r="AE33" s="51">
        <f t="shared" si="1"/>
        <v>47.600000000000009</v>
      </c>
      <c r="AF33" s="51">
        <f t="shared" si="1"/>
        <v>0</v>
      </c>
      <c r="AG33" s="56">
        <f>SUM(B33:AF33)</f>
        <v>1423.42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1423.42</v>
      </c>
      <c r="AH34" s="48"/>
      <c r="AI34" s="48"/>
    </row>
    <row r="35" spans="1:35" s="2" customFormat="1" x14ac:dyDescent="0.25"/>
  </sheetData>
  <mergeCells count="1">
    <mergeCell ref="A1:AG1"/>
  </mergeCells>
  <conditionalFormatting sqref="AG33">
    <cfRule type="cellIs" dxfId="49" priority="2" operator="equal">
      <formula>$AG$34</formula>
    </cfRule>
  </conditionalFormatting>
  <conditionalFormatting sqref="AG34">
    <cfRule type="cellIs" dxfId="48" priority="1" operator="equal">
      <formula>$AG$33</formula>
    </cfRule>
  </conditionalFormatting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workbookViewId="0">
      <selection sqref="A1:AG1"/>
    </sheetView>
  </sheetViews>
  <sheetFormatPr baseColWidth="10" defaultRowHeight="15" x14ac:dyDescent="0.25"/>
  <cols>
    <col min="1" max="1" width="56.42578125" customWidth="1"/>
    <col min="2" max="32" width="7.2851562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>
        <v>0.5</v>
      </c>
      <c r="C3" s="49">
        <v>1.1000000000000001</v>
      </c>
      <c r="D3" s="49">
        <v>1.2</v>
      </c>
      <c r="E3" s="49">
        <v>0.7</v>
      </c>
      <c r="F3" s="49"/>
      <c r="G3" s="49">
        <v>0.5</v>
      </c>
      <c r="H3" s="49">
        <v>0.9</v>
      </c>
      <c r="I3" s="50">
        <v>0.7</v>
      </c>
      <c r="J3" s="49">
        <v>0.6</v>
      </c>
      <c r="K3" s="50">
        <v>0.2</v>
      </c>
      <c r="L3" s="49">
        <v>0.3</v>
      </c>
      <c r="M3" s="50"/>
      <c r="N3" s="49">
        <v>0.2</v>
      </c>
      <c r="O3" s="49">
        <v>0.3</v>
      </c>
      <c r="P3" s="50">
        <v>0.3</v>
      </c>
      <c r="Q3" s="49">
        <v>0.7</v>
      </c>
      <c r="R3" s="49">
        <v>0.5</v>
      </c>
      <c r="S3" s="50">
        <v>0.6</v>
      </c>
      <c r="T3" s="50"/>
      <c r="U3" s="50"/>
      <c r="V3" s="50">
        <v>0.6</v>
      </c>
      <c r="W3" s="49">
        <v>0.9</v>
      </c>
      <c r="X3" s="49">
        <v>0.3</v>
      </c>
      <c r="Y3" s="49">
        <v>0.5</v>
      </c>
      <c r="Z3" s="49">
        <v>0.1</v>
      </c>
      <c r="AA3" s="49"/>
      <c r="AB3" s="49">
        <v>0.1</v>
      </c>
      <c r="AC3" s="49">
        <v>0.9</v>
      </c>
      <c r="AD3" s="49">
        <v>0.1</v>
      </c>
      <c r="AE3" s="49">
        <v>0.6</v>
      </c>
      <c r="AF3" s="49">
        <v>0.4</v>
      </c>
      <c r="AG3" s="46">
        <f>SUM(B3:AF3)</f>
        <v>13.799999999999999</v>
      </c>
      <c r="AH3" s="47"/>
      <c r="AI3" s="48"/>
    </row>
    <row r="4" spans="1:35" s="44" customFormat="1" ht="27.75" customHeight="1" x14ac:dyDescent="0.35">
      <c r="A4" s="60" t="s">
        <v>193</v>
      </c>
      <c r="B4" s="51">
        <v>0.5</v>
      </c>
      <c r="C4" s="51" t="s">
        <v>204</v>
      </c>
      <c r="D4" s="51">
        <v>9</v>
      </c>
      <c r="E4" s="51">
        <v>0.9</v>
      </c>
      <c r="F4" s="51">
        <v>1.3</v>
      </c>
      <c r="G4" s="51">
        <v>0.6</v>
      </c>
      <c r="H4" s="51">
        <v>0.9</v>
      </c>
      <c r="I4" s="51">
        <v>0.5</v>
      </c>
      <c r="J4" s="51">
        <v>1.4</v>
      </c>
      <c r="K4" s="51">
        <v>0.5</v>
      </c>
      <c r="L4" s="51">
        <v>0.2</v>
      </c>
      <c r="M4" s="51">
        <v>0.3</v>
      </c>
      <c r="N4" s="51">
        <v>0.3</v>
      </c>
      <c r="O4" s="51">
        <v>0.5</v>
      </c>
      <c r="P4" s="51">
        <v>1.1000000000000001</v>
      </c>
      <c r="Q4" s="51">
        <v>1</v>
      </c>
      <c r="R4" s="51">
        <v>0.7</v>
      </c>
      <c r="S4" s="51">
        <v>0.4</v>
      </c>
      <c r="T4" s="51"/>
      <c r="U4" s="51"/>
      <c r="V4" s="51">
        <v>0.6</v>
      </c>
      <c r="W4" s="51">
        <v>0.6</v>
      </c>
      <c r="X4" s="51">
        <v>0.7</v>
      </c>
      <c r="Y4" s="51">
        <v>0.3</v>
      </c>
      <c r="Z4" s="51">
        <v>0.2</v>
      </c>
      <c r="AA4" s="51">
        <v>0.5</v>
      </c>
      <c r="AB4" s="51">
        <v>0.9</v>
      </c>
      <c r="AC4" s="51">
        <v>0.3</v>
      </c>
      <c r="AD4" s="51">
        <v>0.2</v>
      </c>
      <c r="AE4" s="51">
        <v>0.8</v>
      </c>
      <c r="AF4" s="51">
        <v>0.4</v>
      </c>
      <c r="AG4" s="46">
        <f t="shared" ref="AG4:AG32" si="0">SUM(B4:AF4)</f>
        <v>25.6</v>
      </c>
      <c r="AH4" s="47"/>
      <c r="AI4" s="48"/>
    </row>
    <row r="5" spans="1:35" s="44" customFormat="1" ht="18.75" customHeight="1" x14ac:dyDescent="0.35">
      <c r="A5" s="60" t="s">
        <v>83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2">
        <v>2.5</v>
      </c>
      <c r="C7" s="52">
        <v>2.5</v>
      </c>
      <c r="D7" s="52">
        <v>2</v>
      </c>
      <c r="E7" s="52">
        <v>2.1</v>
      </c>
      <c r="F7" s="52">
        <v>2</v>
      </c>
      <c r="G7" s="52">
        <v>2.5</v>
      </c>
      <c r="H7" s="52">
        <v>2</v>
      </c>
      <c r="I7" s="52">
        <v>2</v>
      </c>
      <c r="J7" s="52">
        <v>3</v>
      </c>
      <c r="K7" s="52">
        <v>2.8</v>
      </c>
      <c r="L7" s="52">
        <v>2.5</v>
      </c>
      <c r="M7" s="52">
        <v>2</v>
      </c>
      <c r="N7" s="52">
        <v>2.5</v>
      </c>
      <c r="O7" s="52">
        <v>2</v>
      </c>
      <c r="P7" s="52">
        <v>2.5</v>
      </c>
      <c r="Q7" s="52">
        <v>2</v>
      </c>
      <c r="R7" s="52">
        <v>2</v>
      </c>
      <c r="S7" s="52">
        <v>2</v>
      </c>
      <c r="T7" s="52">
        <v>1.8</v>
      </c>
      <c r="U7" s="52">
        <v>1.5</v>
      </c>
      <c r="V7" s="52">
        <v>2.8</v>
      </c>
      <c r="W7" s="52">
        <v>2.5</v>
      </c>
      <c r="X7" s="52">
        <v>2.8</v>
      </c>
      <c r="Y7" s="52">
        <v>2</v>
      </c>
      <c r="Z7" s="52">
        <v>2.8</v>
      </c>
      <c r="AA7" s="52">
        <v>2.5</v>
      </c>
      <c r="AB7" s="52">
        <v>2</v>
      </c>
      <c r="AC7" s="52">
        <v>2.5</v>
      </c>
      <c r="AD7" s="52">
        <v>2</v>
      </c>
      <c r="AE7" s="52">
        <v>2.5</v>
      </c>
      <c r="AF7" s="52">
        <v>2.8</v>
      </c>
      <c r="AG7" s="46">
        <f t="shared" si="0"/>
        <v>71.399999999999991</v>
      </c>
      <c r="AH7" s="48"/>
      <c r="AI7" s="48"/>
    </row>
    <row r="8" spans="1:35" s="44" customFormat="1" ht="18.75" customHeight="1" x14ac:dyDescent="0.35">
      <c r="A8" s="60" t="s">
        <v>65</v>
      </c>
      <c r="B8" s="52">
        <v>4.2</v>
      </c>
      <c r="C8" s="52">
        <v>4.3</v>
      </c>
      <c r="D8" s="52">
        <v>2.9</v>
      </c>
      <c r="E8" s="52">
        <v>3</v>
      </c>
      <c r="F8" s="52">
        <v>3.9</v>
      </c>
      <c r="G8" s="52">
        <v>9.5</v>
      </c>
      <c r="H8" s="52">
        <v>4.8</v>
      </c>
      <c r="I8" s="52">
        <v>8.9</v>
      </c>
      <c r="J8" s="52">
        <v>3.8</v>
      </c>
      <c r="K8" s="52">
        <v>3.5</v>
      </c>
      <c r="L8" s="52">
        <v>3.4</v>
      </c>
      <c r="M8" s="52">
        <v>4.9000000000000004</v>
      </c>
      <c r="N8" s="52">
        <v>2.5</v>
      </c>
      <c r="O8" s="52">
        <v>4.3</v>
      </c>
      <c r="P8" s="52">
        <v>2.5</v>
      </c>
      <c r="Q8" s="52">
        <v>3.1</v>
      </c>
      <c r="R8" s="52">
        <v>2.1</v>
      </c>
      <c r="S8" s="52">
        <v>2.5</v>
      </c>
      <c r="T8" s="52">
        <v>2</v>
      </c>
      <c r="U8" s="52">
        <v>3.1</v>
      </c>
      <c r="V8" s="52">
        <v>3.8</v>
      </c>
      <c r="W8" s="52">
        <v>3.4</v>
      </c>
      <c r="X8" s="52">
        <v>4.5</v>
      </c>
      <c r="Y8" s="52">
        <v>5.2</v>
      </c>
      <c r="Z8" s="52">
        <v>4.9000000000000004</v>
      </c>
      <c r="AA8" s="52">
        <v>4.8</v>
      </c>
      <c r="AB8" s="52">
        <v>5</v>
      </c>
      <c r="AC8" s="52">
        <v>3.9</v>
      </c>
      <c r="AD8" s="52">
        <v>3.5</v>
      </c>
      <c r="AE8" s="52">
        <v>2.9</v>
      </c>
      <c r="AF8" s="52">
        <v>3</v>
      </c>
      <c r="AG8" s="46">
        <f t="shared" si="0"/>
        <v>124.1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>
        <v>0.7</v>
      </c>
      <c r="D9" s="52"/>
      <c r="E9" s="52">
        <v>1.2</v>
      </c>
      <c r="F9" s="52"/>
      <c r="G9" s="52">
        <v>1.5</v>
      </c>
      <c r="H9" s="52">
        <v>0.9</v>
      </c>
      <c r="I9" s="52">
        <v>1.2</v>
      </c>
      <c r="J9" s="52"/>
      <c r="K9" s="52">
        <v>1.4</v>
      </c>
      <c r="L9" s="52"/>
      <c r="M9" s="52"/>
      <c r="N9" s="52">
        <v>0.8</v>
      </c>
      <c r="O9" s="52"/>
      <c r="P9" s="52">
        <v>1.1000000000000001</v>
      </c>
      <c r="Q9" s="52"/>
      <c r="R9" s="52">
        <v>1.3</v>
      </c>
      <c r="S9" s="52">
        <v>0.9</v>
      </c>
      <c r="T9" s="52"/>
      <c r="U9" s="52"/>
      <c r="V9" s="52"/>
      <c r="W9" s="52">
        <v>1.2</v>
      </c>
      <c r="X9" s="52">
        <v>0.6</v>
      </c>
      <c r="Y9" s="52">
        <v>0.4</v>
      </c>
      <c r="Z9" s="52">
        <v>0.2</v>
      </c>
      <c r="AA9" s="52"/>
      <c r="AB9" s="52"/>
      <c r="AC9" s="52">
        <v>0.8</v>
      </c>
      <c r="AD9" s="52">
        <v>1.1000000000000001</v>
      </c>
      <c r="AE9" s="52">
        <v>1</v>
      </c>
      <c r="AF9" s="52">
        <v>0.4</v>
      </c>
      <c r="AG9" s="46">
        <f t="shared" si="0"/>
        <v>16.7</v>
      </c>
      <c r="AH9" s="48"/>
      <c r="AI9" s="48"/>
    </row>
    <row r="10" spans="1:35" s="44" customFormat="1" ht="18.75" customHeight="1" x14ac:dyDescent="0.35">
      <c r="A10" s="60" t="s">
        <v>67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46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46">
        <f t="shared" si="0"/>
        <v>0</v>
      </c>
    </row>
    <row r="13" spans="1:35" s="44" customFormat="1" ht="21" x14ac:dyDescent="0.35">
      <c r="A13" s="60" t="s">
        <v>69</v>
      </c>
      <c r="B13" s="55"/>
      <c r="C13" s="55">
        <v>1.3</v>
      </c>
      <c r="D13" s="55"/>
      <c r="E13" s="55">
        <v>1.9</v>
      </c>
      <c r="F13" s="55"/>
      <c r="G13" s="55">
        <v>2.2000000000000002</v>
      </c>
      <c r="H13" s="55"/>
      <c r="I13" s="55">
        <v>1.5</v>
      </c>
      <c r="J13" s="55">
        <v>0.9</v>
      </c>
      <c r="K13" s="55"/>
      <c r="L13" s="55">
        <v>1.3</v>
      </c>
      <c r="M13" s="55"/>
      <c r="N13" s="55">
        <v>1</v>
      </c>
      <c r="O13" s="55">
        <v>1.4</v>
      </c>
      <c r="P13" s="55"/>
      <c r="Q13" s="55">
        <v>1.7</v>
      </c>
      <c r="R13" s="55"/>
      <c r="S13" s="55">
        <v>1.9</v>
      </c>
      <c r="T13" s="55">
        <v>1.6</v>
      </c>
      <c r="U13" s="55">
        <v>1.9</v>
      </c>
      <c r="V13" s="55">
        <v>2</v>
      </c>
      <c r="W13" s="55">
        <v>2.2000000000000002</v>
      </c>
      <c r="X13" s="55">
        <v>2</v>
      </c>
      <c r="Y13" s="55">
        <v>2.1</v>
      </c>
      <c r="Z13" s="55">
        <v>1.3</v>
      </c>
      <c r="AA13" s="55"/>
      <c r="AB13" s="55">
        <v>1.5</v>
      </c>
      <c r="AC13" s="55"/>
      <c r="AD13" s="55">
        <v>2.2999999999999998</v>
      </c>
      <c r="AE13" s="55"/>
      <c r="AF13" s="55">
        <v>2.5</v>
      </c>
      <c r="AG13" s="46">
        <f t="shared" si="0"/>
        <v>34.5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f>1+2.1+2</f>
        <v>5.0999999999999996</v>
      </c>
      <c r="C14" s="51">
        <f>0.9+1+2</f>
        <v>3.9</v>
      </c>
      <c r="D14" s="51">
        <f>1+2.3+4</f>
        <v>7.3</v>
      </c>
      <c r="E14" s="51">
        <f>2+1.9+1</f>
        <v>4.9000000000000004</v>
      </c>
      <c r="F14" s="51">
        <f>2.3+3</f>
        <v>5.3</v>
      </c>
      <c r="G14" s="51">
        <f>1+1.2+1</f>
        <v>3.2</v>
      </c>
      <c r="H14" s="51">
        <f>2+3+1.4</f>
        <v>6.4</v>
      </c>
      <c r="I14" s="51">
        <f>0.9+2.3+2</f>
        <v>5.1999999999999993</v>
      </c>
      <c r="J14" s="51">
        <f>1.2+1+2</f>
        <v>4.2</v>
      </c>
      <c r="K14" s="51">
        <f>2+1+2</f>
        <v>5</v>
      </c>
      <c r="L14" s="51">
        <f>2.1+1+2</f>
        <v>5.0999999999999996</v>
      </c>
      <c r="M14" s="51">
        <f>2.3+1+2</f>
        <v>5.3</v>
      </c>
      <c r="N14" s="51">
        <f>2+1+3</f>
        <v>6</v>
      </c>
      <c r="O14" s="51">
        <f>2+1+1</f>
        <v>4</v>
      </c>
      <c r="P14" s="51">
        <f>2+1+2</f>
        <v>5</v>
      </c>
      <c r="Q14" s="51">
        <f>1.3+2+1</f>
        <v>4.3</v>
      </c>
      <c r="R14" s="51">
        <f>2+1.7+1.9</f>
        <v>5.6</v>
      </c>
      <c r="S14" s="51">
        <f>2+3+2</f>
        <v>7</v>
      </c>
      <c r="T14" s="51">
        <f>1.7+1+2</f>
        <v>4.7</v>
      </c>
      <c r="U14" s="51">
        <f>2+1+1.3</f>
        <v>4.3</v>
      </c>
      <c r="V14" s="51">
        <f>1.9+2+1.9</f>
        <v>5.8</v>
      </c>
      <c r="W14" s="51">
        <f>2+1.3+2</f>
        <v>5.3</v>
      </c>
      <c r="X14" s="51">
        <f>1.9+2+2</f>
        <v>5.9</v>
      </c>
      <c r="Y14" s="52">
        <f>1+1.2+2</f>
        <v>4.2</v>
      </c>
      <c r="Z14" s="52">
        <f>2+1+2</f>
        <v>5</v>
      </c>
      <c r="AA14" s="52">
        <f>2.1+3+2</f>
        <v>7.1</v>
      </c>
      <c r="AB14" s="52">
        <f>0.9+2+1.3</f>
        <v>4.2</v>
      </c>
      <c r="AC14" s="52">
        <f>1.9+2.3+0.9</f>
        <v>5.0999999999999996</v>
      </c>
      <c r="AD14" s="52">
        <f>1.4+2+1.9</f>
        <v>5.3</v>
      </c>
      <c r="AE14" s="52">
        <f>2.3+1.3+2</f>
        <v>5.6</v>
      </c>
      <c r="AF14" s="52">
        <f>2.1+2.9+1.7</f>
        <v>6.7</v>
      </c>
      <c r="AG14" s="46">
        <f t="shared" si="0"/>
        <v>161.99999999999997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3.2</v>
      </c>
      <c r="C15" s="51">
        <v>4</v>
      </c>
      <c r="D15" s="51">
        <v>13.9</v>
      </c>
      <c r="E15" s="51">
        <v>3.5</v>
      </c>
      <c r="F15" s="51">
        <v>3.8</v>
      </c>
      <c r="G15" s="51">
        <v>4.0999999999999996</v>
      </c>
      <c r="H15" s="51">
        <v>2</v>
      </c>
      <c r="I15" s="51">
        <v>2</v>
      </c>
      <c r="J15" s="51">
        <v>3</v>
      </c>
      <c r="K15" s="51">
        <v>4.3</v>
      </c>
      <c r="L15" s="51">
        <v>4.0999999999999996</v>
      </c>
      <c r="M15" s="51">
        <v>3.2</v>
      </c>
      <c r="N15" s="51">
        <v>2.5</v>
      </c>
      <c r="O15" s="51">
        <v>3.1</v>
      </c>
      <c r="P15" s="51">
        <v>3.5</v>
      </c>
      <c r="Q15" s="51">
        <v>3.5</v>
      </c>
      <c r="R15" s="51">
        <v>3.1</v>
      </c>
      <c r="S15" s="51">
        <v>2.9</v>
      </c>
      <c r="T15" s="51">
        <v>4.2</v>
      </c>
      <c r="U15" s="51">
        <v>3.2</v>
      </c>
      <c r="V15" s="51">
        <v>3</v>
      </c>
      <c r="W15" s="51">
        <v>3.3</v>
      </c>
      <c r="X15" s="51">
        <v>2</v>
      </c>
      <c r="Y15" s="51">
        <v>4</v>
      </c>
      <c r="Z15" s="51">
        <v>1.3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46">
        <f t="shared" si="0"/>
        <v>90.7</v>
      </c>
      <c r="AH15" s="48"/>
      <c r="AI15" s="48"/>
    </row>
    <row r="16" spans="1:35" s="44" customFormat="1" ht="18.75" customHeight="1" x14ac:dyDescent="0.35">
      <c r="A16" s="60" t="s">
        <v>85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>
        <f>2.1+1.9+2</f>
        <v>6</v>
      </c>
      <c r="C21" s="51">
        <f>3+2.7+1.8</f>
        <v>7.5</v>
      </c>
      <c r="D21" s="51">
        <f>3.4+2.7+1.9</f>
        <v>8</v>
      </c>
      <c r="E21" s="51">
        <f>3.6+2.1+3.6</f>
        <v>9.3000000000000007</v>
      </c>
      <c r="F21" s="51">
        <f>2.3+1.9+2</f>
        <v>6.1999999999999993</v>
      </c>
      <c r="G21" s="51">
        <f>2+3.6+1.7</f>
        <v>7.3</v>
      </c>
      <c r="H21" s="51">
        <f>2.3+1.9+2</f>
        <v>6.1999999999999993</v>
      </c>
      <c r="I21" s="51">
        <f>3+1.3+2</f>
        <v>6.3</v>
      </c>
      <c r="J21" s="51">
        <f>3+2.5+1.9</f>
        <v>7.4</v>
      </c>
      <c r="K21" s="51">
        <f>3.4+2.6+1.9</f>
        <v>7.9</v>
      </c>
      <c r="L21" s="51">
        <f>2.3+1.9+2.6</f>
        <v>6.7999999999999989</v>
      </c>
      <c r="M21" s="51">
        <f>3.9+2.3+1.7</f>
        <v>7.8999999999999995</v>
      </c>
      <c r="N21" s="51">
        <f>3+2+0.9</f>
        <v>5.9</v>
      </c>
      <c r="O21" s="51">
        <f>3.4+2.3+1.7</f>
        <v>7.3999999999999995</v>
      </c>
      <c r="P21" s="51">
        <f>3.5+2.3+1.9</f>
        <v>7.6999999999999993</v>
      </c>
      <c r="Q21" s="51">
        <f>3+2.9+3.6</f>
        <v>9.5</v>
      </c>
      <c r="R21" s="51">
        <f>2.3+1.9+2</f>
        <v>6.1999999999999993</v>
      </c>
      <c r="S21" s="51">
        <f>3+2.9+1.7</f>
        <v>7.6000000000000005</v>
      </c>
      <c r="T21" s="51">
        <f>3+2.77+1.4</f>
        <v>7.17</v>
      </c>
      <c r="U21" s="51">
        <f>3.9+3+2.9</f>
        <v>9.8000000000000007</v>
      </c>
      <c r="V21" s="51">
        <f>4+2.5+1.9</f>
        <v>8.4</v>
      </c>
      <c r="W21" s="51">
        <f>3.7+2.4+1.9</f>
        <v>8</v>
      </c>
      <c r="X21" s="51">
        <f>3+2+1</f>
        <v>6</v>
      </c>
      <c r="Y21" s="51">
        <f>2.3+1.9+2.66</f>
        <v>6.8599999999999994</v>
      </c>
      <c r="Z21" s="51">
        <f>1.9+1.3</f>
        <v>3.2</v>
      </c>
      <c r="AA21" s="51">
        <f>1.3+2+1.9</f>
        <v>5.1999999999999993</v>
      </c>
      <c r="AB21" s="51">
        <f>2.3+1.4+3.9</f>
        <v>7.6</v>
      </c>
      <c r="AC21" s="51">
        <f>2.9+2.3+1.9</f>
        <v>7.1</v>
      </c>
      <c r="AD21" s="51">
        <f>3.7+2+3.9</f>
        <v>9.6</v>
      </c>
      <c r="AE21" s="51">
        <f>3.9+2.6+1.9</f>
        <v>8.4</v>
      </c>
      <c r="AF21" s="51">
        <f>3+2.4+1.9</f>
        <v>7.3000000000000007</v>
      </c>
      <c r="AG21" s="46">
        <f t="shared" si="0"/>
        <v>225.73000000000002</v>
      </c>
      <c r="AH21" s="48"/>
      <c r="AI21" s="48"/>
    </row>
    <row r="22" spans="1:35" s="44" customFormat="1" ht="18.75" customHeight="1" x14ac:dyDescent="0.35">
      <c r="A22" s="60" t="s">
        <v>75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0"/>
      <c r="C23" s="70"/>
      <c r="D23" s="70"/>
      <c r="E23" s="70"/>
      <c r="F23" s="70"/>
      <c r="G23" s="70"/>
      <c r="H23" s="70"/>
      <c r="I23" s="70"/>
      <c r="J23" s="70"/>
      <c r="K23" s="70"/>
      <c r="L23" s="70"/>
      <c r="M23" s="70"/>
      <c r="N23" s="70"/>
      <c r="O23" s="70"/>
      <c r="P23" s="70"/>
      <c r="Q23" s="70"/>
      <c r="R23" s="70"/>
      <c r="S23" s="70"/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4</v>
      </c>
      <c r="C24" s="51">
        <v>3</v>
      </c>
      <c r="D24" s="51">
        <v>5</v>
      </c>
      <c r="E24" s="51">
        <v>5</v>
      </c>
      <c r="F24" s="51">
        <v>4</v>
      </c>
      <c r="G24" s="51">
        <v>3</v>
      </c>
      <c r="H24" s="51">
        <v>4</v>
      </c>
      <c r="I24" s="51">
        <v>5</v>
      </c>
      <c r="J24" s="51">
        <v>3</v>
      </c>
      <c r="K24" s="51">
        <v>4</v>
      </c>
      <c r="L24" s="51">
        <v>4</v>
      </c>
      <c r="M24" s="51">
        <v>5</v>
      </c>
      <c r="N24" s="51">
        <v>3.4</v>
      </c>
      <c r="O24" s="51">
        <v>3.1</v>
      </c>
      <c r="P24" s="51">
        <v>3.7</v>
      </c>
      <c r="Q24" s="51">
        <v>4.0999999999999996</v>
      </c>
      <c r="R24" s="51">
        <v>3.5</v>
      </c>
      <c r="S24" s="51">
        <v>4.5999999999999996</v>
      </c>
      <c r="T24" s="51">
        <v>1.9</v>
      </c>
      <c r="U24" s="51">
        <v>2.2999999999999998</v>
      </c>
      <c r="V24" s="51">
        <v>4.0999999999999996</v>
      </c>
      <c r="W24" s="51">
        <v>5.2</v>
      </c>
      <c r="X24" s="51">
        <v>5.3</v>
      </c>
      <c r="Y24" s="51">
        <v>4.9000000000000004</v>
      </c>
      <c r="Z24" s="51">
        <v>3.7</v>
      </c>
      <c r="AA24" s="51">
        <v>2.9</v>
      </c>
      <c r="AB24" s="51">
        <v>3.1</v>
      </c>
      <c r="AC24" s="51">
        <v>2.2999999999999998</v>
      </c>
      <c r="AD24" s="51">
        <v>2.6</v>
      </c>
      <c r="AE24" s="51">
        <v>2.9</v>
      </c>
      <c r="AF24" s="51">
        <v>3.1</v>
      </c>
      <c r="AG24" s="46">
        <f t="shared" si="0"/>
        <v>115.7</v>
      </c>
      <c r="AH24" s="48"/>
      <c r="AI24" s="48"/>
    </row>
    <row r="25" spans="1:35" s="44" customFormat="1" ht="18.75" customHeight="1" x14ac:dyDescent="0.35">
      <c r="A25" s="60" t="s">
        <v>79</v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>
        <v>0.7</v>
      </c>
      <c r="D27" s="52"/>
      <c r="E27" s="52">
        <v>1.2</v>
      </c>
      <c r="F27" s="52"/>
      <c r="G27" s="52">
        <v>1.5</v>
      </c>
      <c r="H27" s="52">
        <v>0.9</v>
      </c>
      <c r="I27" s="52">
        <v>1.2</v>
      </c>
      <c r="J27" s="52"/>
      <c r="K27" s="52">
        <v>1.4</v>
      </c>
      <c r="L27" s="52"/>
      <c r="M27" s="52"/>
      <c r="N27" s="52">
        <v>0.8</v>
      </c>
      <c r="O27" s="52"/>
      <c r="P27" s="52">
        <v>1.1000000000000001</v>
      </c>
      <c r="Q27" s="52"/>
      <c r="R27" s="52">
        <v>1.3</v>
      </c>
      <c r="S27" s="52">
        <v>0.9</v>
      </c>
      <c r="T27" s="52"/>
      <c r="U27" s="52"/>
      <c r="V27" s="52"/>
      <c r="W27" s="52">
        <v>1.2</v>
      </c>
      <c r="X27" s="52">
        <v>0.6</v>
      </c>
      <c r="Y27" s="52">
        <v>0.4</v>
      </c>
      <c r="Z27" s="52">
        <v>0.2</v>
      </c>
      <c r="AA27" s="52"/>
      <c r="AB27" s="52"/>
      <c r="AC27" s="52">
        <v>0.8</v>
      </c>
      <c r="AD27" s="52">
        <v>1.1000000000000001</v>
      </c>
      <c r="AE27" s="52">
        <v>1</v>
      </c>
      <c r="AF27" s="52">
        <v>0.4</v>
      </c>
      <c r="AG27" s="46">
        <f t="shared" si="0"/>
        <v>16.7</v>
      </c>
      <c r="AH27" s="48"/>
      <c r="AI27" s="48"/>
    </row>
    <row r="28" spans="1:35" s="44" customFormat="1" ht="18.75" customHeight="1" x14ac:dyDescent="0.35">
      <c r="A28" s="60" t="s">
        <v>76</v>
      </c>
      <c r="B28" s="76"/>
      <c r="C28" s="76"/>
      <c r="D28" s="76"/>
      <c r="E28" s="76"/>
      <c r="F28" s="76"/>
      <c r="G28" s="76"/>
      <c r="H28" s="76"/>
      <c r="I28" s="76"/>
      <c r="J28" s="76"/>
      <c r="K28" s="76"/>
      <c r="L28" s="76"/>
      <c r="M28" s="76"/>
      <c r="N28" s="76"/>
      <c r="O28" s="76"/>
      <c r="P28" s="76"/>
      <c r="Q28" s="76"/>
      <c r="R28" s="76"/>
      <c r="S28" s="76"/>
      <c r="T28" s="76"/>
      <c r="U28" s="76"/>
      <c r="V28" s="76"/>
      <c r="W28" s="76"/>
      <c r="X28" s="76"/>
      <c r="Y28" s="76"/>
      <c r="Z28" s="76"/>
      <c r="AA28" s="76"/>
      <c r="AB28" s="76"/>
      <c r="AC28" s="76"/>
      <c r="AD28" s="76"/>
      <c r="AE28" s="76"/>
      <c r="AF28" s="76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122">
        <v>0</v>
      </c>
      <c r="C30" s="122">
        <v>3</v>
      </c>
      <c r="D30" s="122">
        <v>0</v>
      </c>
      <c r="E30" s="122">
        <v>5</v>
      </c>
      <c r="F30" s="122">
        <v>10</v>
      </c>
      <c r="G30" s="122">
        <v>0</v>
      </c>
      <c r="H30" s="122">
        <v>5</v>
      </c>
      <c r="I30" s="122">
        <v>0</v>
      </c>
      <c r="J30" s="122">
        <v>5</v>
      </c>
      <c r="K30" s="122">
        <v>0</v>
      </c>
      <c r="L30" s="122">
        <v>10</v>
      </c>
      <c r="M30" s="122">
        <v>0</v>
      </c>
      <c r="N30" s="122">
        <v>0</v>
      </c>
      <c r="O30" s="122">
        <v>0</v>
      </c>
      <c r="P30" s="122">
        <v>0</v>
      </c>
      <c r="Q30" s="122">
        <v>4</v>
      </c>
      <c r="R30" s="122">
        <v>0</v>
      </c>
      <c r="S30" s="122">
        <v>0</v>
      </c>
      <c r="T30" s="122">
        <v>10</v>
      </c>
      <c r="U30" s="122">
        <v>0</v>
      </c>
      <c r="V30" s="122">
        <v>0</v>
      </c>
      <c r="W30" s="122">
        <v>6</v>
      </c>
      <c r="X30" s="122">
        <v>0</v>
      </c>
      <c r="Y30" s="122">
        <v>0</v>
      </c>
      <c r="Z30" s="122">
        <v>10</v>
      </c>
      <c r="AA30" s="122">
        <v>0</v>
      </c>
      <c r="AB30" s="122">
        <v>10</v>
      </c>
      <c r="AC30" s="122">
        <v>0</v>
      </c>
      <c r="AD30" s="122">
        <v>0</v>
      </c>
      <c r="AE30" s="122">
        <v>7</v>
      </c>
      <c r="AF30" s="122">
        <v>0</v>
      </c>
      <c r="AG30" s="46">
        <f t="shared" si="0"/>
        <v>85</v>
      </c>
      <c r="AH30" s="48"/>
      <c r="AI30" s="48"/>
    </row>
    <row r="31" spans="1:35" s="44" customFormat="1" ht="18.75" customHeight="1" x14ac:dyDescent="0.35">
      <c r="A31" s="60" t="s">
        <v>82</v>
      </c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26</v>
      </c>
      <c r="C33" s="70">
        <f t="shared" ref="C33:AF33" si="1">SUM(C3:C32)</f>
        <v>32</v>
      </c>
      <c r="D33" s="70">
        <f t="shared" si="1"/>
        <v>49.3</v>
      </c>
      <c r="E33" s="70">
        <f t="shared" si="1"/>
        <v>38.700000000000003</v>
      </c>
      <c r="F33" s="70">
        <f t="shared" si="1"/>
        <v>36.5</v>
      </c>
      <c r="G33" s="70">
        <f t="shared" si="1"/>
        <v>35.900000000000006</v>
      </c>
      <c r="H33" s="70">
        <f t="shared" si="1"/>
        <v>34</v>
      </c>
      <c r="I33" s="70">
        <f t="shared" si="1"/>
        <v>34.5</v>
      </c>
      <c r="J33" s="70">
        <f t="shared" si="1"/>
        <v>32.300000000000004</v>
      </c>
      <c r="K33" s="70">
        <f t="shared" si="1"/>
        <v>31</v>
      </c>
      <c r="L33" s="70">
        <f t="shared" si="1"/>
        <v>37.699999999999996</v>
      </c>
      <c r="M33" s="70">
        <f t="shared" si="1"/>
        <v>28.599999999999998</v>
      </c>
      <c r="N33" s="70">
        <f t="shared" si="1"/>
        <v>25.900000000000002</v>
      </c>
      <c r="O33" s="70">
        <f t="shared" si="1"/>
        <v>26.1</v>
      </c>
      <c r="P33" s="70">
        <f t="shared" si="1"/>
        <v>28.5</v>
      </c>
      <c r="Q33" s="70">
        <f t="shared" si="1"/>
        <v>33.9</v>
      </c>
      <c r="R33" s="70">
        <f t="shared" si="1"/>
        <v>26.3</v>
      </c>
      <c r="S33" s="70">
        <f t="shared" si="1"/>
        <v>31.299999999999997</v>
      </c>
      <c r="T33" s="70">
        <f t="shared" si="1"/>
        <v>33.369999999999997</v>
      </c>
      <c r="U33" s="70">
        <f t="shared" si="1"/>
        <v>26.1</v>
      </c>
      <c r="V33" s="70">
        <f t="shared" si="1"/>
        <v>31.1</v>
      </c>
      <c r="W33" s="70">
        <f t="shared" si="1"/>
        <v>39.800000000000004</v>
      </c>
      <c r="X33" s="70">
        <f t="shared" si="1"/>
        <v>30.700000000000003</v>
      </c>
      <c r="Y33" s="70">
        <f t="shared" si="1"/>
        <v>30.86</v>
      </c>
      <c r="Z33" s="70">
        <f t="shared" si="1"/>
        <v>32.9</v>
      </c>
      <c r="AA33" s="70">
        <f t="shared" si="1"/>
        <v>22.999999999999996</v>
      </c>
      <c r="AB33" s="70">
        <f t="shared" si="1"/>
        <v>34.4</v>
      </c>
      <c r="AC33" s="70">
        <f t="shared" si="1"/>
        <v>23.700000000000003</v>
      </c>
      <c r="AD33" s="70">
        <f t="shared" si="1"/>
        <v>27.800000000000004</v>
      </c>
      <c r="AE33" s="70">
        <f t="shared" si="1"/>
        <v>32.699999999999996</v>
      </c>
      <c r="AF33" s="70">
        <f t="shared" si="1"/>
        <v>27</v>
      </c>
      <c r="AG33" s="56">
        <f>SUM(B33:AF33)</f>
        <v>981.93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981.93000000000006</v>
      </c>
      <c r="AH34" s="48"/>
      <c r="AI34" s="48"/>
    </row>
    <row r="35" spans="1:35" s="44" customFormat="1" ht="18.75" customHeight="1" x14ac:dyDescent="0.3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48"/>
      <c r="AI35" s="48"/>
    </row>
    <row r="36" spans="1:35" s="44" customFormat="1" ht="18.75" customHeight="1" x14ac:dyDescent="0.3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 s="48"/>
      <c r="AI36" s="48"/>
    </row>
    <row r="37" spans="1:35" s="2" customFormat="1" x14ac:dyDescent="0.25"/>
  </sheetData>
  <mergeCells count="1">
    <mergeCell ref="A1:AG1"/>
  </mergeCells>
  <conditionalFormatting sqref="AG34">
    <cfRule type="cellIs" dxfId="47" priority="2" operator="equal">
      <formula>$AG$33</formula>
    </cfRule>
    <cfRule type="cellIs" dxfId="46" priority="3" operator="equal">
      <formula>#REF!</formula>
    </cfRule>
  </conditionalFormatting>
  <conditionalFormatting sqref="AG33">
    <cfRule type="cellIs" dxfId="45" priority="1" operator="equal">
      <formula>$AG$34</formula>
    </cfRule>
    <cfRule type="cellIs" dxfId="44" priority="4" operator="equal">
      <formula>#REF!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RowHeight="15" x14ac:dyDescent="0.25"/>
  <cols>
    <col min="1" max="1" width="56.42578125" customWidth="1"/>
    <col min="2" max="32" width="7.285156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74">
        <v>0.6</v>
      </c>
      <c r="C3" s="74"/>
      <c r="D3" s="74" t="s">
        <v>206</v>
      </c>
      <c r="E3" s="74">
        <v>0.3</v>
      </c>
      <c r="F3" s="74">
        <v>0.7</v>
      </c>
      <c r="G3" s="74">
        <v>0.4</v>
      </c>
      <c r="H3" s="74"/>
      <c r="I3" s="75">
        <v>0.9</v>
      </c>
      <c r="J3" s="74"/>
      <c r="K3" s="75">
        <v>0.6</v>
      </c>
      <c r="L3" s="74">
        <v>0.7</v>
      </c>
      <c r="M3" s="75">
        <v>0.4</v>
      </c>
      <c r="N3" s="74">
        <v>0.9</v>
      </c>
      <c r="O3" s="74">
        <v>0.4</v>
      </c>
      <c r="P3" s="75">
        <v>0.7</v>
      </c>
      <c r="Q3" s="74"/>
      <c r="R3" s="74"/>
      <c r="S3" s="75">
        <v>0.4</v>
      </c>
      <c r="T3" s="75">
        <v>0.6</v>
      </c>
      <c r="U3" s="75">
        <v>0.7</v>
      </c>
      <c r="V3" s="75">
        <v>0.3</v>
      </c>
      <c r="W3" s="74">
        <v>0.7</v>
      </c>
      <c r="X3" s="74"/>
      <c r="Y3" s="74">
        <v>0.9</v>
      </c>
      <c r="Z3" s="74">
        <v>0.5</v>
      </c>
      <c r="AA3" s="74">
        <v>0.2</v>
      </c>
      <c r="AB3" s="74">
        <v>0.3</v>
      </c>
      <c r="AC3" s="74">
        <v>0.4</v>
      </c>
      <c r="AD3" s="74">
        <v>0.3</v>
      </c>
      <c r="AE3" s="74"/>
      <c r="AF3" s="74">
        <v>0.5</v>
      </c>
      <c r="AG3" s="46">
        <f>SUM(B3:AF3)</f>
        <v>12.400000000000002</v>
      </c>
      <c r="AH3" s="47"/>
      <c r="AI3" s="48"/>
    </row>
    <row r="4" spans="1:35" s="44" customFormat="1" ht="27.75" customHeight="1" x14ac:dyDescent="0.35">
      <c r="A4" s="60" t="s">
        <v>193</v>
      </c>
      <c r="B4" s="70">
        <v>0.2</v>
      </c>
      <c r="C4" s="70">
        <v>0.2</v>
      </c>
      <c r="D4" s="70">
        <v>0.7</v>
      </c>
      <c r="E4" s="70">
        <v>0.3</v>
      </c>
      <c r="F4" s="70">
        <v>0.5</v>
      </c>
      <c r="G4" s="70">
        <v>0.4</v>
      </c>
      <c r="H4" s="70">
        <v>0.6</v>
      </c>
      <c r="I4" s="70">
        <v>0.7</v>
      </c>
      <c r="J4" s="70">
        <v>0.1</v>
      </c>
      <c r="K4" s="70">
        <v>0.7</v>
      </c>
      <c r="L4" s="70">
        <v>0.5</v>
      </c>
      <c r="M4" s="70">
        <v>0.7</v>
      </c>
      <c r="N4" s="70">
        <v>0.5</v>
      </c>
      <c r="O4" s="70">
        <v>0.8</v>
      </c>
      <c r="P4" s="70">
        <v>0.6</v>
      </c>
      <c r="Q4" s="70">
        <v>0.6</v>
      </c>
      <c r="R4" s="70">
        <v>0.2</v>
      </c>
      <c r="S4" s="70">
        <v>0.7</v>
      </c>
      <c r="T4" s="70">
        <v>0.5</v>
      </c>
      <c r="U4" s="70">
        <v>0.3</v>
      </c>
      <c r="V4" s="70">
        <v>0.4</v>
      </c>
      <c r="W4" s="70">
        <v>0.6</v>
      </c>
      <c r="X4" s="70"/>
      <c r="Y4" s="70">
        <v>0.5</v>
      </c>
      <c r="Z4" s="70">
        <v>0.5</v>
      </c>
      <c r="AA4" s="70">
        <v>1.1000000000000001</v>
      </c>
      <c r="AB4" s="70">
        <v>1.3</v>
      </c>
      <c r="AC4" s="70">
        <v>0.4</v>
      </c>
      <c r="AD4" s="70">
        <v>0.2</v>
      </c>
      <c r="AE4" s="70">
        <v>0.7</v>
      </c>
      <c r="AF4" s="70">
        <v>0.1</v>
      </c>
      <c r="AG4" s="46">
        <f t="shared" ref="AG4:AG32" si="0">SUM(B4:AF4)</f>
        <v>15.599999999999998</v>
      </c>
      <c r="AH4" s="47"/>
      <c r="AI4" s="48"/>
    </row>
    <row r="5" spans="1:35" s="44" customFormat="1" ht="18.75" customHeight="1" x14ac:dyDescent="0.35">
      <c r="A5" s="60" t="s">
        <v>83</v>
      </c>
      <c r="B5" s="70"/>
      <c r="C5" s="70">
        <v>1.9</v>
      </c>
      <c r="D5" s="70">
        <v>2</v>
      </c>
      <c r="E5" s="70">
        <v>1.9</v>
      </c>
      <c r="F5" s="70">
        <v>1.8</v>
      </c>
      <c r="G5" s="70">
        <v>1.9</v>
      </c>
      <c r="H5" s="70">
        <v>1.9</v>
      </c>
      <c r="I5" s="70"/>
      <c r="J5" s="70">
        <v>1.9</v>
      </c>
      <c r="K5" s="70">
        <v>1.9</v>
      </c>
      <c r="L5" s="70">
        <v>1</v>
      </c>
      <c r="M5" s="70">
        <v>1</v>
      </c>
      <c r="N5" s="70">
        <v>0.2</v>
      </c>
      <c r="O5" s="70">
        <v>0.1</v>
      </c>
      <c r="P5" s="70"/>
      <c r="Q5" s="70"/>
      <c r="R5" s="70">
        <v>1.9</v>
      </c>
      <c r="S5" s="70">
        <v>1.2</v>
      </c>
      <c r="T5" s="70">
        <v>1</v>
      </c>
      <c r="U5" s="70">
        <v>0.2</v>
      </c>
      <c r="V5" s="70">
        <v>1.9</v>
      </c>
      <c r="W5" s="70"/>
      <c r="X5" s="70">
        <v>0.9</v>
      </c>
      <c r="Y5" s="70">
        <v>1.5</v>
      </c>
      <c r="Z5" s="70">
        <v>0.1</v>
      </c>
      <c r="AA5" s="70">
        <v>1.9</v>
      </c>
      <c r="AB5" s="70">
        <v>1.9</v>
      </c>
      <c r="AC5" s="70"/>
      <c r="AD5" s="70"/>
      <c r="AE5" s="70">
        <v>1.9</v>
      </c>
      <c r="AF5" s="70">
        <v>1.9</v>
      </c>
      <c r="AG5" s="46">
        <f t="shared" si="0"/>
        <v>33.799999999999997</v>
      </c>
      <c r="AH5" s="48"/>
      <c r="AI5" s="48"/>
    </row>
    <row r="6" spans="1:35" s="44" customFormat="1" ht="18.75" customHeight="1" x14ac:dyDescent="0.35">
      <c r="A6" s="60" t="s">
        <v>84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3</v>
      </c>
      <c r="C7" s="51">
        <v>2.8</v>
      </c>
      <c r="D7" s="51">
        <v>3</v>
      </c>
      <c r="E7" s="51">
        <v>3</v>
      </c>
      <c r="F7" s="51">
        <v>2.8</v>
      </c>
      <c r="G7" s="51">
        <v>2.5</v>
      </c>
      <c r="H7" s="51">
        <v>2</v>
      </c>
      <c r="I7" s="51">
        <v>2.5</v>
      </c>
      <c r="J7" s="51">
        <v>2</v>
      </c>
      <c r="K7" s="51">
        <v>2.5</v>
      </c>
      <c r="L7" s="51">
        <v>3</v>
      </c>
      <c r="M7" s="51">
        <v>3</v>
      </c>
      <c r="N7" s="51">
        <v>2.5</v>
      </c>
      <c r="O7" s="51">
        <v>3</v>
      </c>
      <c r="P7" s="51">
        <v>2.5</v>
      </c>
      <c r="Q7" s="51">
        <v>3</v>
      </c>
      <c r="R7" s="51">
        <v>3</v>
      </c>
      <c r="S7" s="51">
        <v>2.8</v>
      </c>
      <c r="T7" s="51">
        <v>3</v>
      </c>
      <c r="U7" s="51">
        <v>2.8</v>
      </c>
      <c r="V7" s="51">
        <v>3</v>
      </c>
      <c r="W7" s="51">
        <v>3</v>
      </c>
      <c r="X7" s="51">
        <v>2.8</v>
      </c>
      <c r="Y7" s="51">
        <v>2.5</v>
      </c>
      <c r="Z7" s="51">
        <v>2.4</v>
      </c>
      <c r="AA7" s="51">
        <v>2.8</v>
      </c>
      <c r="AB7" s="51">
        <v>3</v>
      </c>
      <c r="AC7" s="51">
        <v>2.8</v>
      </c>
      <c r="AD7" s="51">
        <v>3.5</v>
      </c>
      <c r="AE7" s="51">
        <v>4</v>
      </c>
      <c r="AF7" s="51">
        <v>4</v>
      </c>
      <c r="AG7" s="46">
        <f t="shared" si="0"/>
        <v>88.5</v>
      </c>
      <c r="AH7" s="48"/>
      <c r="AI7" s="48"/>
    </row>
    <row r="8" spans="1:35" s="44" customFormat="1" ht="18.75" customHeight="1" x14ac:dyDescent="0.35">
      <c r="A8" s="60" t="s">
        <v>65</v>
      </c>
      <c r="B8" s="51">
        <v>3</v>
      </c>
      <c r="C8" s="51">
        <v>2.9</v>
      </c>
      <c r="D8" s="51">
        <v>3.8</v>
      </c>
      <c r="E8" s="51">
        <v>3.9</v>
      </c>
      <c r="F8" s="51">
        <v>4.0999999999999996</v>
      </c>
      <c r="G8" s="51">
        <v>4</v>
      </c>
      <c r="H8" s="51">
        <v>2.9</v>
      </c>
      <c r="I8" s="51">
        <v>3.1</v>
      </c>
      <c r="J8" s="51">
        <v>2.5</v>
      </c>
      <c r="K8" s="51">
        <v>2.5</v>
      </c>
      <c r="L8" s="51">
        <v>3</v>
      </c>
      <c r="M8" s="51">
        <v>2.5</v>
      </c>
      <c r="N8" s="51">
        <v>3.1</v>
      </c>
      <c r="O8" s="51">
        <v>4</v>
      </c>
      <c r="P8" s="51">
        <v>3.2</v>
      </c>
      <c r="Q8" s="51">
        <v>3.5</v>
      </c>
      <c r="R8" s="51">
        <v>3.5</v>
      </c>
      <c r="S8" s="51">
        <v>2.5</v>
      </c>
      <c r="T8" s="51">
        <v>3</v>
      </c>
      <c r="U8" s="51">
        <v>2.5</v>
      </c>
      <c r="V8" s="51">
        <v>4</v>
      </c>
      <c r="W8" s="51">
        <v>3.2</v>
      </c>
      <c r="X8" s="51">
        <v>4</v>
      </c>
      <c r="Y8" s="51">
        <v>2.2000000000000002</v>
      </c>
      <c r="Z8" s="51">
        <v>3.1</v>
      </c>
      <c r="AA8" s="51">
        <v>3.5</v>
      </c>
      <c r="AB8" s="51">
        <v>2.1</v>
      </c>
      <c r="AC8" s="51">
        <v>4</v>
      </c>
      <c r="AD8" s="51">
        <v>5</v>
      </c>
      <c r="AE8" s="51">
        <v>4</v>
      </c>
      <c r="AF8" s="51">
        <v>3.1</v>
      </c>
      <c r="AG8" s="46">
        <f t="shared" si="0"/>
        <v>101.69999999999999</v>
      </c>
      <c r="AH8" s="48"/>
      <c r="AI8" s="48"/>
    </row>
    <row r="9" spans="1:35" s="44" customFormat="1" ht="18.75" customHeight="1" x14ac:dyDescent="0.35">
      <c r="A9" s="60" t="s">
        <v>66</v>
      </c>
      <c r="B9" s="52">
        <v>2.9</v>
      </c>
      <c r="C9" s="52">
        <v>1.3</v>
      </c>
      <c r="D9" s="52">
        <v>1.2</v>
      </c>
      <c r="E9" s="52">
        <v>0.9</v>
      </c>
      <c r="F9" s="52">
        <v>2.1</v>
      </c>
      <c r="G9" s="52">
        <v>1.9</v>
      </c>
      <c r="H9" s="52">
        <v>0.7</v>
      </c>
      <c r="I9" s="52">
        <v>2.9</v>
      </c>
      <c r="J9" s="52">
        <v>1.5</v>
      </c>
      <c r="K9" s="52">
        <v>1.2</v>
      </c>
      <c r="L9" s="114">
        <v>1</v>
      </c>
      <c r="M9" s="52">
        <v>1.9</v>
      </c>
      <c r="N9" s="52">
        <v>2</v>
      </c>
      <c r="O9" s="52">
        <v>0.7</v>
      </c>
      <c r="P9" s="114">
        <v>1</v>
      </c>
      <c r="Q9" s="52">
        <v>1.5</v>
      </c>
      <c r="R9" s="52">
        <v>0.5</v>
      </c>
      <c r="S9" s="114">
        <v>1</v>
      </c>
      <c r="T9" s="114">
        <v>1</v>
      </c>
      <c r="U9" s="52">
        <v>1.2</v>
      </c>
      <c r="V9" s="52">
        <v>0.4</v>
      </c>
      <c r="W9" s="52">
        <v>1.5</v>
      </c>
      <c r="X9" s="52">
        <v>1.3</v>
      </c>
      <c r="Y9" s="52">
        <v>1.9</v>
      </c>
      <c r="Z9" s="52">
        <v>0.5</v>
      </c>
      <c r="AA9" s="114">
        <v>1</v>
      </c>
      <c r="AB9" s="114">
        <v>1</v>
      </c>
      <c r="AC9" s="114">
        <v>1</v>
      </c>
      <c r="AD9" s="114">
        <v>2</v>
      </c>
      <c r="AE9" s="52">
        <v>1.7</v>
      </c>
      <c r="AF9" s="52">
        <v>1.2</v>
      </c>
      <c r="AG9" s="46">
        <f t="shared" si="0"/>
        <v>41.900000000000006</v>
      </c>
      <c r="AH9" s="48"/>
      <c r="AI9" s="48"/>
    </row>
    <row r="10" spans="1:35" s="44" customFormat="1" ht="18.75" customHeight="1" x14ac:dyDescent="0.35">
      <c r="A10" s="60" t="s">
        <v>67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46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70">
        <v>5.0999999999999996</v>
      </c>
      <c r="C12" s="70">
        <v>4.8</v>
      </c>
      <c r="D12" s="70">
        <v>3.7</v>
      </c>
      <c r="E12" s="70">
        <v>4.2</v>
      </c>
      <c r="F12" s="70">
        <v>3.9</v>
      </c>
      <c r="G12" s="70">
        <v>2.2999999999999998</v>
      </c>
      <c r="H12" s="70">
        <v>1.7</v>
      </c>
      <c r="I12" s="70">
        <v>1.9</v>
      </c>
      <c r="J12" s="70">
        <v>1.9</v>
      </c>
      <c r="K12" s="70">
        <v>2.1</v>
      </c>
      <c r="L12" s="70">
        <v>0.4</v>
      </c>
      <c r="M12" s="70">
        <v>0.5</v>
      </c>
      <c r="N12" s="70">
        <v>0.3</v>
      </c>
      <c r="O12" s="70">
        <v>1.3</v>
      </c>
      <c r="P12" s="70">
        <v>2.9</v>
      </c>
      <c r="Q12" s="70">
        <v>1.7</v>
      </c>
      <c r="R12" s="70">
        <v>3.1</v>
      </c>
      <c r="S12" s="70">
        <v>2.9</v>
      </c>
      <c r="T12" s="70">
        <v>2.1</v>
      </c>
      <c r="U12" s="70">
        <v>3.5</v>
      </c>
      <c r="V12" s="70">
        <v>4.0999999999999996</v>
      </c>
      <c r="W12" s="70">
        <v>2.9</v>
      </c>
      <c r="X12" s="70">
        <v>2.2999999999999998</v>
      </c>
      <c r="Y12" s="70">
        <v>1.7</v>
      </c>
      <c r="Z12" s="70">
        <v>1.5</v>
      </c>
      <c r="AA12" s="70">
        <v>1.2</v>
      </c>
      <c r="AB12" s="70">
        <v>2.2999999999999998</v>
      </c>
      <c r="AC12" s="70">
        <v>2.4</v>
      </c>
      <c r="AD12" s="70">
        <v>2.1</v>
      </c>
      <c r="AE12" s="70">
        <v>2.2999999999999998</v>
      </c>
      <c r="AF12" s="70">
        <v>2.6</v>
      </c>
      <c r="AG12" s="46">
        <f t="shared" si="0"/>
        <v>75.699999999999989</v>
      </c>
    </row>
    <row r="13" spans="1:35" s="44" customFormat="1" ht="21" x14ac:dyDescent="0.35">
      <c r="A13" s="60" t="s">
        <v>69</v>
      </c>
      <c r="B13" s="77">
        <v>0.9</v>
      </c>
      <c r="C13" s="77">
        <v>1.2</v>
      </c>
      <c r="D13" s="77">
        <v>0.7</v>
      </c>
      <c r="E13" s="77">
        <v>0.9</v>
      </c>
      <c r="F13" s="77">
        <v>0.5</v>
      </c>
      <c r="G13" s="77">
        <v>0.63</v>
      </c>
      <c r="H13" s="77">
        <v>1.9</v>
      </c>
      <c r="I13" s="77">
        <v>1</v>
      </c>
      <c r="J13" s="77" t="s">
        <v>208</v>
      </c>
      <c r="K13" s="77">
        <v>0.4</v>
      </c>
      <c r="L13" s="77">
        <v>0.2</v>
      </c>
      <c r="M13" s="77">
        <v>0.3</v>
      </c>
      <c r="N13" s="77">
        <v>0.5</v>
      </c>
      <c r="O13" s="77">
        <v>0.2</v>
      </c>
      <c r="P13" s="77">
        <v>0.5</v>
      </c>
      <c r="Q13" s="77">
        <v>0.6</v>
      </c>
      <c r="R13" s="77">
        <v>0.5</v>
      </c>
      <c r="S13" s="77">
        <v>0.5</v>
      </c>
      <c r="T13" s="77">
        <v>0.4</v>
      </c>
      <c r="U13" s="77">
        <v>0.2</v>
      </c>
      <c r="V13" s="77">
        <v>0.3</v>
      </c>
      <c r="W13" s="77">
        <v>0.4</v>
      </c>
      <c r="X13" s="77">
        <v>0.4</v>
      </c>
      <c r="Y13" s="77">
        <v>0.3</v>
      </c>
      <c r="Z13" s="77">
        <v>0.2</v>
      </c>
      <c r="AA13" s="77">
        <v>0.1</v>
      </c>
      <c r="AB13" s="77">
        <v>0.3</v>
      </c>
      <c r="AC13" s="77">
        <v>0.5</v>
      </c>
      <c r="AD13" s="77">
        <v>0.6</v>
      </c>
      <c r="AE13" s="77">
        <v>0.3</v>
      </c>
      <c r="AF13" s="77">
        <v>1</v>
      </c>
      <c r="AG13" s="46">
        <f t="shared" si="0"/>
        <v>16.43</v>
      </c>
      <c r="AH13" s="48"/>
      <c r="AI13" s="48"/>
    </row>
    <row r="14" spans="1:35" s="44" customFormat="1" ht="18.75" customHeight="1" x14ac:dyDescent="0.35">
      <c r="A14" s="60" t="s">
        <v>71</v>
      </c>
      <c r="B14" s="70">
        <f>3+2.1</f>
        <v>5.0999999999999996</v>
      </c>
      <c r="C14" s="70">
        <f>5+3.2</f>
        <v>8.1999999999999993</v>
      </c>
      <c r="D14" s="70">
        <f>3.4+4</f>
        <v>7.4</v>
      </c>
      <c r="E14" s="70">
        <f>2.4+3.3</f>
        <v>5.6999999999999993</v>
      </c>
      <c r="F14" s="70">
        <f>2.1+0.1</f>
        <v>2.2000000000000002</v>
      </c>
      <c r="G14" s="70">
        <f>5+4.1</f>
        <v>9.1</v>
      </c>
      <c r="H14" s="70">
        <f>3.2+2.2</f>
        <v>5.4</v>
      </c>
      <c r="I14" s="70">
        <f>2.1+1.1</f>
        <v>3.2</v>
      </c>
      <c r="J14" s="70">
        <f>4.6+3.5</f>
        <v>8.1</v>
      </c>
      <c r="K14" s="70">
        <f>2.4+4.5</f>
        <v>6.9</v>
      </c>
      <c r="L14" s="70">
        <f>2+2.1</f>
        <v>4.0999999999999996</v>
      </c>
      <c r="M14" s="70">
        <f>3.1+2.1</f>
        <v>5.2</v>
      </c>
      <c r="N14" s="70">
        <f>5.1+2.3</f>
        <v>7.3999999999999995</v>
      </c>
      <c r="O14" s="70">
        <f>2.6+3.1</f>
        <v>5.7</v>
      </c>
      <c r="P14" s="70">
        <f>5.1+3.1</f>
        <v>8.1999999999999993</v>
      </c>
      <c r="Q14" s="70">
        <f>3+2.1</f>
        <v>5.0999999999999996</v>
      </c>
      <c r="R14" s="70">
        <f>4+3.1</f>
        <v>7.1</v>
      </c>
      <c r="S14" s="70">
        <f>4+3.1</f>
        <v>7.1</v>
      </c>
      <c r="T14" s="70">
        <f>3.7+2.4</f>
        <v>6.1</v>
      </c>
      <c r="U14" s="70">
        <f>3.2+2.1</f>
        <v>5.3000000000000007</v>
      </c>
      <c r="V14" s="70">
        <f>3.7+3.1</f>
        <v>6.8000000000000007</v>
      </c>
      <c r="W14" s="70">
        <f>4+2.7</f>
        <v>6.7</v>
      </c>
      <c r="X14" s="70">
        <f>2+2.3</f>
        <v>4.3</v>
      </c>
      <c r="Y14" s="76">
        <v>3</v>
      </c>
      <c r="Z14" s="76">
        <f>5+2.8</f>
        <v>7.8</v>
      </c>
      <c r="AA14" s="76">
        <f>4.1+3.7</f>
        <v>7.8</v>
      </c>
      <c r="AB14" s="76">
        <f>3+2.6</f>
        <v>5.6</v>
      </c>
      <c r="AC14" s="76">
        <f>2.1+1.5</f>
        <v>3.6</v>
      </c>
      <c r="AD14" s="76">
        <f>1+6.4</f>
        <v>7.4</v>
      </c>
      <c r="AE14" s="76">
        <f>6.1+1.3</f>
        <v>7.3999999999999995</v>
      </c>
      <c r="AF14" s="76">
        <f>3.1+1.6</f>
        <v>4.7</v>
      </c>
      <c r="AG14" s="46">
        <f t="shared" si="0"/>
        <v>187.7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0</v>
      </c>
      <c r="C15" s="51">
        <v>0</v>
      </c>
      <c r="D15" s="51">
        <v>0</v>
      </c>
      <c r="E15" s="51">
        <v>0</v>
      </c>
      <c r="F15" s="51">
        <v>0</v>
      </c>
      <c r="G15" s="51">
        <v>0</v>
      </c>
      <c r="H15" s="51">
        <v>0</v>
      </c>
      <c r="I15" s="51">
        <v>0</v>
      </c>
      <c r="J15" s="51">
        <v>0.2</v>
      </c>
      <c r="K15" s="51">
        <v>0.3</v>
      </c>
      <c r="L15" s="51">
        <v>0</v>
      </c>
      <c r="M15" s="51">
        <v>1.1000000000000001</v>
      </c>
      <c r="N15" s="51">
        <v>0.5</v>
      </c>
      <c r="O15" s="51">
        <v>1</v>
      </c>
      <c r="P15" s="51">
        <v>0</v>
      </c>
      <c r="Q15" s="51">
        <v>0</v>
      </c>
      <c r="R15" s="51">
        <v>0</v>
      </c>
      <c r="S15" s="51">
        <v>0</v>
      </c>
      <c r="T15" s="51">
        <v>1</v>
      </c>
      <c r="U15" s="51">
        <v>1.5</v>
      </c>
      <c r="V15" s="51">
        <v>0.7</v>
      </c>
      <c r="W15" s="51">
        <v>0</v>
      </c>
      <c r="X15" s="51">
        <v>0</v>
      </c>
      <c r="Y15" s="51">
        <v>0</v>
      </c>
      <c r="Z15" s="51">
        <v>1.1000000000000001</v>
      </c>
      <c r="AA15" s="51">
        <v>1</v>
      </c>
      <c r="AB15" s="51">
        <v>0.9</v>
      </c>
      <c r="AC15" s="51">
        <v>0</v>
      </c>
      <c r="AD15" s="51">
        <v>0</v>
      </c>
      <c r="AE15" s="51">
        <v>0</v>
      </c>
      <c r="AF15" s="51">
        <v>0</v>
      </c>
      <c r="AG15" s="46">
        <f t="shared" si="0"/>
        <v>9.3000000000000007</v>
      </c>
      <c r="AH15" s="48"/>
      <c r="AI15" s="48"/>
    </row>
    <row r="16" spans="1:35" s="44" customFormat="1" ht="18.75" customHeight="1" x14ac:dyDescent="0.35">
      <c r="A16" s="60" t="s">
        <v>85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0">
        <f>0.9+1</f>
        <v>1.9</v>
      </c>
      <c r="C21" s="70">
        <f>1.2+2</f>
        <v>3.2</v>
      </c>
      <c r="D21" s="70">
        <f>1.3+1.3</f>
        <v>2.6</v>
      </c>
      <c r="E21" s="70">
        <f>2.4+1.9</f>
        <v>4.3</v>
      </c>
      <c r="F21" s="70">
        <f>3.6+1.7</f>
        <v>5.3</v>
      </c>
      <c r="G21" s="70">
        <f>2.7+1</f>
        <v>3.7</v>
      </c>
      <c r="H21" s="70">
        <f>0.9+2+1</f>
        <v>3.9</v>
      </c>
      <c r="I21" s="70">
        <f>2.9+1+2</f>
        <v>5.9</v>
      </c>
      <c r="J21" s="70">
        <f>1.7+2</f>
        <v>3.7</v>
      </c>
      <c r="K21" s="70">
        <f>1.9+1.3</f>
        <v>3.2</v>
      </c>
      <c r="L21" s="70">
        <f>1.7+2</f>
        <v>3.7</v>
      </c>
      <c r="M21" s="70">
        <f>2.4+1+0.9</f>
        <v>4.3</v>
      </c>
      <c r="N21" s="70">
        <f>1.9+0.9+2</f>
        <v>4.8</v>
      </c>
      <c r="O21" s="70">
        <f>2+1.9+2</f>
        <v>5.9</v>
      </c>
      <c r="P21" s="70" t="s">
        <v>207</v>
      </c>
      <c r="Q21" s="70">
        <f>2.4+1.3+2</f>
        <v>5.7</v>
      </c>
      <c r="R21" s="70">
        <f>1.7+2+1</f>
        <v>4.7</v>
      </c>
      <c r="S21" s="70">
        <f>1.7+1+2</f>
        <v>4.7</v>
      </c>
      <c r="T21" s="70">
        <f>1.9+2+3</f>
        <v>6.9</v>
      </c>
      <c r="U21" s="70">
        <f>1.8+1.9+2</f>
        <v>5.7</v>
      </c>
      <c r="V21" s="70">
        <f>1.3+1+2</f>
        <v>4.3</v>
      </c>
      <c r="W21" s="70">
        <f>3+1+4</f>
        <v>8</v>
      </c>
      <c r="X21" s="70">
        <f>3.6+1.4+2</f>
        <v>7</v>
      </c>
      <c r="Y21" s="70">
        <f>3+2+1</f>
        <v>6</v>
      </c>
      <c r="Z21" s="70">
        <f>1.7+1+2</f>
        <v>4.7</v>
      </c>
      <c r="AA21" s="70">
        <f>1.1+3+4.1</f>
        <v>8.1999999999999993</v>
      </c>
      <c r="AB21" s="70">
        <f>0.9+1+2.3</f>
        <v>4.1999999999999993</v>
      </c>
      <c r="AC21" s="70">
        <f>1.3+2+3</f>
        <v>6.3</v>
      </c>
      <c r="AD21" s="70">
        <f>3.9+2+1</f>
        <v>6.9</v>
      </c>
      <c r="AE21" s="70">
        <f>3+4+2</f>
        <v>9</v>
      </c>
      <c r="AF21" s="70">
        <f>1.3+2+1</f>
        <v>4.3</v>
      </c>
      <c r="AG21" s="46">
        <f t="shared" si="0"/>
        <v>153.00000000000003</v>
      </c>
      <c r="AH21" s="48"/>
      <c r="AI21" s="48"/>
    </row>
    <row r="22" spans="1:35" s="44" customFormat="1" ht="18.75" customHeight="1" x14ac:dyDescent="0.35">
      <c r="A22" s="60" t="s">
        <v>75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0">
        <v>0.2</v>
      </c>
      <c r="C23" s="70">
        <v>0.2</v>
      </c>
      <c r="D23" s="70">
        <v>0.1</v>
      </c>
      <c r="E23" s="70">
        <v>0.2</v>
      </c>
      <c r="F23" s="70">
        <v>0.3</v>
      </c>
      <c r="G23" s="70">
        <v>0.2</v>
      </c>
      <c r="H23" s="70">
        <v>0.2</v>
      </c>
      <c r="I23" s="70">
        <v>0.2</v>
      </c>
      <c r="J23" s="70">
        <v>0.1</v>
      </c>
      <c r="K23" s="70">
        <v>0.3</v>
      </c>
      <c r="L23" s="70">
        <v>0.2</v>
      </c>
      <c r="M23" s="70">
        <v>0.2</v>
      </c>
      <c r="N23" s="70">
        <v>0.3</v>
      </c>
      <c r="O23" s="70" t="s">
        <v>182</v>
      </c>
      <c r="P23" s="70">
        <v>0.1</v>
      </c>
      <c r="Q23" s="70">
        <v>0.2</v>
      </c>
      <c r="R23" s="70">
        <v>0.3</v>
      </c>
      <c r="S23" s="70">
        <v>0.2</v>
      </c>
      <c r="T23" s="70">
        <v>0.2</v>
      </c>
      <c r="U23" s="70">
        <v>0.4</v>
      </c>
      <c r="V23" s="70">
        <v>0.2</v>
      </c>
      <c r="W23" s="70">
        <v>0.2</v>
      </c>
      <c r="X23" s="70">
        <v>0.3</v>
      </c>
      <c r="Y23" s="70">
        <v>0.2</v>
      </c>
      <c r="Z23" s="70">
        <v>0.5</v>
      </c>
      <c r="AA23" s="70">
        <v>0.1</v>
      </c>
      <c r="AB23" s="70">
        <v>0.3</v>
      </c>
      <c r="AC23" s="70">
        <v>0.1</v>
      </c>
      <c r="AD23" s="70">
        <v>0.1</v>
      </c>
      <c r="AE23" s="70">
        <v>0.2</v>
      </c>
      <c r="AF23" s="70">
        <v>0.1</v>
      </c>
      <c r="AG23" s="46">
        <f t="shared" si="0"/>
        <v>6.3999999999999995</v>
      </c>
      <c r="AH23" s="48"/>
      <c r="AI23" s="48"/>
    </row>
    <row r="24" spans="1:35" s="44" customFormat="1" ht="18.75" customHeight="1" x14ac:dyDescent="0.35">
      <c r="A24" s="60" t="s">
        <v>78</v>
      </c>
      <c r="B24" s="70">
        <v>6</v>
      </c>
      <c r="C24" s="70">
        <v>5</v>
      </c>
      <c r="D24" s="70">
        <v>3</v>
      </c>
      <c r="E24" s="70">
        <v>5</v>
      </c>
      <c r="F24" s="70">
        <v>4</v>
      </c>
      <c r="G24" s="70">
        <v>5</v>
      </c>
      <c r="H24" s="70">
        <v>5</v>
      </c>
      <c r="I24" s="70">
        <v>6</v>
      </c>
      <c r="J24" s="70">
        <v>8</v>
      </c>
      <c r="K24" s="70">
        <v>7</v>
      </c>
      <c r="L24" s="70">
        <v>6</v>
      </c>
      <c r="M24" s="70">
        <v>6</v>
      </c>
      <c r="N24" s="70">
        <v>6</v>
      </c>
      <c r="O24" s="70">
        <v>5</v>
      </c>
      <c r="P24" s="70">
        <v>6</v>
      </c>
      <c r="Q24" s="70">
        <v>5</v>
      </c>
      <c r="R24" s="70">
        <v>3</v>
      </c>
      <c r="S24" s="70">
        <v>3</v>
      </c>
      <c r="T24" s="70">
        <v>6</v>
      </c>
      <c r="U24" s="70">
        <v>6</v>
      </c>
      <c r="V24" s="70">
        <v>5</v>
      </c>
      <c r="W24" s="70">
        <v>6</v>
      </c>
      <c r="X24" s="70">
        <v>6</v>
      </c>
      <c r="Y24" s="70">
        <v>6</v>
      </c>
      <c r="Z24" s="70">
        <v>7</v>
      </c>
      <c r="AA24" s="70">
        <v>6</v>
      </c>
      <c r="AB24" s="70">
        <v>5</v>
      </c>
      <c r="AC24" s="70">
        <v>6</v>
      </c>
      <c r="AD24" s="70">
        <v>6</v>
      </c>
      <c r="AE24" s="70">
        <v>6</v>
      </c>
      <c r="AF24" s="70">
        <v>5</v>
      </c>
      <c r="AG24" s="46">
        <f t="shared" si="0"/>
        <v>170</v>
      </c>
      <c r="AH24" s="48"/>
      <c r="AI24" s="48"/>
    </row>
    <row r="25" spans="1:35" s="44" customFormat="1" ht="18.75" customHeight="1" x14ac:dyDescent="0.35">
      <c r="A25" s="60" t="s">
        <v>79</v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>
        <v>2.9</v>
      </c>
      <c r="C27" s="52">
        <v>1.3</v>
      </c>
      <c r="D27" s="52">
        <v>1.2</v>
      </c>
      <c r="E27" s="52">
        <v>0.9</v>
      </c>
      <c r="F27" s="52">
        <v>2.1</v>
      </c>
      <c r="G27" s="52">
        <v>1.9</v>
      </c>
      <c r="H27" s="52">
        <v>0.7</v>
      </c>
      <c r="I27" s="52">
        <v>2.9</v>
      </c>
      <c r="J27" s="52">
        <v>1.5</v>
      </c>
      <c r="K27" s="52">
        <v>1.2</v>
      </c>
      <c r="L27" s="114">
        <v>1</v>
      </c>
      <c r="M27" s="52">
        <v>1.9</v>
      </c>
      <c r="N27" s="52">
        <v>2</v>
      </c>
      <c r="O27" s="52">
        <v>0.7</v>
      </c>
      <c r="P27" s="114">
        <v>1</v>
      </c>
      <c r="Q27" s="52">
        <v>1.5</v>
      </c>
      <c r="R27" s="52">
        <v>0.5</v>
      </c>
      <c r="S27" s="114">
        <v>1</v>
      </c>
      <c r="T27" s="114">
        <v>1</v>
      </c>
      <c r="U27" s="52">
        <v>1.2</v>
      </c>
      <c r="V27" s="52">
        <v>0.4</v>
      </c>
      <c r="W27" s="52">
        <v>1.5</v>
      </c>
      <c r="X27" s="52">
        <v>1.3</v>
      </c>
      <c r="Y27" s="52">
        <v>1.9</v>
      </c>
      <c r="Z27" s="52">
        <v>0.5</v>
      </c>
      <c r="AA27" s="114">
        <v>1</v>
      </c>
      <c r="AB27" s="114">
        <v>1</v>
      </c>
      <c r="AC27" s="114">
        <v>1</v>
      </c>
      <c r="AD27" s="114">
        <v>2</v>
      </c>
      <c r="AE27" s="52">
        <v>1.7</v>
      </c>
      <c r="AF27" s="52">
        <v>1.2</v>
      </c>
      <c r="AG27" s="46">
        <f t="shared" si="0"/>
        <v>41.900000000000006</v>
      </c>
      <c r="AH27" s="48"/>
      <c r="AI27" s="48"/>
    </row>
    <row r="28" spans="1:35" s="44" customFormat="1" ht="18.75" customHeight="1" x14ac:dyDescent="0.35">
      <c r="A28" s="60" t="s">
        <v>76</v>
      </c>
      <c r="B28" s="76">
        <v>1.6</v>
      </c>
      <c r="C28" s="76">
        <v>2.5</v>
      </c>
      <c r="D28" s="76">
        <v>0.6</v>
      </c>
      <c r="E28" s="76">
        <v>0.9</v>
      </c>
      <c r="F28" s="76">
        <f>1.5+0.6</f>
        <v>2.1</v>
      </c>
      <c r="G28" s="76">
        <v>1.9</v>
      </c>
      <c r="H28" s="76">
        <v>2.5</v>
      </c>
      <c r="I28" s="76">
        <v>1</v>
      </c>
      <c r="J28" s="76">
        <f>1.9+2.7</f>
        <v>4.5999999999999996</v>
      </c>
      <c r="K28" s="76">
        <v>3.9</v>
      </c>
      <c r="L28" s="76">
        <f>2.9+1.7</f>
        <v>4.5999999999999996</v>
      </c>
      <c r="M28" s="76">
        <v>3.8</v>
      </c>
      <c r="N28" s="76">
        <v>4.9000000000000004</v>
      </c>
      <c r="O28" s="76">
        <v>4.9000000000000004</v>
      </c>
      <c r="P28" s="76">
        <f>2.8+2.9</f>
        <v>5.6999999999999993</v>
      </c>
      <c r="Q28" s="76">
        <f>2.9+1.6</f>
        <v>4.5</v>
      </c>
      <c r="R28" s="76">
        <v>3.9</v>
      </c>
      <c r="S28" s="76">
        <v>3.7</v>
      </c>
      <c r="T28" s="76">
        <v>5.6</v>
      </c>
      <c r="U28" s="76">
        <v>3.7</v>
      </c>
      <c r="V28" s="76">
        <f>1.9+1.4</f>
        <v>3.3</v>
      </c>
      <c r="W28" s="76">
        <f>3+2.4</f>
        <v>5.4</v>
      </c>
      <c r="X28" s="76">
        <f>3.6+2</f>
        <v>5.6</v>
      </c>
      <c r="Y28" s="76">
        <v>3.9</v>
      </c>
      <c r="Z28" s="76">
        <v>3.4</v>
      </c>
      <c r="AA28" s="76">
        <v>5.4</v>
      </c>
      <c r="AB28" s="76">
        <v>4.9000000000000004</v>
      </c>
      <c r="AC28" s="76">
        <f>1.7+1.9</f>
        <v>3.5999999999999996</v>
      </c>
      <c r="AD28" s="76">
        <v>3.9</v>
      </c>
      <c r="AE28" s="76">
        <v>5</v>
      </c>
      <c r="AF28" s="76">
        <f>1.7+2.9</f>
        <v>4.5999999999999996</v>
      </c>
      <c r="AG28" s="46">
        <f t="shared" si="0"/>
        <v>115.90000000000002</v>
      </c>
      <c r="AH28" s="48"/>
      <c r="AI28" s="48"/>
    </row>
    <row r="29" spans="1:35" s="44" customFormat="1" ht="18.75" customHeight="1" x14ac:dyDescent="0.35">
      <c r="A29" s="60" t="s">
        <v>81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122">
        <v>10</v>
      </c>
      <c r="C30" s="122">
        <v>6</v>
      </c>
      <c r="D30" s="122">
        <v>4</v>
      </c>
      <c r="E30" s="122">
        <v>0</v>
      </c>
      <c r="F30" s="122">
        <v>0</v>
      </c>
      <c r="G30" s="122">
        <v>4</v>
      </c>
      <c r="H30" s="122">
        <v>0</v>
      </c>
      <c r="I30" s="122">
        <v>0</v>
      </c>
      <c r="J30" s="122">
        <v>0</v>
      </c>
      <c r="K30" s="122">
        <v>0</v>
      </c>
      <c r="L30" s="122">
        <v>0</v>
      </c>
      <c r="M30" s="122">
        <v>0</v>
      </c>
      <c r="N30" s="122">
        <v>3</v>
      </c>
      <c r="O30" s="122">
        <v>2</v>
      </c>
      <c r="P30" s="122">
        <v>0</v>
      </c>
      <c r="Q30" s="122">
        <v>6</v>
      </c>
      <c r="R30" s="122">
        <v>8</v>
      </c>
      <c r="S30" s="122">
        <v>0</v>
      </c>
      <c r="T30" s="122">
        <v>0</v>
      </c>
      <c r="U30" s="122">
        <v>3</v>
      </c>
      <c r="V30" s="122">
        <v>0</v>
      </c>
      <c r="W30" s="122">
        <v>10</v>
      </c>
      <c r="X30" s="122">
        <v>0</v>
      </c>
      <c r="Y30" s="122">
        <v>8</v>
      </c>
      <c r="Z30" s="122">
        <v>0</v>
      </c>
      <c r="AA30" s="122">
        <v>0</v>
      </c>
      <c r="AB30" s="122">
        <v>4</v>
      </c>
      <c r="AC30" s="122">
        <v>0</v>
      </c>
      <c r="AD30" s="122">
        <v>8</v>
      </c>
      <c r="AE30" s="122">
        <v>0</v>
      </c>
      <c r="AF30" s="122">
        <v>0</v>
      </c>
      <c r="AG30" s="46">
        <f t="shared" si="0"/>
        <v>76</v>
      </c>
      <c r="AH30" s="48"/>
      <c r="AI30" s="48"/>
    </row>
    <row r="31" spans="1:35" s="44" customFormat="1" ht="18.75" customHeight="1" x14ac:dyDescent="0.35">
      <c r="A31" s="60" t="s">
        <v>82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43.399999999999991</v>
      </c>
      <c r="C33" s="70">
        <f t="shared" ref="C33:AF33" si="1">SUM(C3:C32)</f>
        <v>41.5</v>
      </c>
      <c r="D33" s="70">
        <f t="shared" si="1"/>
        <v>34</v>
      </c>
      <c r="E33" s="70">
        <f t="shared" si="1"/>
        <v>32.4</v>
      </c>
      <c r="F33" s="70">
        <f t="shared" si="1"/>
        <v>32.4</v>
      </c>
      <c r="G33" s="70">
        <f t="shared" si="1"/>
        <v>39.83</v>
      </c>
      <c r="H33" s="70">
        <f t="shared" si="1"/>
        <v>29.4</v>
      </c>
      <c r="I33" s="70">
        <f t="shared" si="1"/>
        <v>32.200000000000003</v>
      </c>
      <c r="J33" s="70">
        <f t="shared" si="1"/>
        <v>36.1</v>
      </c>
      <c r="K33" s="70">
        <f t="shared" si="1"/>
        <v>34.699999999999996</v>
      </c>
      <c r="L33" s="70">
        <f t="shared" si="1"/>
        <v>29.4</v>
      </c>
      <c r="M33" s="70">
        <f t="shared" si="1"/>
        <v>32.799999999999997</v>
      </c>
      <c r="N33" s="70">
        <f t="shared" si="1"/>
        <v>38.9</v>
      </c>
      <c r="O33" s="70">
        <f t="shared" si="1"/>
        <v>35.700000000000003</v>
      </c>
      <c r="P33" s="70">
        <f t="shared" si="1"/>
        <v>32.400000000000006</v>
      </c>
      <c r="Q33" s="70">
        <f t="shared" si="1"/>
        <v>38.9</v>
      </c>
      <c r="R33" s="70">
        <f t="shared" si="1"/>
        <v>40.199999999999996</v>
      </c>
      <c r="S33" s="70">
        <f t="shared" si="1"/>
        <v>31.7</v>
      </c>
      <c r="T33" s="70">
        <f t="shared" si="1"/>
        <v>38.4</v>
      </c>
      <c r="U33" s="70">
        <f t="shared" si="1"/>
        <v>38.199999999999996</v>
      </c>
      <c r="V33" s="70">
        <f t="shared" si="1"/>
        <v>35.1</v>
      </c>
      <c r="W33" s="70">
        <f t="shared" si="1"/>
        <v>50.1</v>
      </c>
      <c r="X33" s="70">
        <f t="shared" si="1"/>
        <v>36.200000000000003</v>
      </c>
      <c r="Y33" s="70">
        <f t="shared" si="1"/>
        <v>40.5</v>
      </c>
      <c r="Z33" s="70">
        <f t="shared" si="1"/>
        <v>33.799999999999997</v>
      </c>
      <c r="AA33" s="70">
        <f t="shared" si="1"/>
        <v>41.3</v>
      </c>
      <c r="AB33" s="70">
        <f t="shared" si="1"/>
        <v>38.099999999999994</v>
      </c>
      <c r="AC33" s="70">
        <f t="shared" si="1"/>
        <v>32.1</v>
      </c>
      <c r="AD33" s="70">
        <f t="shared" si="1"/>
        <v>48</v>
      </c>
      <c r="AE33" s="70">
        <f t="shared" si="1"/>
        <v>44.2</v>
      </c>
      <c r="AF33" s="70">
        <f t="shared" si="1"/>
        <v>34.299999999999997</v>
      </c>
      <c r="AG33" s="56">
        <f>SUM(B33:AF33)</f>
        <v>1146.23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1146.23</v>
      </c>
      <c r="AH34" s="48"/>
      <c r="AI34" s="48"/>
    </row>
    <row r="35" spans="1:35" s="2" customFormat="1" x14ac:dyDescent="0.25"/>
  </sheetData>
  <mergeCells count="1">
    <mergeCell ref="A1:AG1"/>
  </mergeCells>
  <conditionalFormatting sqref="AG34">
    <cfRule type="cellIs" dxfId="43" priority="2" operator="equal">
      <formula>$AG$33</formula>
    </cfRule>
    <cfRule type="cellIs" dxfId="42" priority="5" operator="equal">
      <formula>#REF!</formula>
    </cfRule>
  </conditionalFormatting>
  <conditionalFormatting sqref="AG33">
    <cfRule type="cellIs" dxfId="41" priority="1" operator="equal">
      <formula>$AG$34</formula>
    </cfRule>
    <cfRule type="cellIs" dxfId="40" priority="7" operator="equal">
      <formula>#REF!</formula>
    </cfRule>
  </conditionalFormatting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workbookViewId="0">
      <selection sqref="A1:AG1"/>
    </sheetView>
  </sheetViews>
  <sheetFormatPr baseColWidth="10" defaultRowHeight="15" x14ac:dyDescent="0.25"/>
  <cols>
    <col min="1" max="1" width="54.7109375" customWidth="1"/>
    <col min="2" max="32" width="7.285156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6">
        <f>SUM(B3:AF3)</f>
        <v>0</v>
      </c>
      <c r="AH3" s="47"/>
      <c r="AI3" s="48"/>
    </row>
    <row r="4" spans="1:35" s="44" customFormat="1" ht="27.75" customHeight="1" x14ac:dyDescent="0.35">
      <c r="A4" s="78" t="s">
        <v>94</v>
      </c>
      <c r="B4" s="85"/>
      <c r="C4" s="85">
        <v>1.3</v>
      </c>
      <c r="D4" s="85">
        <v>0.8</v>
      </c>
      <c r="E4" s="85">
        <v>1.9</v>
      </c>
      <c r="F4" s="85">
        <v>2</v>
      </c>
      <c r="G4" s="85">
        <v>0.9</v>
      </c>
      <c r="H4" s="85"/>
      <c r="I4" s="86"/>
      <c r="J4" s="85">
        <v>1.9</v>
      </c>
      <c r="K4" s="86">
        <v>0.9</v>
      </c>
      <c r="L4" s="85">
        <v>0.8</v>
      </c>
      <c r="M4" s="86">
        <v>0.5</v>
      </c>
      <c r="N4" s="85">
        <v>1.9</v>
      </c>
      <c r="O4" s="85"/>
      <c r="P4" s="86"/>
      <c r="Q4" s="85">
        <v>1</v>
      </c>
      <c r="R4" s="85">
        <v>1.7</v>
      </c>
      <c r="S4" s="86">
        <v>0.1</v>
      </c>
      <c r="T4" s="86">
        <v>1.9</v>
      </c>
      <c r="U4" s="86">
        <v>0.9</v>
      </c>
      <c r="V4" s="86"/>
      <c r="W4" s="85"/>
      <c r="X4" s="85">
        <v>0.9</v>
      </c>
      <c r="Y4" s="85"/>
      <c r="Z4" s="85">
        <v>1</v>
      </c>
      <c r="AA4" s="85">
        <v>2.2000000000000002</v>
      </c>
      <c r="AB4" s="85">
        <v>0.3</v>
      </c>
      <c r="AC4" s="85"/>
      <c r="AD4" s="85"/>
      <c r="AE4" s="85">
        <v>2.7</v>
      </c>
      <c r="AF4" s="85"/>
      <c r="AG4" s="103">
        <f t="shared" ref="AG4:AG41" si="0">SUM(B4:AF4)</f>
        <v>25.599999999999998</v>
      </c>
      <c r="AH4" s="47"/>
      <c r="AI4" s="48"/>
    </row>
    <row r="5" spans="1:35" s="44" customFormat="1" ht="18.75" customHeight="1" x14ac:dyDescent="0.35">
      <c r="A5" s="79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79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79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79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79" t="s">
        <v>65</v>
      </c>
      <c r="B9" s="87">
        <f>3.6+3</f>
        <v>6.6</v>
      </c>
      <c r="C9" s="87">
        <f>4.1+3.6</f>
        <v>7.6999999999999993</v>
      </c>
      <c r="D9" s="87">
        <f>3.8+2.1</f>
        <v>5.9</v>
      </c>
      <c r="E9" s="87">
        <f>3.5+3</f>
        <v>6.5</v>
      </c>
      <c r="F9" s="87">
        <f>4.7+2.5</f>
        <v>7.2</v>
      </c>
      <c r="G9" s="87">
        <f>4+3.7</f>
        <v>7.7</v>
      </c>
      <c r="H9" s="87">
        <f>3.5+2.5</f>
        <v>6</v>
      </c>
      <c r="I9" s="87">
        <f>3.6+2.7</f>
        <v>6.3000000000000007</v>
      </c>
      <c r="J9" s="87">
        <f>4.6+2.3</f>
        <v>6.8999999999999995</v>
      </c>
      <c r="K9" s="87">
        <f>3.9+2.6</f>
        <v>6.5</v>
      </c>
      <c r="L9" s="87">
        <f>3.8+2.4</f>
        <v>6.1999999999999993</v>
      </c>
      <c r="M9" s="87">
        <f>3+2.1</f>
        <v>5.0999999999999996</v>
      </c>
      <c r="N9" s="87">
        <f>4+2.5</f>
        <v>6.5</v>
      </c>
      <c r="O9" s="87">
        <f>4.6+3</f>
        <v>7.6</v>
      </c>
      <c r="P9" s="87">
        <f>4+2.9</f>
        <v>6.9</v>
      </c>
      <c r="Q9" s="87">
        <f>3.9+2</f>
        <v>5.9</v>
      </c>
      <c r="R9" s="87">
        <f>3.6+3.6</f>
        <v>7.2</v>
      </c>
      <c r="S9" s="87">
        <f>3.5+3</f>
        <v>6.5</v>
      </c>
      <c r="T9" s="87">
        <f>4+2.6</f>
        <v>6.6</v>
      </c>
      <c r="U9" s="87">
        <f>3.6+2.6</f>
        <v>6.2</v>
      </c>
      <c r="V9" s="87">
        <f>2.9+0.9</f>
        <v>3.8</v>
      </c>
      <c r="W9" s="87">
        <v>5</v>
      </c>
      <c r="X9" s="87">
        <f>4.1+2.3</f>
        <v>6.3999999999999995</v>
      </c>
      <c r="Y9" s="87">
        <f>3.8+1.9</f>
        <v>5.6999999999999993</v>
      </c>
      <c r="Z9" s="87">
        <f>4.6+2</f>
        <v>6.6</v>
      </c>
      <c r="AA9" s="87">
        <f>3.3+2</f>
        <v>5.3</v>
      </c>
      <c r="AB9" s="87">
        <f>4+3.9</f>
        <v>7.9</v>
      </c>
      <c r="AC9" s="87">
        <f>3+2.2</f>
        <v>5.2</v>
      </c>
      <c r="AD9" s="87">
        <f>4.4+3.1</f>
        <v>7.5</v>
      </c>
      <c r="AE9" s="87">
        <f>4.1+3.2</f>
        <v>7.3</v>
      </c>
      <c r="AF9" s="87"/>
      <c r="AG9" s="103">
        <f t="shared" si="0"/>
        <v>192.70000000000002</v>
      </c>
      <c r="AH9" s="48"/>
      <c r="AI9" s="48"/>
    </row>
    <row r="10" spans="1:35" s="44" customFormat="1" ht="18.75" customHeight="1" x14ac:dyDescent="0.35">
      <c r="A10" s="79" t="s">
        <v>66</v>
      </c>
      <c r="B10" s="88">
        <v>1</v>
      </c>
      <c r="C10" s="88">
        <v>1.2</v>
      </c>
      <c r="D10" s="88">
        <v>1.3</v>
      </c>
      <c r="E10" s="88">
        <v>2.1</v>
      </c>
      <c r="F10" s="88">
        <v>1</v>
      </c>
      <c r="G10" s="88">
        <v>1.1000000000000001</v>
      </c>
      <c r="H10" s="88">
        <v>2.1</v>
      </c>
      <c r="I10" s="88"/>
      <c r="J10" s="88">
        <v>1</v>
      </c>
      <c r="K10" s="88">
        <v>1.1000000000000001</v>
      </c>
      <c r="L10" s="88">
        <v>1.3</v>
      </c>
      <c r="M10" s="88">
        <v>1.4</v>
      </c>
      <c r="N10" s="88">
        <v>2.2000000000000002</v>
      </c>
      <c r="O10" s="88">
        <v>1.3</v>
      </c>
      <c r="P10" s="88">
        <v>1</v>
      </c>
      <c r="Q10" s="88"/>
      <c r="R10" s="88">
        <v>1.2</v>
      </c>
      <c r="S10" s="88">
        <v>1.1000000000000001</v>
      </c>
      <c r="T10" s="88">
        <v>1</v>
      </c>
      <c r="U10" s="88">
        <v>1.1000000000000001</v>
      </c>
      <c r="V10" s="88">
        <v>2.2000000000000002</v>
      </c>
      <c r="W10" s="88">
        <v>1.4</v>
      </c>
      <c r="X10" s="88">
        <v>1.5</v>
      </c>
      <c r="Y10" s="88"/>
      <c r="Z10" s="88"/>
      <c r="AA10" s="88"/>
      <c r="AB10" s="88"/>
      <c r="AC10" s="88"/>
      <c r="AD10" s="88"/>
      <c r="AE10" s="88"/>
      <c r="AF10" s="88"/>
      <c r="AG10" s="103">
        <f t="shared" si="0"/>
        <v>28.6</v>
      </c>
      <c r="AH10" s="48"/>
      <c r="AI10" s="48"/>
    </row>
    <row r="11" spans="1:35" s="44" customFormat="1" ht="18.75" customHeight="1" x14ac:dyDescent="0.35">
      <c r="A11" s="79" t="s">
        <v>67</v>
      </c>
      <c r="B11" s="87">
        <v>2.2999999999999998</v>
      </c>
      <c r="C11" s="87">
        <v>2.2999999999999998</v>
      </c>
      <c r="D11" s="87">
        <v>2.1</v>
      </c>
      <c r="E11" s="87">
        <v>1.9</v>
      </c>
      <c r="F11" s="87">
        <v>1.8</v>
      </c>
      <c r="G11" s="87">
        <v>2.4</v>
      </c>
      <c r="H11" s="87">
        <v>2.2999999999999998</v>
      </c>
      <c r="I11" s="87">
        <v>2.2000000000000002</v>
      </c>
      <c r="J11" s="87">
        <v>2.1</v>
      </c>
      <c r="K11" s="87">
        <v>2.2000000000000002</v>
      </c>
      <c r="L11" s="87">
        <v>2.1</v>
      </c>
      <c r="M11" s="87">
        <v>2.4</v>
      </c>
      <c r="N11" s="87">
        <v>2.2999999999999998</v>
      </c>
      <c r="O11" s="87">
        <v>2.4</v>
      </c>
      <c r="P11" s="87">
        <v>2.2000000000000002</v>
      </c>
      <c r="Q11" s="87">
        <v>2.74</v>
      </c>
      <c r="R11" s="87">
        <v>2.1</v>
      </c>
      <c r="S11" s="87">
        <v>2.1</v>
      </c>
      <c r="T11" s="87">
        <v>2.2000000000000002</v>
      </c>
      <c r="U11" s="87">
        <v>1.9</v>
      </c>
      <c r="V11" s="87">
        <v>1.8</v>
      </c>
      <c r="W11" s="87">
        <v>1.8</v>
      </c>
      <c r="X11" s="87">
        <v>1.9</v>
      </c>
      <c r="Y11" s="87">
        <v>2.2000000000000002</v>
      </c>
      <c r="Z11" s="87">
        <v>2.1</v>
      </c>
      <c r="AA11" s="87">
        <v>2.1</v>
      </c>
      <c r="AB11" s="87">
        <v>2.1</v>
      </c>
      <c r="AC11" s="87">
        <v>2.1</v>
      </c>
      <c r="AD11" s="87">
        <v>1.8</v>
      </c>
      <c r="AE11" s="87">
        <v>1.8</v>
      </c>
      <c r="AF11" s="87"/>
      <c r="AG11" s="103">
        <f t="shared" si="0"/>
        <v>63.74</v>
      </c>
      <c r="AH11" s="48"/>
      <c r="AI11" s="48"/>
    </row>
    <row r="12" spans="1:35" s="44" customFormat="1" ht="30.75" customHeight="1" x14ac:dyDescent="0.35">
      <c r="A12" s="79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79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79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79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79" t="s">
        <v>91</v>
      </c>
      <c r="B16" s="87">
        <v>1.1000000000000001</v>
      </c>
      <c r="C16" s="87">
        <v>0.9</v>
      </c>
      <c r="D16" s="87">
        <v>0.7</v>
      </c>
      <c r="E16" s="87">
        <v>0.5</v>
      </c>
      <c r="F16" s="87">
        <v>1.1000000000000001</v>
      </c>
      <c r="G16" s="87">
        <v>1.7</v>
      </c>
      <c r="H16" s="87">
        <v>1.1000000000000001</v>
      </c>
      <c r="I16" s="87">
        <v>0.5</v>
      </c>
      <c r="J16" s="87">
        <v>2.2999999999999998</v>
      </c>
      <c r="K16" s="87">
        <v>2.7</v>
      </c>
      <c r="L16" s="87">
        <v>2.9</v>
      </c>
      <c r="M16" s="87">
        <v>1.1000000000000001</v>
      </c>
      <c r="N16" s="87">
        <v>1</v>
      </c>
      <c r="O16" s="87">
        <v>2.5</v>
      </c>
      <c r="P16" s="87">
        <v>0.9</v>
      </c>
      <c r="Q16" s="87">
        <v>1.6</v>
      </c>
      <c r="R16" s="87">
        <v>1.1000000000000001</v>
      </c>
      <c r="S16" s="87">
        <v>1.9</v>
      </c>
      <c r="T16" s="87">
        <v>1.7</v>
      </c>
      <c r="U16" s="87">
        <v>2.5</v>
      </c>
      <c r="V16" s="87">
        <v>2.9</v>
      </c>
      <c r="W16" s="87">
        <v>1.9</v>
      </c>
      <c r="X16" s="87">
        <v>2.7</v>
      </c>
      <c r="Y16" s="87">
        <v>3.1</v>
      </c>
      <c r="Z16" s="87">
        <v>0.9</v>
      </c>
      <c r="AA16" s="87">
        <v>1.3</v>
      </c>
      <c r="AB16" s="87">
        <v>1.1000000000000001</v>
      </c>
      <c r="AC16" s="87">
        <v>1.2</v>
      </c>
      <c r="AD16" s="87">
        <v>0.9</v>
      </c>
      <c r="AE16" s="87">
        <v>1</v>
      </c>
      <c r="AF16" s="87"/>
      <c r="AG16" s="103">
        <f t="shared" si="0"/>
        <v>46.800000000000004</v>
      </c>
      <c r="AH16" s="48"/>
      <c r="AI16" s="48"/>
    </row>
    <row r="17" spans="1:35" s="44" customFormat="1" ht="18.75" customHeight="1" x14ac:dyDescent="0.35">
      <c r="A17" s="79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79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79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79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80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79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79" t="s">
        <v>71</v>
      </c>
      <c r="B23" s="87">
        <v>1.7</v>
      </c>
      <c r="C23" s="87">
        <v>1.2</v>
      </c>
      <c r="D23" s="87">
        <v>1.9</v>
      </c>
      <c r="E23" s="87">
        <v>1.6</v>
      </c>
      <c r="F23" s="87">
        <v>1.6</v>
      </c>
      <c r="G23" s="87">
        <v>1.2</v>
      </c>
      <c r="H23" s="87">
        <v>0.8</v>
      </c>
      <c r="I23" s="87">
        <v>1</v>
      </c>
      <c r="J23" s="87">
        <v>2.1</v>
      </c>
      <c r="K23" s="87">
        <v>2.1</v>
      </c>
      <c r="L23" s="87">
        <v>2.4</v>
      </c>
      <c r="M23" s="87">
        <v>1.3</v>
      </c>
      <c r="N23" s="87">
        <v>1</v>
      </c>
      <c r="O23" s="87">
        <v>0.6</v>
      </c>
      <c r="P23" s="87">
        <v>1.6</v>
      </c>
      <c r="Q23" s="87">
        <v>1.3</v>
      </c>
      <c r="R23" s="87">
        <v>1.9</v>
      </c>
      <c r="S23" s="87">
        <v>1</v>
      </c>
      <c r="T23" s="87">
        <v>1.4</v>
      </c>
      <c r="U23" s="87">
        <v>1.6</v>
      </c>
      <c r="V23" s="87">
        <v>1.7</v>
      </c>
      <c r="W23" s="87">
        <v>1.5</v>
      </c>
      <c r="X23" s="87">
        <v>1.3</v>
      </c>
      <c r="Y23" s="88">
        <v>1.7</v>
      </c>
      <c r="Z23" s="88">
        <v>1.6</v>
      </c>
      <c r="AA23" s="88">
        <v>1.5</v>
      </c>
      <c r="AB23" s="88">
        <v>1.8</v>
      </c>
      <c r="AC23" s="88">
        <v>1.9</v>
      </c>
      <c r="AD23" s="88">
        <v>1.3</v>
      </c>
      <c r="AE23" s="88">
        <v>0.8</v>
      </c>
      <c r="AF23" s="88"/>
      <c r="AG23" s="103">
        <f t="shared" si="0"/>
        <v>44.399999999999991</v>
      </c>
      <c r="AH23" s="48"/>
      <c r="AI23" s="48"/>
    </row>
    <row r="24" spans="1:35" s="44" customFormat="1" ht="18.75" customHeight="1" x14ac:dyDescent="0.35">
      <c r="A24" s="79" t="s">
        <v>72</v>
      </c>
      <c r="B24" s="87">
        <v>2.2999999999999998</v>
      </c>
      <c r="C24" s="87">
        <v>2.6</v>
      </c>
      <c r="D24" s="87">
        <v>3.1</v>
      </c>
      <c r="E24" s="87">
        <v>2.1</v>
      </c>
      <c r="F24" s="87">
        <v>3</v>
      </c>
      <c r="G24" s="87">
        <v>2.6</v>
      </c>
      <c r="H24" s="87">
        <v>3.1</v>
      </c>
      <c r="I24" s="87">
        <v>2.9</v>
      </c>
      <c r="J24" s="87">
        <v>4.2</v>
      </c>
      <c r="K24" s="87">
        <v>3</v>
      </c>
      <c r="L24" s="87">
        <v>2.8</v>
      </c>
      <c r="M24" s="87">
        <v>0.3</v>
      </c>
      <c r="N24" s="87">
        <v>0.8</v>
      </c>
      <c r="O24" s="87">
        <v>2.1</v>
      </c>
      <c r="P24" s="87">
        <v>2.2999999999999998</v>
      </c>
      <c r="Q24" s="87">
        <v>2.5</v>
      </c>
      <c r="R24" s="87">
        <v>2.9</v>
      </c>
      <c r="S24" s="87">
        <v>3.1</v>
      </c>
      <c r="T24" s="87">
        <v>2.2999999999999998</v>
      </c>
      <c r="U24" s="87">
        <v>1.9</v>
      </c>
      <c r="V24" s="87">
        <v>0.9</v>
      </c>
      <c r="W24" s="87">
        <v>2.1</v>
      </c>
      <c r="X24" s="87">
        <v>0.8</v>
      </c>
      <c r="Y24" s="87">
        <v>2.1</v>
      </c>
      <c r="Z24" s="87">
        <v>2.2999999999999998</v>
      </c>
      <c r="AA24" s="87">
        <v>2.8</v>
      </c>
      <c r="AB24" s="87">
        <v>2.1</v>
      </c>
      <c r="AC24" s="87">
        <v>0.8</v>
      </c>
      <c r="AD24" s="87">
        <v>1.9</v>
      </c>
      <c r="AE24" s="87">
        <v>1.9</v>
      </c>
      <c r="AF24" s="87"/>
      <c r="AG24" s="103">
        <f t="shared" si="0"/>
        <v>67.599999999999994</v>
      </c>
      <c r="AH24" s="48"/>
      <c r="AI24" s="48"/>
    </row>
    <row r="25" spans="1:35" s="44" customFormat="1" ht="18.75" customHeight="1" x14ac:dyDescent="0.35">
      <c r="A25" s="79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79" t="s">
        <v>153</v>
      </c>
      <c r="B26" s="87">
        <v>1.2</v>
      </c>
      <c r="C26" s="87">
        <v>2.5</v>
      </c>
      <c r="D26" s="87">
        <v>3</v>
      </c>
      <c r="E26" s="87">
        <v>2.2000000000000002</v>
      </c>
      <c r="F26" s="87">
        <v>2.9</v>
      </c>
      <c r="G26" s="87">
        <v>3</v>
      </c>
      <c r="H26" s="87">
        <v>2.5</v>
      </c>
      <c r="I26" s="87">
        <v>2.5</v>
      </c>
      <c r="J26" s="87">
        <v>1.7</v>
      </c>
      <c r="K26" s="87">
        <v>2.1</v>
      </c>
      <c r="L26" s="87">
        <v>2.5</v>
      </c>
      <c r="M26" s="87">
        <v>2.5</v>
      </c>
      <c r="N26" s="87">
        <v>2.6</v>
      </c>
      <c r="O26" s="87">
        <v>2.2999999999999998</v>
      </c>
      <c r="P26" s="87"/>
      <c r="Q26" s="87">
        <v>1.4</v>
      </c>
      <c r="R26" s="87">
        <v>0.9</v>
      </c>
      <c r="S26" s="87">
        <v>3.9</v>
      </c>
      <c r="T26" s="87">
        <v>2.9</v>
      </c>
      <c r="U26" s="87">
        <v>1.8</v>
      </c>
      <c r="V26" s="87">
        <v>2.2999999999999998</v>
      </c>
      <c r="W26" s="87">
        <v>2</v>
      </c>
      <c r="X26" s="87">
        <v>5</v>
      </c>
      <c r="Y26" s="87">
        <v>4.9000000000000004</v>
      </c>
      <c r="Z26" s="87">
        <v>1.9</v>
      </c>
      <c r="AA26" s="87">
        <v>1.8</v>
      </c>
      <c r="AB26" s="87">
        <v>1.6</v>
      </c>
      <c r="AC26" s="87">
        <v>1.7</v>
      </c>
      <c r="AD26" s="87">
        <v>1.4</v>
      </c>
      <c r="AE26" s="87">
        <v>2.1</v>
      </c>
      <c r="AF26" s="87"/>
      <c r="AG26" s="103">
        <f t="shared" si="0"/>
        <v>69.09999999999998</v>
      </c>
      <c r="AH26" s="48"/>
      <c r="AI26" s="48"/>
    </row>
    <row r="27" spans="1:35" s="44" customFormat="1" ht="18.75" customHeight="1" x14ac:dyDescent="0.35">
      <c r="A27" s="79" t="s">
        <v>73</v>
      </c>
      <c r="B27" s="87">
        <v>1.5</v>
      </c>
      <c r="C27" s="87">
        <v>0.1</v>
      </c>
      <c r="D27" s="87">
        <v>0.5</v>
      </c>
      <c r="E27" s="87">
        <v>1.2</v>
      </c>
      <c r="F27" s="87"/>
      <c r="G27" s="87"/>
      <c r="H27" s="87">
        <v>0.2</v>
      </c>
      <c r="I27" s="87">
        <v>1</v>
      </c>
      <c r="J27" s="87"/>
      <c r="K27" s="87">
        <v>1</v>
      </c>
      <c r="L27" s="87">
        <v>0.2</v>
      </c>
      <c r="M27" s="87"/>
      <c r="N27" s="87">
        <v>1</v>
      </c>
      <c r="O27" s="87">
        <v>0.2</v>
      </c>
      <c r="P27" s="87">
        <v>0.1</v>
      </c>
      <c r="Q27" s="87"/>
      <c r="R27" s="87"/>
      <c r="S27" s="87"/>
      <c r="T27" s="87"/>
      <c r="U27" s="87">
        <v>0.5</v>
      </c>
      <c r="V27" s="87"/>
      <c r="W27" s="87"/>
      <c r="X27" s="87">
        <v>0.2</v>
      </c>
      <c r="Y27" s="87"/>
      <c r="Z27" s="87"/>
      <c r="AA27" s="87">
        <v>0.3</v>
      </c>
      <c r="AB27" s="87"/>
      <c r="AC27" s="87"/>
      <c r="AD27" s="87"/>
      <c r="AE27" s="87">
        <v>0.4</v>
      </c>
      <c r="AF27" s="87"/>
      <c r="AG27" s="103">
        <f t="shared" si="0"/>
        <v>8.4</v>
      </c>
      <c r="AH27" s="48"/>
      <c r="AI27" s="48"/>
    </row>
    <row r="28" spans="1:35" s="44" customFormat="1" ht="18.75" customHeight="1" x14ac:dyDescent="0.35">
      <c r="A28" s="79" t="s">
        <v>92</v>
      </c>
      <c r="B28" s="87"/>
      <c r="C28" s="87">
        <v>2</v>
      </c>
      <c r="D28" s="87">
        <v>1</v>
      </c>
      <c r="E28" s="87">
        <v>0.9</v>
      </c>
      <c r="F28" s="87">
        <v>1</v>
      </c>
      <c r="G28" s="87">
        <v>1.5</v>
      </c>
      <c r="H28" s="87"/>
      <c r="I28" s="87"/>
      <c r="J28" s="87">
        <v>1</v>
      </c>
      <c r="K28" s="87">
        <v>2</v>
      </c>
      <c r="L28" s="87">
        <v>0.5</v>
      </c>
      <c r="M28" s="87">
        <v>2.2999999999999998</v>
      </c>
      <c r="N28" s="87">
        <v>4</v>
      </c>
      <c r="O28" s="87"/>
      <c r="P28" s="87"/>
      <c r="Q28" s="87">
        <v>2</v>
      </c>
      <c r="R28" s="87">
        <v>1.5</v>
      </c>
      <c r="S28" s="87">
        <v>1.3</v>
      </c>
      <c r="T28" s="87">
        <v>2.2000000000000002</v>
      </c>
      <c r="U28" s="87">
        <v>1.7</v>
      </c>
      <c r="V28" s="87"/>
      <c r="W28" s="87"/>
      <c r="X28" s="87">
        <v>2.5</v>
      </c>
      <c r="Y28" s="87">
        <v>1.3</v>
      </c>
      <c r="Z28" s="87">
        <v>3</v>
      </c>
      <c r="AA28" s="87">
        <v>1</v>
      </c>
      <c r="AB28" s="87">
        <v>3.1</v>
      </c>
      <c r="AC28" s="87"/>
      <c r="AD28" s="87"/>
      <c r="AE28" s="87">
        <v>2.9</v>
      </c>
      <c r="AF28" s="87"/>
      <c r="AG28" s="103">
        <f t="shared" si="0"/>
        <v>38.700000000000003</v>
      </c>
      <c r="AH28" s="48"/>
      <c r="AI28" s="48"/>
    </row>
    <row r="29" spans="1:35" s="44" customFormat="1" ht="18.75" customHeight="1" x14ac:dyDescent="0.35">
      <c r="A29" s="79" t="s">
        <v>89</v>
      </c>
      <c r="B29" s="87">
        <v>3.2</v>
      </c>
      <c r="C29" s="87">
        <v>4.5</v>
      </c>
      <c r="D29" s="87">
        <v>3.9</v>
      </c>
      <c r="E29" s="87">
        <v>3.2</v>
      </c>
      <c r="F29" s="87"/>
      <c r="G29" s="87">
        <v>3.9</v>
      </c>
      <c r="H29" s="87">
        <v>3.1</v>
      </c>
      <c r="I29" s="87">
        <v>2.8</v>
      </c>
      <c r="J29" s="87">
        <v>2.8</v>
      </c>
      <c r="K29" s="87">
        <v>2.5</v>
      </c>
      <c r="L29" s="87">
        <v>2</v>
      </c>
      <c r="M29" s="87">
        <v>3.7</v>
      </c>
      <c r="N29" s="87">
        <v>3</v>
      </c>
      <c r="O29" s="87">
        <v>2.9</v>
      </c>
      <c r="P29" s="87">
        <v>3</v>
      </c>
      <c r="Q29" s="87">
        <v>3.5</v>
      </c>
      <c r="R29" s="87">
        <v>3.7</v>
      </c>
      <c r="S29" s="87">
        <v>3</v>
      </c>
      <c r="T29" s="87">
        <v>4.8</v>
      </c>
      <c r="U29" s="87">
        <v>3.9</v>
      </c>
      <c r="V29" s="87">
        <v>3.9</v>
      </c>
      <c r="W29" s="87">
        <v>4.8</v>
      </c>
      <c r="X29" s="87">
        <v>3.7</v>
      </c>
      <c r="Y29" s="87">
        <v>3.9</v>
      </c>
      <c r="Z29" s="87">
        <v>3.6</v>
      </c>
      <c r="AA29" s="87">
        <v>2.5</v>
      </c>
      <c r="AB29" s="87">
        <v>3.1</v>
      </c>
      <c r="AC29" s="87">
        <v>2.5</v>
      </c>
      <c r="AD29" s="87">
        <v>2.2999999999999998</v>
      </c>
      <c r="AE29" s="87">
        <v>1.9</v>
      </c>
      <c r="AF29" s="87"/>
      <c r="AG29" s="103">
        <f t="shared" si="0"/>
        <v>95.6</v>
      </c>
      <c r="AH29" s="48"/>
      <c r="AI29" s="48"/>
    </row>
    <row r="30" spans="1:35" s="44" customFormat="1" ht="18.75" customHeight="1" x14ac:dyDescent="0.35">
      <c r="A30" s="79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79" t="s">
        <v>75</v>
      </c>
      <c r="B31" s="87"/>
      <c r="C31" s="87"/>
      <c r="D31" s="87">
        <v>1.2</v>
      </c>
      <c r="E31" s="87">
        <v>1</v>
      </c>
      <c r="F31" s="87">
        <v>1.5</v>
      </c>
      <c r="G31" s="87">
        <v>0.9</v>
      </c>
      <c r="H31" s="87">
        <v>0.6</v>
      </c>
      <c r="I31" s="87"/>
      <c r="J31" s="87">
        <v>2.7</v>
      </c>
      <c r="K31" s="87">
        <v>2.7</v>
      </c>
      <c r="L31" s="87">
        <v>1.8</v>
      </c>
      <c r="M31" s="87">
        <v>2.9</v>
      </c>
      <c r="N31" s="87">
        <v>2.4</v>
      </c>
      <c r="O31" s="87">
        <v>2.1</v>
      </c>
      <c r="P31" s="87"/>
      <c r="Q31" s="87">
        <v>1.4</v>
      </c>
      <c r="R31" s="87">
        <v>1.9</v>
      </c>
      <c r="S31" s="87">
        <v>1.9</v>
      </c>
      <c r="T31" s="87">
        <v>2</v>
      </c>
      <c r="U31" s="87">
        <v>0.3</v>
      </c>
      <c r="V31" s="87">
        <v>1.9</v>
      </c>
      <c r="W31" s="87"/>
      <c r="X31" s="87">
        <v>1</v>
      </c>
      <c r="Y31" s="87">
        <v>1.8</v>
      </c>
      <c r="Z31" s="87">
        <v>1.6</v>
      </c>
      <c r="AA31" s="87">
        <v>3</v>
      </c>
      <c r="AB31" s="87">
        <v>2</v>
      </c>
      <c r="AC31" s="87">
        <v>1.6</v>
      </c>
      <c r="AD31" s="87"/>
      <c r="AE31" s="87">
        <v>1</v>
      </c>
      <c r="AF31" s="87"/>
      <c r="AG31" s="103">
        <f t="shared" si="0"/>
        <v>41.2</v>
      </c>
      <c r="AH31" s="48"/>
      <c r="AI31" s="48"/>
    </row>
    <row r="32" spans="1:35" s="44" customFormat="1" ht="18.75" customHeight="1" x14ac:dyDescent="0.35">
      <c r="A32" s="79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79" t="s">
        <v>78</v>
      </c>
      <c r="B33" s="87">
        <v>1</v>
      </c>
      <c r="C33" s="87">
        <f>3.1+2</f>
        <v>5.0999999999999996</v>
      </c>
      <c r="D33" s="87">
        <v>3</v>
      </c>
      <c r="E33" s="87">
        <v>5</v>
      </c>
      <c r="F33" s="87">
        <v>3.1</v>
      </c>
      <c r="G33" s="87">
        <f>3+1.5</f>
        <v>4.5</v>
      </c>
      <c r="H33" s="87">
        <v>3</v>
      </c>
      <c r="I33" s="87">
        <v>5</v>
      </c>
      <c r="J33" s="87">
        <v>3.2</v>
      </c>
      <c r="K33" s="87">
        <v>3</v>
      </c>
      <c r="L33" s="87">
        <v>4</v>
      </c>
      <c r="M33" s="87">
        <v>4</v>
      </c>
      <c r="N33" s="87">
        <v>3</v>
      </c>
      <c r="O33" s="87">
        <v>4</v>
      </c>
      <c r="P33" s="87">
        <v>3</v>
      </c>
      <c r="Q33" s="87">
        <v>3</v>
      </c>
      <c r="R33" s="87">
        <v>4.5</v>
      </c>
      <c r="S33" s="87">
        <v>3</v>
      </c>
      <c r="T33" s="87">
        <v>5.0999999999999996</v>
      </c>
      <c r="U33" s="87">
        <v>1</v>
      </c>
      <c r="V33" s="87">
        <v>5</v>
      </c>
      <c r="W33" s="87">
        <v>4</v>
      </c>
      <c r="X33" s="87">
        <v>3</v>
      </c>
      <c r="Y33" s="87">
        <v>5</v>
      </c>
      <c r="Z33" s="87">
        <v>3</v>
      </c>
      <c r="AA33" s="87">
        <v>5.0999999999999996</v>
      </c>
      <c r="AB33" s="87">
        <v>3</v>
      </c>
      <c r="AC33" s="87">
        <v>5.0999999999999996</v>
      </c>
      <c r="AD33" s="87">
        <v>3</v>
      </c>
      <c r="AE33" s="87">
        <v>5</v>
      </c>
      <c r="AF33" s="87"/>
      <c r="AG33" s="103">
        <f t="shared" si="0"/>
        <v>111.69999999999999</v>
      </c>
      <c r="AH33" s="48"/>
      <c r="AI33" s="48"/>
    </row>
    <row r="34" spans="1:35" s="44" customFormat="1" ht="18.75" customHeight="1" x14ac:dyDescent="0.35">
      <c r="A34" s="79" t="s">
        <v>79</v>
      </c>
      <c r="B34" s="87">
        <v>1.5</v>
      </c>
      <c r="C34" s="87">
        <v>1</v>
      </c>
      <c r="D34" s="87">
        <v>0.8</v>
      </c>
      <c r="E34" s="87">
        <v>0.5</v>
      </c>
      <c r="F34" s="87">
        <v>0.9</v>
      </c>
      <c r="G34" s="87">
        <v>0.8</v>
      </c>
      <c r="H34" s="87">
        <v>0.5</v>
      </c>
      <c r="I34" s="87">
        <v>1</v>
      </c>
      <c r="J34" s="87">
        <v>0.9</v>
      </c>
      <c r="K34" s="87">
        <v>0.5</v>
      </c>
      <c r="L34" s="87">
        <v>1</v>
      </c>
      <c r="M34" s="87">
        <v>0.5</v>
      </c>
      <c r="N34" s="87">
        <v>0.9</v>
      </c>
      <c r="O34" s="87">
        <v>1</v>
      </c>
      <c r="P34" s="87">
        <v>0.8</v>
      </c>
      <c r="Q34" s="87">
        <v>0.5</v>
      </c>
      <c r="R34" s="87">
        <v>0.9</v>
      </c>
      <c r="S34" s="87">
        <v>1</v>
      </c>
      <c r="T34" s="87">
        <v>2</v>
      </c>
      <c r="U34" s="87">
        <v>0.8</v>
      </c>
      <c r="V34" s="87">
        <v>0.5</v>
      </c>
      <c r="W34" s="87">
        <v>0.8</v>
      </c>
      <c r="X34" s="87">
        <v>1</v>
      </c>
      <c r="Y34" s="87">
        <v>0.5</v>
      </c>
      <c r="Z34" s="87">
        <v>0.8</v>
      </c>
      <c r="AA34" s="87">
        <v>0.5</v>
      </c>
      <c r="AB34" s="87">
        <v>1</v>
      </c>
      <c r="AC34" s="87">
        <v>0.8</v>
      </c>
      <c r="AD34" s="87">
        <v>1</v>
      </c>
      <c r="AE34" s="87">
        <v>0.8</v>
      </c>
      <c r="AF34" s="87"/>
      <c r="AG34" s="103">
        <f t="shared" si="0"/>
        <v>25.500000000000004</v>
      </c>
      <c r="AH34" s="48"/>
      <c r="AI34" s="48"/>
    </row>
    <row r="35" spans="1:35" s="44" customFormat="1" ht="18.75" customHeight="1" x14ac:dyDescent="0.35">
      <c r="A35" s="79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79" t="s">
        <v>80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>
        <v>1</v>
      </c>
      <c r="S36" s="88">
        <v>1.1000000000000001</v>
      </c>
      <c r="T36" s="88">
        <v>1.3</v>
      </c>
      <c r="U36" s="88">
        <v>1.4</v>
      </c>
      <c r="V36" s="88">
        <v>2.2000000000000002</v>
      </c>
      <c r="W36" s="88">
        <v>1.3</v>
      </c>
      <c r="X36" s="88">
        <v>1</v>
      </c>
      <c r="Y36" s="88"/>
      <c r="Z36" s="88">
        <v>1.2</v>
      </c>
      <c r="AA36" s="88">
        <v>1.1000000000000001</v>
      </c>
      <c r="AB36" s="88">
        <v>1</v>
      </c>
      <c r="AC36" s="88">
        <v>1.1000000000000001</v>
      </c>
      <c r="AD36" s="88">
        <v>2.2000000000000002</v>
      </c>
      <c r="AE36" s="88">
        <v>4.8</v>
      </c>
      <c r="AF36" s="88"/>
      <c r="AG36" s="103">
        <f t="shared" si="0"/>
        <v>20.7</v>
      </c>
      <c r="AH36" s="48"/>
      <c r="AI36" s="48"/>
    </row>
    <row r="37" spans="1:35" s="44" customFormat="1" ht="18.75" customHeight="1" x14ac:dyDescent="0.35">
      <c r="A37" s="79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79" t="s">
        <v>81</v>
      </c>
      <c r="B38" s="88">
        <f>1.9+2.1+1.1</f>
        <v>5.0999999999999996</v>
      </c>
      <c r="C38" s="88">
        <f>2.1+2.3+1.9</f>
        <v>6.3000000000000007</v>
      </c>
      <c r="D38" s="88">
        <f>1+2.1+2.3</f>
        <v>5.4</v>
      </c>
      <c r="E38" s="88">
        <f>1.9+2.1+0.9</f>
        <v>4.9000000000000004</v>
      </c>
      <c r="F38" s="88">
        <f>0.8+1.1+0.9</f>
        <v>2.8000000000000003</v>
      </c>
      <c r="G38" s="88">
        <f>1.1+2+1.3</f>
        <v>4.4000000000000004</v>
      </c>
      <c r="H38" s="88">
        <f>0.7+0.9+1.3</f>
        <v>2.9000000000000004</v>
      </c>
      <c r="I38" s="88">
        <f>1.5+3.1+2.8</f>
        <v>7.3999999999999995</v>
      </c>
      <c r="J38" s="88">
        <f>1.5+2.1+3.1</f>
        <v>6.7</v>
      </c>
      <c r="K38" s="88">
        <f>3+1.9+0.8</f>
        <v>5.7</v>
      </c>
      <c r="L38" s="88">
        <f>1.9+1.1+2.1</f>
        <v>5.0999999999999996</v>
      </c>
      <c r="M38" s="88">
        <f>1.9+2.9+1.9</f>
        <v>6.6999999999999993</v>
      </c>
      <c r="N38" s="88">
        <f>1.9+2.1+3.1</f>
        <v>7.1</v>
      </c>
      <c r="O38" s="88">
        <f>1.9+2.1+1.8</f>
        <v>5.8</v>
      </c>
      <c r="P38" s="88">
        <f>1.8+1+2</f>
        <v>4.8</v>
      </c>
      <c r="Q38" s="88">
        <f>1.5+2.3+1.1</f>
        <v>4.9000000000000004</v>
      </c>
      <c r="R38" s="88">
        <f>3.1+2.1+1.1</f>
        <v>6.3000000000000007</v>
      </c>
      <c r="S38" s="88">
        <f>1.9+1.9+2.1</f>
        <v>5.9</v>
      </c>
      <c r="T38" s="88">
        <f>1.9+1.9+1.1</f>
        <v>4.9000000000000004</v>
      </c>
      <c r="U38" s="88">
        <f>1.9+1+2.1</f>
        <v>5</v>
      </c>
      <c r="V38" s="88">
        <f>1.9+2.1+1.9</f>
        <v>5.9</v>
      </c>
      <c r="W38" s="88">
        <f>2.1+2.8+2.3</f>
        <v>7.2</v>
      </c>
      <c r="X38" s="88">
        <f>1.8+1.2+1</f>
        <v>4</v>
      </c>
      <c r="Y38" s="88">
        <f>3.1+2.1+1.1</f>
        <v>6.3000000000000007</v>
      </c>
      <c r="Z38" s="88">
        <f>4.2+1.9+6.1</f>
        <v>12.2</v>
      </c>
      <c r="AA38" s="88">
        <f>1.2+2.2+4.1</f>
        <v>7.5</v>
      </c>
      <c r="AB38" s="88">
        <f>1.9+2.1+1.8</f>
        <v>5.8</v>
      </c>
      <c r="AC38" s="88">
        <f>0.9+1.9+2.1</f>
        <v>4.9000000000000004</v>
      </c>
      <c r="AD38" s="88">
        <f>1.9+2.1+1.5</f>
        <v>5.5</v>
      </c>
      <c r="AE38" s="88">
        <f>0.9+1.9+1.3</f>
        <v>4.0999999999999996</v>
      </c>
      <c r="AF38" s="88"/>
      <c r="AG38" s="103">
        <f t="shared" si="0"/>
        <v>171.50000000000003</v>
      </c>
      <c r="AH38" s="48"/>
      <c r="AI38" s="48"/>
    </row>
    <row r="39" spans="1:35" s="44" customFormat="1" ht="18.75" customHeight="1" x14ac:dyDescent="0.35">
      <c r="A39" s="79" t="s">
        <v>86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103">
        <f t="shared" si="0"/>
        <v>0</v>
      </c>
      <c r="AH39" s="48"/>
      <c r="AI39" s="48"/>
    </row>
    <row r="40" spans="1:35" s="44" customFormat="1" ht="18.75" customHeight="1" x14ac:dyDescent="0.35">
      <c r="A40" s="79" t="s">
        <v>82</v>
      </c>
      <c r="B40" s="88">
        <f>1.5+2</f>
        <v>3.5</v>
      </c>
      <c r="C40" s="88">
        <f>1.4+2.6</f>
        <v>4</v>
      </c>
      <c r="D40" s="88">
        <f>1.4+2+1.6</f>
        <v>5</v>
      </c>
      <c r="E40" s="88">
        <f>1.7+1.8+1.9</f>
        <v>5.4</v>
      </c>
      <c r="F40" s="88">
        <f>2+3.3+4</f>
        <v>9.3000000000000007</v>
      </c>
      <c r="G40" s="88">
        <f>2.6+1.8+1.7</f>
        <v>6.1000000000000005</v>
      </c>
      <c r="H40" s="88">
        <f>1.7+1.8+1.9</f>
        <v>5.4</v>
      </c>
      <c r="I40" s="88">
        <f>1.6+2.8+3</f>
        <v>7.4</v>
      </c>
      <c r="J40" s="88">
        <f>1.2+1.6+2.6</f>
        <v>5.4</v>
      </c>
      <c r="K40" s="88">
        <f>2.6+1.8+1</f>
        <v>5.4</v>
      </c>
      <c r="L40" s="88">
        <f>2.6+3.6+4</f>
        <v>10.199999999999999</v>
      </c>
      <c r="M40" s="88">
        <f>3.3+2.6+1.8</f>
        <v>7.7</v>
      </c>
      <c r="N40" s="88">
        <f>4+2.8+1.6</f>
        <v>8.4</v>
      </c>
      <c r="O40" s="88">
        <f>1.8+3.6+1.6</f>
        <v>7</v>
      </c>
      <c r="P40" s="88">
        <f>1.9+2+3.6</f>
        <v>7.5</v>
      </c>
      <c r="Q40" s="88">
        <f>3.3+2.8+1.7</f>
        <v>7.8</v>
      </c>
      <c r="R40" s="88">
        <f>1.5+2+1.7</f>
        <v>5.2</v>
      </c>
      <c r="S40" s="88">
        <f>1.7+2.3+3.3</f>
        <v>7.3</v>
      </c>
      <c r="T40" s="88">
        <f>3.6+2+1.5</f>
        <v>7.1</v>
      </c>
      <c r="U40" s="88">
        <f>1.5+2.6+1.7</f>
        <v>5.8</v>
      </c>
      <c r="V40" s="88">
        <f>1.9+1.8+1.8</f>
        <v>5.5</v>
      </c>
      <c r="W40" s="88">
        <f>1.5+3.3+3.6</f>
        <v>8.4</v>
      </c>
      <c r="X40" s="88">
        <f>1.4+1.7+1.8</f>
        <v>4.8999999999999995</v>
      </c>
      <c r="Y40" s="88">
        <f>2+3.3+3.6</f>
        <v>8.9</v>
      </c>
      <c r="Z40" s="88">
        <f>1.7+1.9+2.6</f>
        <v>6.1999999999999993</v>
      </c>
      <c r="AA40" s="88">
        <f>1.6+1.7+3.6</f>
        <v>6.9</v>
      </c>
      <c r="AB40" s="88">
        <f>2.6+2.8+1.7</f>
        <v>7.1000000000000005</v>
      </c>
      <c r="AC40" s="88">
        <f>2.6+1.7+1.8</f>
        <v>6.1</v>
      </c>
      <c r="AD40" s="88">
        <f>1.8+1.9+2.6</f>
        <v>6.3000000000000007</v>
      </c>
      <c r="AE40" s="88">
        <f>1.9+1.6+1.9</f>
        <v>5.4</v>
      </c>
      <c r="AF40" s="88"/>
      <c r="AG40" s="103">
        <f t="shared" si="0"/>
        <v>196.60000000000002</v>
      </c>
      <c r="AH40" s="48"/>
      <c r="AI40" s="48"/>
    </row>
    <row r="41" spans="1:35" s="44" customFormat="1" ht="18.75" customHeight="1" x14ac:dyDescent="0.35">
      <c r="A41" s="79" t="s">
        <v>178</v>
      </c>
      <c r="B41" s="88">
        <v>0.8</v>
      </c>
      <c r="C41" s="88">
        <v>0.3</v>
      </c>
      <c r="D41" s="88">
        <v>0.5</v>
      </c>
      <c r="E41" s="88">
        <v>0.4</v>
      </c>
      <c r="F41" s="88">
        <v>0.5</v>
      </c>
      <c r="G41" s="88">
        <v>0.8</v>
      </c>
      <c r="H41" s="88">
        <v>0.9</v>
      </c>
      <c r="I41" s="88">
        <v>0.4</v>
      </c>
      <c r="J41" s="88">
        <v>0.3</v>
      </c>
      <c r="K41" s="88">
        <v>0.8</v>
      </c>
      <c r="L41" s="88">
        <v>0.9</v>
      </c>
      <c r="M41" s="88">
        <v>0.6</v>
      </c>
      <c r="N41" s="88">
        <v>0.4</v>
      </c>
      <c r="O41" s="88">
        <v>0.5</v>
      </c>
      <c r="P41" s="88">
        <v>0.7</v>
      </c>
      <c r="Q41" s="88">
        <v>0.8</v>
      </c>
      <c r="R41" s="88">
        <v>0.9</v>
      </c>
      <c r="S41" s="88">
        <v>0.8</v>
      </c>
      <c r="T41" s="88">
        <v>0.8</v>
      </c>
      <c r="U41" s="88">
        <v>0.7</v>
      </c>
      <c r="V41" s="88">
        <v>0.6</v>
      </c>
      <c r="W41" s="88">
        <v>0.5</v>
      </c>
      <c r="X41" s="88">
        <v>0.4</v>
      </c>
      <c r="Y41" s="88">
        <v>0.2</v>
      </c>
      <c r="Z41" s="88">
        <v>0</v>
      </c>
      <c r="AA41" s="88">
        <v>0.5</v>
      </c>
      <c r="AB41" s="88">
        <v>0.8</v>
      </c>
      <c r="AC41" s="88">
        <v>0.2</v>
      </c>
      <c r="AD41" s="88">
        <v>0</v>
      </c>
      <c r="AE41" s="88">
        <v>0.1</v>
      </c>
      <c r="AF41" s="88">
        <v>0.4</v>
      </c>
      <c r="AG41" s="103">
        <f t="shared" si="0"/>
        <v>16.500000000000004</v>
      </c>
      <c r="AH41" s="48"/>
      <c r="AI41" s="48"/>
    </row>
    <row r="42" spans="1:35" s="44" customFormat="1" ht="18.75" customHeight="1" x14ac:dyDescent="0.35">
      <c r="A42" s="104" t="s">
        <v>155</v>
      </c>
      <c r="B42" s="87">
        <f>SUM(B3:B41)</f>
        <v>32.79999999999999</v>
      </c>
      <c r="C42" s="87">
        <f t="shared" ref="C42:AF42" si="1">SUM(C3:C41)</f>
        <v>43</v>
      </c>
      <c r="D42" s="87">
        <f t="shared" si="1"/>
        <v>40.099999999999994</v>
      </c>
      <c r="E42" s="87">
        <f t="shared" si="1"/>
        <v>41.3</v>
      </c>
      <c r="F42" s="87">
        <f t="shared" si="1"/>
        <v>39.700000000000003</v>
      </c>
      <c r="G42" s="87">
        <f t="shared" si="1"/>
        <v>43.499999999999993</v>
      </c>
      <c r="H42" s="87">
        <f t="shared" si="1"/>
        <v>34.5</v>
      </c>
      <c r="I42" s="87">
        <f t="shared" si="1"/>
        <v>40.4</v>
      </c>
      <c r="J42" s="87">
        <f t="shared" si="1"/>
        <v>45.199999999999996</v>
      </c>
      <c r="K42" s="87">
        <f t="shared" si="1"/>
        <v>44.199999999999996</v>
      </c>
      <c r="L42" s="87">
        <f t="shared" si="1"/>
        <v>46.699999999999996</v>
      </c>
      <c r="M42" s="87">
        <f t="shared" si="1"/>
        <v>43.000000000000007</v>
      </c>
      <c r="N42" s="87">
        <f t="shared" si="1"/>
        <v>48.5</v>
      </c>
      <c r="O42" s="87">
        <f t="shared" si="1"/>
        <v>42.3</v>
      </c>
      <c r="P42" s="87">
        <f t="shared" si="1"/>
        <v>34.800000000000004</v>
      </c>
      <c r="Q42" s="87">
        <f t="shared" si="1"/>
        <v>40.339999999999996</v>
      </c>
      <c r="R42" s="87">
        <f t="shared" si="1"/>
        <v>44.9</v>
      </c>
      <c r="S42" s="87">
        <f t="shared" si="1"/>
        <v>44.999999999999993</v>
      </c>
      <c r="T42" s="87">
        <f t="shared" si="1"/>
        <v>50.199999999999989</v>
      </c>
      <c r="U42" s="87">
        <f t="shared" si="1"/>
        <v>39</v>
      </c>
      <c r="V42" s="87">
        <f t="shared" si="1"/>
        <v>41.099999999999994</v>
      </c>
      <c r="W42" s="87">
        <f t="shared" si="1"/>
        <v>42.7</v>
      </c>
      <c r="X42" s="87">
        <f t="shared" si="1"/>
        <v>42.2</v>
      </c>
      <c r="Y42" s="87">
        <f t="shared" si="1"/>
        <v>47.6</v>
      </c>
      <c r="Z42" s="87">
        <f t="shared" si="1"/>
        <v>48</v>
      </c>
      <c r="AA42" s="87">
        <f t="shared" si="1"/>
        <v>45.4</v>
      </c>
      <c r="AB42" s="87">
        <f t="shared" si="1"/>
        <v>43.800000000000004</v>
      </c>
      <c r="AC42" s="87">
        <f t="shared" si="1"/>
        <v>35.20000000000001</v>
      </c>
      <c r="AD42" s="87">
        <f t="shared" si="1"/>
        <v>35.1</v>
      </c>
      <c r="AE42" s="87">
        <f t="shared" si="1"/>
        <v>44</v>
      </c>
      <c r="AF42" s="87">
        <f t="shared" si="1"/>
        <v>0.4</v>
      </c>
      <c r="AG42" s="105">
        <f>SUM(B42:AF42)</f>
        <v>1264.94</v>
      </c>
      <c r="AH42" s="57"/>
      <c r="AI42" s="57"/>
    </row>
    <row r="43" spans="1:35" s="2" customFormat="1" x14ac:dyDescent="0.25">
      <c r="AG43" s="24">
        <f>SUM(AG3:AG40)</f>
        <v>1248.44</v>
      </c>
    </row>
    <row r="44" spans="1:35" s="2" customFormat="1" x14ac:dyDescent="0.25"/>
    <row r="45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workbookViewId="0">
      <selection sqref="A1:AG1"/>
    </sheetView>
  </sheetViews>
  <sheetFormatPr baseColWidth="10" defaultRowHeight="15" x14ac:dyDescent="0.25"/>
  <cols>
    <col min="1" max="1" width="57.7109375" bestFit="1" customWidth="1"/>
    <col min="2" max="32" width="6.1406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27.75" customHeight="1" x14ac:dyDescent="0.35">
      <c r="A4" s="63" t="s">
        <v>94</v>
      </c>
      <c r="B4" s="85">
        <v>1.8</v>
      </c>
      <c r="C4" s="85">
        <v>2.2000000000000002</v>
      </c>
      <c r="D4" s="85">
        <v>1.8</v>
      </c>
      <c r="E4" s="85">
        <v>0.9</v>
      </c>
      <c r="F4" s="85"/>
      <c r="G4" s="85"/>
      <c r="H4" s="85">
        <v>2.1</v>
      </c>
      <c r="I4" s="86">
        <v>1.7</v>
      </c>
      <c r="J4" s="85">
        <v>2.1</v>
      </c>
      <c r="K4" s="86">
        <v>1.7</v>
      </c>
      <c r="L4" s="85">
        <v>2.4</v>
      </c>
      <c r="M4" s="86"/>
      <c r="N4" s="85"/>
      <c r="O4" s="85"/>
      <c r="P4" s="86">
        <v>1.3</v>
      </c>
      <c r="Q4" s="85">
        <v>2</v>
      </c>
      <c r="R4" s="85">
        <v>1.7</v>
      </c>
      <c r="S4" s="86">
        <v>0.9</v>
      </c>
      <c r="T4" s="86"/>
      <c r="U4" s="86"/>
      <c r="V4" s="86">
        <v>2.9</v>
      </c>
      <c r="W4" s="85">
        <v>2.1</v>
      </c>
      <c r="X4" s="85">
        <v>0.8</v>
      </c>
      <c r="Y4" s="85">
        <v>2.1</v>
      </c>
      <c r="Z4" s="85">
        <v>1.3</v>
      </c>
      <c r="AA4" s="85"/>
      <c r="AB4" s="85"/>
      <c r="AC4" s="85">
        <v>1.9</v>
      </c>
      <c r="AD4" s="85">
        <v>0.7</v>
      </c>
      <c r="AE4" s="85">
        <v>1.8</v>
      </c>
      <c r="AF4" s="85">
        <v>2.5</v>
      </c>
      <c r="AG4" s="103">
        <f t="shared" ref="AG4:AG41" si="0">SUM(B4:AF4)</f>
        <v>38.700000000000003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>
        <v>4</v>
      </c>
      <c r="C8" s="87">
        <v>4.2</v>
      </c>
      <c r="D8" s="87">
        <v>4.5</v>
      </c>
      <c r="E8" s="87">
        <v>6</v>
      </c>
      <c r="F8" s="87">
        <v>5.5</v>
      </c>
      <c r="G8" s="87">
        <v>5</v>
      </c>
      <c r="H8" s="87">
        <v>5.2</v>
      </c>
      <c r="I8" s="87">
        <v>5.4</v>
      </c>
      <c r="J8" s="87">
        <v>4.9000000000000004</v>
      </c>
      <c r="K8" s="87">
        <v>4.8</v>
      </c>
      <c r="L8" s="87">
        <v>8</v>
      </c>
      <c r="M8" s="87">
        <v>6</v>
      </c>
      <c r="N8" s="87">
        <v>5.5</v>
      </c>
      <c r="O8" s="87">
        <v>5</v>
      </c>
      <c r="P8" s="87">
        <v>6</v>
      </c>
      <c r="Q8" s="87">
        <v>3</v>
      </c>
      <c r="R8" s="87">
        <v>3</v>
      </c>
      <c r="S8" s="87">
        <v>3</v>
      </c>
      <c r="T8" s="87">
        <v>3.5</v>
      </c>
      <c r="U8" s="87">
        <v>4</v>
      </c>
      <c r="V8" s="87">
        <v>5</v>
      </c>
      <c r="W8" s="87">
        <v>4</v>
      </c>
      <c r="X8" s="87">
        <v>5.5</v>
      </c>
      <c r="Y8" s="87">
        <v>4.8</v>
      </c>
      <c r="Z8" s="87">
        <v>4</v>
      </c>
      <c r="AA8" s="87">
        <v>4.2</v>
      </c>
      <c r="AB8" s="87">
        <v>4</v>
      </c>
      <c r="AC8" s="87">
        <v>4.8</v>
      </c>
      <c r="AD8" s="87">
        <v>4.2</v>
      </c>
      <c r="AE8" s="87">
        <v>5</v>
      </c>
      <c r="AF8" s="87">
        <v>4.2</v>
      </c>
      <c r="AG8" s="103">
        <f t="shared" si="0"/>
        <v>146.19999999999999</v>
      </c>
      <c r="AH8" s="48"/>
      <c r="AI8" s="48"/>
    </row>
    <row r="9" spans="1:35" s="44" customFormat="1" ht="18.75" customHeight="1" x14ac:dyDescent="0.35">
      <c r="A9" s="60" t="s">
        <v>65</v>
      </c>
      <c r="B9" s="87">
        <f>4+3.6</f>
        <v>7.6</v>
      </c>
      <c r="C9" s="87">
        <f>3.5+2.9</f>
        <v>6.4</v>
      </c>
      <c r="D9" s="87">
        <f>3.3+2.8</f>
        <v>6.1</v>
      </c>
      <c r="E9" s="87">
        <f>4+3.5</f>
        <v>7.5</v>
      </c>
      <c r="F9" s="87">
        <f>2.1+2.5</f>
        <v>4.5999999999999996</v>
      </c>
      <c r="G9" s="87">
        <f>3.4+2.8</f>
        <v>6.1999999999999993</v>
      </c>
      <c r="H9" s="87">
        <f>3.5+3</f>
        <v>6.5</v>
      </c>
      <c r="I9" s="87">
        <f>3.5+3.6</f>
        <v>7.1</v>
      </c>
      <c r="J9" s="87">
        <f>3.2+4</f>
        <v>7.2</v>
      </c>
      <c r="K9" s="87">
        <f>2.5+2.1</f>
        <v>4.5999999999999996</v>
      </c>
      <c r="L9" s="87">
        <f>3.5+3.2</f>
        <v>6.7</v>
      </c>
      <c r="M9" s="87">
        <f>2.9+3</f>
        <v>5.9</v>
      </c>
      <c r="N9" s="87">
        <f>4+3.2</f>
        <v>7.2</v>
      </c>
      <c r="O9" s="87">
        <f>3.2+2.9</f>
        <v>6.1</v>
      </c>
      <c r="P9" s="87">
        <f>3+2.1</f>
        <v>5.0999999999999996</v>
      </c>
      <c r="Q9" s="87">
        <f>3.3+2.8</f>
        <v>6.1</v>
      </c>
      <c r="R9" s="87">
        <f>3.8+2.9</f>
        <v>6.6999999999999993</v>
      </c>
      <c r="S9" s="87">
        <f>4.9+3.2</f>
        <v>8.1000000000000014</v>
      </c>
      <c r="T9" s="87">
        <f>3.7+2.9</f>
        <v>6.6</v>
      </c>
      <c r="U9" s="87">
        <f>3.3+2.8</f>
        <v>6.1</v>
      </c>
      <c r="V9" s="87">
        <f>3.2+4.2</f>
        <v>7.4</v>
      </c>
      <c r="W9" s="87">
        <f>3.9+2.5</f>
        <v>6.4</v>
      </c>
      <c r="X9" s="87">
        <f>4.1+3.9</f>
        <v>8</v>
      </c>
      <c r="Y9" s="87">
        <f>4.2+3.9</f>
        <v>8.1</v>
      </c>
      <c r="Z9" s="87">
        <f>3.3+3.7</f>
        <v>7</v>
      </c>
      <c r="AA9" s="87">
        <f>5.5+3</f>
        <v>8.5</v>
      </c>
      <c r="AB9" s="87">
        <f>4.3+2.9</f>
        <v>7.1999999999999993</v>
      </c>
      <c r="AC9" s="87">
        <f>3.2+3.9</f>
        <v>7.1</v>
      </c>
      <c r="AD9" s="87">
        <f>4.1+4.3</f>
        <v>8.3999999999999986</v>
      </c>
      <c r="AE9" s="87">
        <f>3.2+3</f>
        <v>6.2</v>
      </c>
      <c r="AF9" s="87">
        <f>3.1+3.4</f>
        <v>6.5</v>
      </c>
      <c r="AG9" s="103">
        <f t="shared" si="0"/>
        <v>209.2</v>
      </c>
      <c r="AH9" s="48"/>
      <c r="AI9" s="48"/>
    </row>
    <row r="10" spans="1:35" s="44" customFormat="1" ht="18.75" customHeight="1" x14ac:dyDescent="0.35">
      <c r="A10" s="60" t="s">
        <v>66</v>
      </c>
      <c r="B10" s="88">
        <v>1.1000000000000001</v>
      </c>
      <c r="C10" s="88">
        <v>4.2</v>
      </c>
      <c r="D10" s="88">
        <v>3</v>
      </c>
      <c r="E10" s="88">
        <v>5.2</v>
      </c>
      <c r="F10" s="88">
        <v>6.1</v>
      </c>
      <c r="G10" s="88">
        <v>2.2000000000000002</v>
      </c>
      <c r="H10" s="88"/>
      <c r="I10" s="88"/>
      <c r="J10" s="88">
        <v>0.5</v>
      </c>
      <c r="K10" s="88">
        <v>0.9</v>
      </c>
      <c r="L10" s="88">
        <v>1</v>
      </c>
      <c r="M10" s="88">
        <v>0.3</v>
      </c>
      <c r="N10" s="88">
        <v>0.2</v>
      </c>
      <c r="O10" s="88">
        <v>0.4</v>
      </c>
      <c r="P10" s="88">
        <v>0.5</v>
      </c>
      <c r="Q10" s="88">
        <v>0.8</v>
      </c>
      <c r="R10" s="88">
        <v>0.3</v>
      </c>
      <c r="S10" s="88">
        <v>0.6</v>
      </c>
      <c r="T10" s="88">
        <v>0.8</v>
      </c>
      <c r="U10" s="88">
        <v>0.9</v>
      </c>
      <c r="V10" s="88">
        <v>0.2</v>
      </c>
      <c r="W10" s="88">
        <v>0.4</v>
      </c>
      <c r="X10" s="88">
        <v>0.5</v>
      </c>
      <c r="Y10" s="88">
        <v>0.9</v>
      </c>
      <c r="Z10" s="88">
        <v>0.9</v>
      </c>
      <c r="AA10" s="88">
        <v>1.1000000000000001</v>
      </c>
      <c r="AB10" s="88">
        <v>1.3</v>
      </c>
      <c r="AC10" s="88">
        <v>0.9</v>
      </c>
      <c r="AD10" s="88">
        <v>0.8</v>
      </c>
      <c r="AE10" s="88">
        <v>3.1</v>
      </c>
      <c r="AF10" s="88"/>
      <c r="AG10" s="103">
        <f t="shared" si="0"/>
        <v>39.099999999999987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2.2999999999999998</v>
      </c>
      <c r="C11" s="87">
        <v>1.5</v>
      </c>
      <c r="D11" s="87">
        <v>1.3</v>
      </c>
      <c r="E11" s="87">
        <v>1</v>
      </c>
      <c r="F11" s="87">
        <v>1.6</v>
      </c>
      <c r="G11" s="87">
        <v>1.9</v>
      </c>
      <c r="H11" s="87">
        <v>2</v>
      </c>
      <c r="I11" s="87">
        <v>2.1</v>
      </c>
      <c r="J11" s="87">
        <v>2.1</v>
      </c>
      <c r="K11" s="87">
        <v>2</v>
      </c>
      <c r="L11" s="87">
        <v>1.9</v>
      </c>
      <c r="M11" s="87">
        <v>1.3</v>
      </c>
      <c r="N11" s="87">
        <v>1.5</v>
      </c>
      <c r="O11" s="87">
        <v>1.9</v>
      </c>
      <c r="P11" s="87">
        <v>2</v>
      </c>
      <c r="Q11" s="87">
        <v>1.3</v>
      </c>
      <c r="R11" s="87">
        <v>1</v>
      </c>
      <c r="S11" s="87">
        <v>1.6</v>
      </c>
      <c r="T11" s="87">
        <v>1.4</v>
      </c>
      <c r="U11" s="87">
        <v>1.1000000000000001</v>
      </c>
      <c r="V11" s="87">
        <v>1.7</v>
      </c>
      <c r="W11" s="87">
        <v>1</v>
      </c>
      <c r="X11" s="87">
        <v>2</v>
      </c>
      <c r="Y11" s="87">
        <v>1.3</v>
      </c>
      <c r="Z11" s="87">
        <v>1</v>
      </c>
      <c r="AA11" s="87">
        <v>1.4</v>
      </c>
      <c r="AB11" s="87">
        <v>1.3</v>
      </c>
      <c r="AC11" s="87">
        <v>1.2</v>
      </c>
      <c r="AD11" s="87">
        <v>1.3</v>
      </c>
      <c r="AE11" s="87">
        <v>1.2</v>
      </c>
      <c r="AF11" s="87">
        <v>1.3</v>
      </c>
      <c r="AG11" s="103">
        <f t="shared" si="0"/>
        <v>47.499999999999993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0.9</v>
      </c>
      <c r="C16" s="87">
        <v>1.7</v>
      </c>
      <c r="D16" s="87">
        <v>1.3</v>
      </c>
      <c r="E16" s="87">
        <v>1.9</v>
      </c>
      <c r="F16" s="87">
        <v>1.3</v>
      </c>
      <c r="G16" s="87">
        <v>0.9</v>
      </c>
      <c r="H16" s="87">
        <v>0.7</v>
      </c>
      <c r="I16" s="87">
        <v>1.3</v>
      </c>
      <c r="J16" s="87">
        <v>0.9</v>
      </c>
      <c r="K16" s="87">
        <v>1.1000000000000001</v>
      </c>
      <c r="L16" s="87">
        <v>1.3</v>
      </c>
      <c r="M16" s="87">
        <v>1.1000000000000001</v>
      </c>
      <c r="N16" s="87">
        <v>0.9</v>
      </c>
      <c r="O16" s="87">
        <v>5.3</v>
      </c>
      <c r="P16" s="87">
        <v>1.9</v>
      </c>
      <c r="Q16" s="87">
        <v>3.4</v>
      </c>
      <c r="R16" s="87">
        <v>3.4</v>
      </c>
      <c r="S16" s="87">
        <v>1.9</v>
      </c>
      <c r="T16" s="87">
        <v>2.5</v>
      </c>
      <c r="U16" s="87">
        <v>4.2</v>
      </c>
      <c r="V16" s="87">
        <v>3.1</v>
      </c>
      <c r="W16" s="87">
        <v>2.8</v>
      </c>
      <c r="X16" s="87">
        <v>3.1</v>
      </c>
      <c r="Y16" s="87">
        <v>4.2</v>
      </c>
      <c r="Z16" s="87">
        <v>4.3</v>
      </c>
      <c r="AA16" s="87">
        <v>5.0999999999999996</v>
      </c>
      <c r="AB16" s="87">
        <v>3.1</v>
      </c>
      <c r="AC16" s="87">
        <v>3.3</v>
      </c>
      <c r="AD16" s="87">
        <v>1.9</v>
      </c>
      <c r="AE16" s="87">
        <v>2.1</v>
      </c>
      <c r="AF16" s="87">
        <v>4.3</v>
      </c>
      <c r="AG16" s="103">
        <f t="shared" si="0"/>
        <v>75.2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>
        <v>1.5</v>
      </c>
      <c r="C19" s="66">
        <v>2</v>
      </c>
      <c r="D19" s="66">
        <v>1.5</v>
      </c>
      <c r="E19" s="66">
        <v>1.8</v>
      </c>
      <c r="F19" s="66">
        <v>2.6</v>
      </c>
      <c r="G19" s="66"/>
      <c r="H19" s="66">
        <v>2</v>
      </c>
      <c r="I19" s="66">
        <v>1.3</v>
      </c>
      <c r="J19" s="66">
        <v>1.1000000000000001</v>
      </c>
      <c r="K19" s="66">
        <v>2</v>
      </c>
      <c r="L19" s="66">
        <v>1.5</v>
      </c>
      <c r="M19" s="66">
        <v>4.5</v>
      </c>
      <c r="N19" s="66"/>
      <c r="O19" s="66"/>
      <c r="P19" s="66">
        <v>3</v>
      </c>
      <c r="Q19" s="66">
        <v>3.8</v>
      </c>
      <c r="R19" s="66">
        <v>3.9</v>
      </c>
      <c r="S19" s="66">
        <v>2.8</v>
      </c>
      <c r="T19" s="66">
        <v>3.6</v>
      </c>
      <c r="U19" s="66"/>
      <c r="V19" s="66">
        <v>3.9</v>
      </c>
      <c r="W19" s="66">
        <v>2.7</v>
      </c>
      <c r="X19" s="66">
        <v>3.9</v>
      </c>
      <c r="Y19" s="66"/>
      <c r="Z19" s="66">
        <v>3.7</v>
      </c>
      <c r="AA19" s="66">
        <v>4</v>
      </c>
      <c r="AB19" s="66"/>
      <c r="AC19" s="66">
        <v>3.4</v>
      </c>
      <c r="AD19" s="66">
        <v>3.7</v>
      </c>
      <c r="AE19" s="66">
        <v>4</v>
      </c>
      <c r="AF19" s="66">
        <v>3.8</v>
      </c>
      <c r="AG19" s="103">
        <f t="shared" si="0"/>
        <v>72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>
        <v>1</v>
      </c>
      <c r="C23" s="87">
        <v>1.3</v>
      </c>
      <c r="D23" s="87">
        <v>1</v>
      </c>
      <c r="E23" s="87">
        <v>0.9</v>
      </c>
      <c r="F23" s="87">
        <v>0.8</v>
      </c>
      <c r="G23" s="87">
        <v>0.9</v>
      </c>
      <c r="H23" s="87">
        <v>1</v>
      </c>
      <c r="I23" s="87">
        <v>1.1000000000000001</v>
      </c>
      <c r="J23" s="87">
        <v>0.6</v>
      </c>
      <c r="K23" s="87">
        <v>0.8</v>
      </c>
      <c r="L23" s="87">
        <v>1.2</v>
      </c>
      <c r="M23" s="87">
        <v>1.1000000000000001</v>
      </c>
      <c r="N23" s="87">
        <v>1.6</v>
      </c>
      <c r="O23" s="87">
        <v>1.2</v>
      </c>
      <c r="P23" s="87">
        <v>1.3</v>
      </c>
      <c r="Q23" s="87">
        <v>1.2</v>
      </c>
      <c r="R23" s="87">
        <v>2.2000000000000002</v>
      </c>
      <c r="S23" s="87">
        <v>1.2</v>
      </c>
      <c r="T23" s="87">
        <v>1.3</v>
      </c>
      <c r="U23" s="87">
        <v>1.1000000000000001</v>
      </c>
      <c r="V23" s="87">
        <v>0.9</v>
      </c>
      <c r="W23" s="87">
        <v>0.6</v>
      </c>
      <c r="X23" s="87">
        <v>0.5</v>
      </c>
      <c r="Y23" s="88">
        <v>1.9</v>
      </c>
      <c r="Z23" s="88">
        <v>0.9</v>
      </c>
      <c r="AA23" s="88">
        <v>0.8</v>
      </c>
      <c r="AB23" s="88">
        <v>0.9</v>
      </c>
      <c r="AC23" s="88">
        <v>0.9</v>
      </c>
      <c r="AD23" s="88">
        <v>1.2</v>
      </c>
      <c r="AE23" s="88">
        <v>1.3</v>
      </c>
      <c r="AF23" s="88">
        <v>0.9</v>
      </c>
      <c r="AG23" s="103">
        <f t="shared" si="0"/>
        <v>33.599999999999994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1.2</v>
      </c>
      <c r="C24" s="87">
        <v>2.1</v>
      </c>
      <c r="D24" s="87">
        <v>3.2</v>
      </c>
      <c r="E24" s="87">
        <v>3.1</v>
      </c>
      <c r="F24" s="87">
        <v>2.2999999999999998</v>
      </c>
      <c r="G24" s="87">
        <v>1.5</v>
      </c>
      <c r="H24" s="87">
        <v>2.5</v>
      </c>
      <c r="I24" s="87">
        <v>2.4</v>
      </c>
      <c r="J24" s="87">
        <v>2.1</v>
      </c>
      <c r="K24" s="87">
        <v>1.8</v>
      </c>
      <c r="L24" s="87">
        <v>2.4</v>
      </c>
      <c r="M24" s="87">
        <v>2.2999999999999998</v>
      </c>
      <c r="N24" s="87">
        <v>0.4</v>
      </c>
      <c r="O24" s="87">
        <v>2.1</v>
      </c>
      <c r="P24" s="87">
        <v>2.1</v>
      </c>
      <c r="Q24" s="87">
        <v>2.2999999999999998</v>
      </c>
      <c r="R24" s="87">
        <v>2.1</v>
      </c>
      <c r="S24" s="87">
        <v>3.2</v>
      </c>
      <c r="T24" s="87">
        <v>1.5</v>
      </c>
      <c r="U24" s="87">
        <v>3.2</v>
      </c>
      <c r="V24" s="87">
        <v>2.1</v>
      </c>
      <c r="W24" s="87">
        <v>3.2</v>
      </c>
      <c r="X24" s="87">
        <v>3.5</v>
      </c>
      <c r="Y24" s="87">
        <v>1.9</v>
      </c>
      <c r="Z24" s="87">
        <v>2.1</v>
      </c>
      <c r="AA24" s="87">
        <v>3.2</v>
      </c>
      <c r="AB24" s="87">
        <v>1.5</v>
      </c>
      <c r="AC24" s="87">
        <v>3.2</v>
      </c>
      <c r="AD24" s="87">
        <v>2.1</v>
      </c>
      <c r="AE24" s="87">
        <v>3.2</v>
      </c>
      <c r="AF24" s="87">
        <v>2.1</v>
      </c>
      <c r="AG24" s="103">
        <f t="shared" si="0"/>
        <v>71.900000000000006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>
        <v>1.9</v>
      </c>
      <c r="C26" s="87">
        <v>2</v>
      </c>
      <c r="D26" s="87">
        <v>1.3</v>
      </c>
      <c r="E26" s="87">
        <v>1.4</v>
      </c>
      <c r="F26" s="87">
        <v>1.9</v>
      </c>
      <c r="G26" s="87"/>
      <c r="H26" s="87">
        <v>1.6</v>
      </c>
      <c r="I26" s="87">
        <v>1</v>
      </c>
      <c r="J26" s="87">
        <v>1.4</v>
      </c>
      <c r="K26" s="87">
        <v>2.7</v>
      </c>
      <c r="L26" s="87">
        <v>2</v>
      </c>
      <c r="M26" s="87">
        <v>1.4</v>
      </c>
      <c r="N26" s="87"/>
      <c r="O26" s="87"/>
      <c r="P26" s="87">
        <v>1.6</v>
      </c>
      <c r="Q26" s="87">
        <v>2.1</v>
      </c>
      <c r="R26" s="87">
        <v>1.7</v>
      </c>
      <c r="S26" s="87">
        <v>2.7</v>
      </c>
      <c r="T26" s="87">
        <v>2.6</v>
      </c>
      <c r="U26" s="87"/>
      <c r="V26" s="87">
        <v>2.7</v>
      </c>
      <c r="W26" s="87">
        <v>2.5</v>
      </c>
      <c r="X26" s="87">
        <v>2.2999999999999998</v>
      </c>
      <c r="Y26" s="87">
        <v>1.9</v>
      </c>
      <c r="Z26" s="87">
        <v>2.5</v>
      </c>
      <c r="AA26" s="87">
        <v>3.5</v>
      </c>
      <c r="AB26" s="87"/>
      <c r="AC26" s="87">
        <v>3</v>
      </c>
      <c r="AD26" s="87">
        <v>2.8</v>
      </c>
      <c r="AE26" s="87">
        <v>3.9</v>
      </c>
      <c r="AF26" s="87">
        <v>2.9</v>
      </c>
      <c r="AG26" s="103">
        <f t="shared" si="0"/>
        <v>57.29999999999999</v>
      </c>
      <c r="AH26" s="48"/>
      <c r="AI26" s="48"/>
    </row>
    <row r="27" spans="1:35" s="44" customFormat="1" ht="18.75" customHeight="1" x14ac:dyDescent="0.35">
      <c r="A27" s="60" t="s">
        <v>73</v>
      </c>
      <c r="B27" s="87">
        <v>2.9</v>
      </c>
      <c r="C27" s="87">
        <v>2.2000000000000002</v>
      </c>
      <c r="D27" s="87">
        <v>1.4</v>
      </c>
      <c r="E27" s="87">
        <v>2</v>
      </c>
      <c r="F27" s="87"/>
      <c r="G27" s="87"/>
      <c r="H27" s="87">
        <v>1.4</v>
      </c>
      <c r="I27" s="87">
        <v>2.1</v>
      </c>
      <c r="J27" s="87">
        <v>2.9</v>
      </c>
      <c r="K27" s="87">
        <v>2.2000000000000002</v>
      </c>
      <c r="L27" s="87">
        <v>2.1</v>
      </c>
      <c r="M27" s="87"/>
      <c r="N27" s="87"/>
      <c r="O27" s="87"/>
      <c r="P27" s="87">
        <v>1.2</v>
      </c>
      <c r="Q27" s="87">
        <v>2.1</v>
      </c>
      <c r="R27" s="87">
        <v>2.1</v>
      </c>
      <c r="S27" s="87"/>
      <c r="T27" s="87"/>
      <c r="U27" s="87"/>
      <c r="V27" s="87">
        <v>2.2000000000000002</v>
      </c>
      <c r="W27" s="87">
        <v>2.7</v>
      </c>
      <c r="X27" s="87">
        <v>2.4</v>
      </c>
      <c r="Y27" s="87">
        <v>2.9</v>
      </c>
      <c r="Z27" s="87">
        <v>2.9</v>
      </c>
      <c r="AA27" s="87"/>
      <c r="AB27" s="87"/>
      <c r="AC27" s="87">
        <v>3.1</v>
      </c>
      <c r="AD27" s="87">
        <v>3.1</v>
      </c>
      <c r="AE27" s="87">
        <v>2.2000000000000002</v>
      </c>
      <c r="AF27" s="87"/>
      <c r="AG27" s="103">
        <f t="shared" si="0"/>
        <v>46.100000000000009</v>
      </c>
      <c r="AH27" s="48"/>
      <c r="AI27" s="48"/>
    </row>
    <row r="28" spans="1:35" s="44" customFormat="1" ht="18.75" customHeight="1" x14ac:dyDescent="0.35">
      <c r="A28" s="60" t="s">
        <v>92</v>
      </c>
      <c r="B28" s="87">
        <v>2.5</v>
      </c>
      <c r="C28" s="87">
        <v>2</v>
      </c>
      <c r="D28" s="87">
        <v>1.9</v>
      </c>
      <c r="E28" s="87">
        <v>2</v>
      </c>
      <c r="F28" s="87"/>
      <c r="G28" s="87"/>
      <c r="H28" s="87">
        <v>1.5</v>
      </c>
      <c r="I28" s="87">
        <v>2.5</v>
      </c>
      <c r="J28" s="87">
        <v>1.5</v>
      </c>
      <c r="K28" s="87">
        <v>2.2000000000000002</v>
      </c>
      <c r="L28" s="87">
        <v>2.1</v>
      </c>
      <c r="M28" s="87"/>
      <c r="N28" s="87"/>
      <c r="O28" s="87"/>
      <c r="P28" s="87">
        <v>1.1000000000000001</v>
      </c>
      <c r="Q28" s="87">
        <v>2</v>
      </c>
      <c r="R28" s="87">
        <v>2.2999999999999998</v>
      </c>
      <c r="S28" s="87">
        <v>2.2000000000000002</v>
      </c>
      <c r="T28" s="87"/>
      <c r="U28" s="87"/>
      <c r="V28" s="87">
        <v>2.1</v>
      </c>
      <c r="W28" s="87">
        <v>2.7</v>
      </c>
      <c r="X28" s="87">
        <v>2.4</v>
      </c>
      <c r="Y28" s="87">
        <v>2.9</v>
      </c>
      <c r="Z28" s="87">
        <v>1.1000000000000001</v>
      </c>
      <c r="AA28" s="87"/>
      <c r="AB28" s="87"/>
      <c r="AC28" s="87">
        <v>3</v>
      </c>
      <c r="AD28" s="87">
        <v>2.4</v>
      </c>
      <c r="AE28" s="87">
        <v>2.9</v>
      </c>
      <c r="AF28" s="87"/>
      <c r="AG28" s="103">
        <f t="shared" si="0"/>
        <v>45.300000000000004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v>3.9</v>
      </c>
      <c r="C29" s="87">
        <v>3</v>
      </c>
      <c r="D29" s="87">
        <v>3.9</v>
      </c>
      <c r="E29" s="87">
        <v>4</v>
      </c>
      <c r="F29" s="87">
        <v>3.9</v>
      </c>
      <c r="G29" s="87">
        <v>4</v>
      </c>
      <c r="H29" s="87">
        <v>3</v>
      </c>
      <c r="I29" s="87">
        <v>4</v>
      </c>
      <c r="J29" s="87">
        <v>3.9</v>
      </c>
      <c r="K29" s="87">
        <v>3</v>
      </c>
      <c r="L29" s="87">
        <v>3.6</v>
      </c>
      <c r="M29" s="87">
        <v>1.9</v>
      </c>
      <c r="N29" s="87">
        <v>4.3</v>
      </c>
      <c r="O29" s="87">
        <v>1.9</v>
      </c>
      <c r="P29" s="87">
        <v>2.2000000000000002</v>
      </c>
      <c r="Q29" s="87">
        <v>2.5</v>
      </c>
      <c r="R29" s="87">
        <v>3.3</v>
      </c>
      <c r="S29" s="87">
        <v>4.0999999999999996</v>
      </c>
      <c r="T29" s="87">
        <v>5.0999999999999996</v>
      </c>
      <c r="U29" s="87">
        <v>1.9</v>
      </c>
      <c r="V29" s="87">
        <v>2.2999999999999998</v>
      </c>
      <c r="W29" s="87">
        <v>3.1</v>
      </c>
      <c r="X29" s="87">
        <v>5.3</v>
      </c>
      <c r="Y29" s="87">
        <v>1.9</v>
      </c>
      <c r="Z29" s="87">
        <v>3.1</v>
      </c>
      <c r="AA29" s="87">
        <v>1.9</v>
      </c>
      <c r="AB29" s="87">
        <v>2.2999999999999998</v>
      </c>
      <c r="AC29" s="87">
        <v>2.5</v>
      </c>
      <c r="AD29" s="87">
        <v>2.2999999999999998</v>
      </c>
      <c r="AE29" s="87">
        <v>3.1</v>
      </c>
      <c r="AF29" s="87">
        <v>2.9</v>
      </c>
      <c r="AG29" s="103">
        <f t="shared" si="0"/>
        <v>98.1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/>
      <c r="C31" s="87">
        <v>0.7</v>
      </c>
      <c r="D31" s="87">
        <v>0.3</v>
      </c>
      <c r="E31" s="87">
        <v>0.4</v>
      </c>
      <c r="F31" s="87">
        <v>1.5</v>
      </c>
      <c r="G31" s="87"/>
      <c r="H31" s="87">
        <v>0.4</v>
      </c>
      <c r="I31" s="87">
        <v>1</v>
      </c>
      <c r="J31" s="87">
        <v>1.2</v>
      </c>
      <c r="K31" s="87">
        <v>0.9</v>
      </c>
      <c r="L31" s="87">
        <v>1.3</v>
      </c>
      <c r="M31" s="87">
        <v>0.8</v>
      </c>
      <c r="N31" s="87"/>
      <c r="O31" s="87"/>
      <c r="P31" s="87"/>
      <c r="Q31" s="87">
        <v>1.4</v>
      </c>
      <c r="R31" s="87"/>
      <c r="S31" s="87">
        <v>1.7</v>
      </c>
      <c r="T31" s="87">
        <v>0.9</v>
      </c>
      <c r="U31" s="87"/>
      <c r="V31" s="87"/>
      <c r="W31" s="87">
        <v>0.9</v>
      </c>
      <c r="X31" s="87"/>
      <c r="Y31" s="87">
        <v>1.5</v>
      </c>
      <c r="Z31" s="87">
        <v>0.9</v>
      </c>
      <c r="AA31" s="87">
        <v>1.5</v>
      </c>
      <c r="AB31" s="87"/>
      <c r="AC31" s="87">
        <v>1.9</v>
      </c>
      <c r="AD31" s="87">
        <v>1.5</v>
      </c>
      <c r="AE31" s="87">
        <v>1.8</v>
      </c>
      <c r="AF31" s="87">
        <v>2</v>
      </c>
      <c r="AG31" s="103">
        <f t="shared" si="0"/>
        <v>24.5</v>
      </c>
      <c r="AH31" s="48"/>
      <c r="AI31" s="48"/>
    </row>
    <row r="32" spans="1:35" s="44" customFormat="1" ht="18.75" customHeight="1" x14ac:dyDescent="0.35">
      <c r="A32" s="60" t="s">
        <v>77</v>
      </c>
      <c r="B32" s="87">
        <v>0.8</v>
      </c>
      <c r="C32" s="87">
        <v>1</v>
      </c>
      <c r="D32" s="87">
        <v>1.1000000000000001</v>
      </c>
      <c r="E32" s="87">
        <v>0.5</v>
      </c>
      <c r="F32" s="87"/>
      <c r="G32" s="87"/>
      <c r="H32" s="87">
        <v>0.9</v>
      </c>
      <c r="I32" s="87">
        <v>1.5</v>
      </c>
      <c r="J32" s="87">
        <v>0.9</v>
      </c>
      <c r="K32" s="87">
        <v>1.3</v>
      </c>
      <c r="L32" s="87">
        <v>0.7</v>
      </c>
      <c r="M32" s="87"/>
      <c r="N32" s="87"/>
      <c r="O32" s="87"/>
      <c r="P32" s="87">
        <v>0.7</v>
      </c>
      <c r="Q32" s="87">
        <v>0.9</v>
      </c>
      <c r="R32" s="87">
        <v>1.1000000000000001</v>
      </c>
      <c r="S32" s="87">
        <v>2</v>
      </c>
      <c r="T32" s="87"/>
      <c r="U32" s="87"/>
      <c r="V32" s="87">
        <v>1.3</v>
      </c>
      <c r="W32" s="87">
        <v>0.6</v>
      </c>
      <c r="X32" s="87">
        <v>1</v>
      </c>
      <c r="Y32" s="87">
        <v>2.1</v>
      </c>
      <c r="Z32" s="87">
        <v>1.1000000000000001</v>
      </c>
      <c r="AA32" s="87"/>
      <c r="AB32" s="87"/>
      <c r="AC32" s="87">
        <v>0.9</v>
      </c>
      <c r="AD32" s="87">
        <v>1</v>
      </c>
      <c r="AE32" s="87">
        <v>0.5</v>
      </c>
      <c r="AF32" s="87">
        <v>0.4</v>
      </c>
      <c r="AG32" s="103">
        <f t="shared" si="0"/>
        <v>22.3</v>
      </c>
      <c r="AH32" s="48"/>
      <c r="AI32" s="48"/>
    </row>
    <row r="33" spans="1:35" s="44" customFormat="1" ht="18.75" customHeight="1" x14ac:dyDescent="0.35">
      <c r="A33" s="60" t="s">
        <v>78</v>
      </c>
      <c r="B33" s="87">
        <v>3</v>
      </c>
      <c r="C33" s="87">
        <v>3</v>
      </c>
      <c r="D33" s="87">
        <v>4</v>
      </c>
      <c r="E33" s="87">
        <v>3</v>
      </c>
      <c r="F33" s="87">
        <v>4</v>
      </c>
      <c r="G33" s="87">
        <v>3</v>
      </c>
      <c r="H33" s="87">
        <v>3.6</v>
      </c>
      <c r="I33" s="87">
        <v>5</v>
      </c>
      <c r="J33" s="87">
        <v>3</v>
      </c>
      <c r="K33" s="87">
        <v>5</v>
      </c>
      <c r="L33" s="87">
        <v>3</v>
      </c>
      <c r="M33" s="87">
        <v>4</v>
      </c>
      <c r="N33" s="87">
        <v>5</v>
      </c>
      <c r="O33" s="87">
        <v>3.1</v>
      </c>
      <c r="P33" s="87">
        <v>2.2999999999999998</v>
      </c>
      <c r="Q33" s="87">
        <v>2.5</v>
      </c>
      <c r="R33" s="87">
        <v>4</v>
      </c>
      <c r="S33" s="87">
        <v>5</v>
      </c>
      <c r="T33" s="87">
        <v>5.3</v>
      </c>
      <c r="U33" s="87">
        <v>4.2</v>
      </c>
      <c r="V33" s="87">
        <v>5.0999999999999996</v>
      </c>
      <c r="W33" s="87">
        <v>5</v>
      </c>
      <c r="X33" s="87">
        <v>3</v>
      </c>
      <c r="Y33" s="87">
        <v>2.1</v>
      </c>
      <c r="Z33" s="87">
        <v>3.1</v>
      </c>
      <c r="AA33" s="87">
        <v>5</v>
      </c>
      <c r="AB33" s="87">
        <v>4</v>
      </c>
      <c r="AC33" s="87">
        <v>3</v>
      </c>
      <c r="AD33" s="87">
        <v>5</v>
      </c>
      <c r="AE33" s="87">
        <v>3</v>
      </c>
      <c r="AF33" s="87">
        <v>5.0999999999999996</v>
      </c>
      <c r="AG33" s="103">
        <f t="shared" si="0"/>
        <v>118.39999999999998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>
        <v>1.5</v>
      </c>
      <c r="C36" s="88">
        <v>1.2</v>
      </c>
      <c r="D36" s="88">
        <v>1.1000000000000001</v>
      </c>
      <c r="E36" s="88">
        <v>2.2000000000000002</v>
      </c>
      <c r="F36" s="88">
        <v>2.1</v>
      </c>
      <c r="G36" s="88"/>
      <c r="H36" s="88">
        <v>1</v>
      </c>
      <c r="I36" s="88">
        <v>1.1000000000000001</v>
      </c>
      <c r="J36" s="88">
        <v>1</v>
      </c>
      <c r="K36" s="88">
        <v>2.1</v>
      </c>
      <c r="L36" s="88">
        <v>1.3</v>
      </c>
      <c r="M36" s="88">
        <v>1.1000000000000001</v>
      </c>
      <c r="N36" s="88">
        <v>1.3</v>
      </c>
      <c r="O36" s="88">
        <v>2.2000000000000002</v>
      </c>
      <c r="P36" s="88">
        <v>1</v>
      </c>
      <c r="Q36" s="88">
        <v>1.1000000000000001</v>
      </c>
      <c r="R36" s="88">
        <v>1.1000000000000001</v>
      </c>
      <c r="S36" s="88">
        <v>1.2</v>
      </c>
      <c r="T36" s="88">
        <v>1.3</v>
      </c>
      <c r="U36" s="88">
        <v>2.2000000000000002</v>
      </c>
      <c r="V36" s="88">
        <v>0.9</v>
      </c>
      <c r="W36" s="88">
        <v>1.1000000000000001</v>
      </c>
      <c r="X36" s="88">
        <v>2.2000000000000002</v>
      </c>
      <c r="Y36" s="88">
        <v>2.1</v>
      </c>
      <c r="Z36" s="88">
        <v>1</v>
      </c>
      <c r="AA36" s="88">
        <v>1.1000000000000001</v>
      </c>
      <c r="AB36" s="88">
        <v>1.2</v>
      </c>
      <c r="AC36" s="88">
        <v>1.4</v>
      </c>
      <c r="AD36" s="88">
        <v>1.2</v>
      </c>
      <c r="AE36" s="88">
        <v>1.3</v>
      </c>
      <c r="AF36" s="88">
        <v>1.4</v>
      </c>
      <c r="AG36" s="103">
        <f t="shared" si="0"/>
        <v>42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88">
        <f>3.1+2+1.5</f>
        <v>6.6</v>
      </c>
      <c r="C38" s="88">
        <f>2.5+3.1+1.1</f>
        <v>6.6999999999999993</v>
      </c>
      <c r="D38" s="88">
        <f>2.1+2+1</f>
        <v>5.0999999999999996</v>
      </c>
      <c r="E38" s="88">
        <f>2+3.1</f>
        <v>5.0999999999999996</v>
      </c>
      <c r="F38" s="88">
        <f>2.1+4.1</f>
        <v>6.1999999999999993</v>
      </c>
      <c r="G38" s="88">
        <f>2.1+0.2+1</f>
        <v>3.3000000000000003</v>
      </c>
      <c r="H38" s="88">
        <f>3.1+2.4</f>
        <v>5.5</v>
      </c>
      <c r="I38" s="88">
        <v>3</v>
      </c>
      <c r="J38" s="88">
        <v>4.0999999999999996</v>
      </c>
      <c r="K38" s="88">
        <v>3</v>
      </c>
      <c r="L38" s="88">
        <v>3</v>
      </c>
      <c r="M38" s="88">
        <v>3</v>
      </c>
      <c r="N38" s="88">
        <v>3.3</v>
      </c>
      <c r="O38" s="88">
        <v>2</v>
      </c>
      <c r="P38" s="88">
        <v>2</v>
      </c>
      <c r="Q38" s="88">
        <v>3</v>
      </c>
      <c r="R38" s="88">
        <v>4.3</v>
      </c>
      <c r="S38" s="88">
        <v>3</v>
      </c>
      <c r="T38" s="88">
        <v>1.1000000000000001</v>
      </c>
      <c r="U38" s="88">
        <v>3</v>
      </c>
      <c r="V38" s="88">
        <v>3</v>
      </c>
      <c r="W38" s="88">
        <v>3</v>
      </c>
      <c r="X38" s="88">
        <v>2.2000000000000002</v>
      </c>
      <c r="Y38" s="88">
        <v>3.6</v>
      </c>
      <c r="Z38" s="88">
        <v>3.3</v>
      </c>
      <c r="AA38" s="88">
        <v>3</v>
      </c>
      <c r="AB38" s="88">
        <v>4</v>
      </c>
      <c r="AC38" s="88">
        <v>3</v>
      </c>
      <c r="AD38" s="88">
        <v>3.2</v>
      </c>
      <c r="AE38" s="88">
        <v>3.2</v>
      </c>
      <c r="AF38" s="88">
        <v>3</v>
      </c>
      <c r="AG38" s="103">
        <f t="shared" si="0"/>
        <v>110.8</v>
      </c>
      <c r="AH38" s="48"/>
      <c r="AI38" s="48"/>
    </row>
    <row r="39" spans="1:35" s="44" customFormat="1" ht="18.75" customHeight="1" x14ac:dyDescent="0.35">
      <c r="A39" s="60" t="s">
        <v>86</v>
      </c>
      <c r="B39" s="88"/>
      <c r="C39" s="88">
        <v>3.1</v>
      </c>
      <c r="D39" s="88"/>
      <c r="E39" s="88"/>
      <c r="F39" s="88">
        <v>6.9</v>
      </c>
      <c r="G39" s="88"/>
      <c r="H39" s="88"/>
      <c r="I39" s="88">
        <v>7.8</v>
      </c>
      <c r="J39" s="88"/>
      <c r="K39" s="88">
        <v>5.9</v>
      </c>
      <c r="L39" s="88"/>
      <c r="M39" s="88"/>
      <c r="N39" s="88">
        <v>6.3</v>
      </c>
      <c r="O39" s="88"/>
      <c r="P39" s="88"/>
      <c r="Q39" s="88">
        <v>1.9</v>
      </c>
      <c r="R39" s="88"/>
      <c r="S39" s="88">
        <v>6.3</v>
      </c>
      <c r="T39" s="88"/>
      <c r="U39" s="88"/>
      <c r="V39" s="88">
        <v>5.9</v>
      </c>
      <c r="W39" s="88"/>
      <c r="X39" s="88"/>
      <c r="Y39" s="88">
        <v>3.1</v>
      </c>
      <c r="Z39" s="88">
        <v>1.3</v>
      </c>
      <c r="AA39" s="88"/>
      <c r="AB39" s="88">
        <v>1</v>
      </c>
      <c r="AC39" s="88">
        <v>0.6</v>
      </c>
      <c r="AD39" s="88"/>
      <c r="AE39" s="88">
        <v>0.2</v>
      </c>
      <c r="AF39" s="88"/>
      <c r="AG39" s="103">
        <f t="shared" si="0"/>
        <v>50.300000000000004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0</v>
      </c>
      <c r="AH40" s="48"/>
      <c r="AI40" s="48"/>
    </row>
    <row r="41" spans="1:35" s="44" customFormat="1" ht="18.75" customHeight="1" x14ac:dyDescent="0.35">
      <c r="A41" s="60" t="s">
        <v>178</v>
      </c>
      <c r="B41" s="88">
        <v>0.1</v>
      </c>
      <c r="C41" s="88">
        <v>0.2</v>
      </c>
      <c r="D41" s="88">
        <v>0.1</v>
      </c>
      <c r="E41" s="88">
        <v>0.2</v>
      </c>
      <c r="F41" s="88">
        <v>0.3</v>
      </c>
      <c r="G41" s="88">
        <v>0.4</v>
      </c>
      <c r="H41" s="88">
        <v>0.8</v>
      </c>
      <c r="I41" s="88">
        <v>1</v>
      </c>
      <c r="J41" s="88">
        <v>0.4</v>
      </c>
      <c r="K41" s="88">
        <v>0.9</v>
      </c>
      <c r="L41" s="88">
        <v>0.8</v>
      </c>
      <c r="M41" s="88">
        <v>0.6</v>
      </c>
      <c r="N41" s="88">
        <v>0.8</v>
      </c>
      <c r="O41" s="88">
        <v>0.6</v>
      </c>
      <c r="P41" s="88">
        <v>0.1</v>
      </c>
      <c r="Q41" s="88"/>
      <c r="R41" s="88">
        <v>1</v>
      </c>
      <c r="S41" s="88">
        <v>0.1</v>
      </c>
      <c r="T41" s="88">
        <v>0.8</v>
      </c>
      <c r="U41" s="88">
        <v>0.5</v>
      </c>
      <c r="V41" s="88">
        <v>0.9</v>
      </c>
      <c r="W41" s="88">
        <v>1</v>
      </c>
      <c r="X41" s="88">
        <v>1</v>
      </c>
      <c r="Y41" s="88">
        <v>1.2</v>
      </c>
      <c r="Z41" s="88">
        <v>1</v>
      </c>
      <c r="AA41" s="88">
        <v>0.8</v>
      </c>
      <c r="AB41" s="88">
        <v>0.1</v>
      </c>
      <c r="AC41" s="88">
        <v>0.1</v>
      </c>
      <c r="AD41" s="88">
        <v>0.1</v>
      </c>
      <c r="AE41" s="88">
        <v>0.2</v>
      </c>
      <c r="AF41" s="88"/>
      <c r="AG41" s="103">
        <f t="shared" si="0"/>
        <v>16.099999999999998</v>
      </c>
      <c r="AH41" s="48"/>
      <c r="AI41" s="48"/>
    </row>
    <row r="42" spans="1:35" s="44" customFormat="1" ht="18.75" customHeight="1" x14ac:dyDescent="0.35">
      <c r="A42" s="59" t="s">
        <v>155</v>
      </c>
      <c r="B42" s="87">
        <f t="shared" ref="B42:AF42" si="1">SUM(B4:B41)</f>
        <v>44.599999999999994</v>
      </c>
      <c r="C42" s="87">
        <f t="shared" si="1"/>
        <v>50.70000000000001</v>
      </c>
      <c r="D42" s="87">
        <f t="shared" si="1"/>
        <v>43.9</v>
      </c>
      <c r="E42" s="87">
        <f t="shared" si="1"/>
        <v>49.100000000000009</v>
      </c>
      <c r="F42" s="87">
        <f t="shared" si="1"/>
        <v>51.6</v>
      </c>
      <c r="G42" s="87">
        <f t="shared" si="1"/>
        <v>29.299999999999997</v>
      </c>
      <c r="H42" s="87">
        <f t="shared" si="1"/>
        <v>41.699999999999996</v>
      </c>
      <c r="I42" s="87">
        <f t="shared" si="1"/>
        <v>52.4</v>
      </c>
      <c r="J42" s="87">
        <f t="shared" si="1"/>
        <v>41.8</v>
      </c>
      <c r="K42" s="87">
        <f t="shared" si="1"/>
        <v>48.9</v>
      </c>
      <c r="L42" s="87">
        <f t="shared" si="1"/>
        <v>46.3</v>
      </c>
      <c r="M42" s="87">
        <f t="shared" si="1"/>
        <v>35.300000000000004</v>
      </c>
      <c r="N42" s="87">
        <f t="shared" si="1"/>
        <v>38.299999999999997</v>
      </c>
      <c r="O42" s="87">
        <f t="shared" si="1"/>
        <v>31.8</v>
      </c>
      <c r="P42" s="87">
        <f t="shared" si="1"/>
        <v>35.4</v>
      </c>
      <c r="Q42" s="87">
        <f t="shared" si="1"/>
        <v>43.400000000000006</v>
      </c>
      <c r="R42" s="87">
        <f t="shared" si="1"/>
        <v>45.199999999999996</v>
      </c>
      <c r="S42" s="87">
        <f t="shared" si="1"/>
        <v>51.6</v>
      </c>
      <c r="T42" s="87">
        <f t="shared" si="1"/>
        <v>38.299999999999997</v>
      </c>
      <c r="U42" s="87">
        <f t="shared" si="1"/>
        <v>32.4</v>
      </c>
      <c r="V42" s="87">
        <f t="shared" si="1"/>
        <v>53.599999999999994</v>
      </c>
      <c r="W42" s="87">
        <f t="shared" si="1"/>
        <v>45.8</v>
      </c>
      <c r="X42" s="87">
        <f t="shared" si="1"/>
        <v>49.6</v>
      </c>
      <c r="Y42" s="87">
        <f t="shared" si="1"/>
        <v>50.5</v>
      </c>
      <c r="Z42" s="87">
        <f t="shared" si="1"/>
        <v>46.499999999999993</v>
      </c>
      <c r="AA42" s="87">
        <f t="shared" si="1"/>
        <v>45.099999999999994</v>
      </c>
      <c r="AB42" s="87">
        <f t="shared" si="1"/>
        <v>31.900000000000002</v>
      </c>
      <c r="AC42" s="87">
        <f t="shared" si="1"/>
        <v>49.199999999999996</v>
      </c>
      <c r="AD42" s="87">
        <f t="shared" si="1"/>
        <v>46.900000000000006</v>
      </c>
      <c r="AE42" s="87">
        <f t="shared" si="1"/>
        <v>50.2</v>
      </c>
      <c r="AF42" s="87">
        <f t="shared" si="1"/>
        <v>43.3</v>
      </c>
      <c r="AG42" s="105">
        <f>SUM(B42:AF42)</f>
        <v>1364.6</v>
      </c>
      <c r="AH42" s="57"/>
      <c r="AI42" s="57"/>
    </row>
    <row r="43" spans="1:35" s="2" customFormat="1" x14ac:dyDescent="0.25">
      <c r="AG43" s="24">
        <f>SUM(AG3:AG41)</f>
        <v>1364.6</v>
      </c>
    </row>
    <row r="44" spans="1:35" s="2" customFormat="1" x14ac:dyDescent="0.25"/>
    <row r="45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workbookViewId="0">
      <selection sqref="A1:AG1"/>
    </sheetView>
  </sheetViews>
  <sheetFormatPr baseColWidth="10" defaultRowHeight="15" x14ac:dyDescent="0.25"/>
  <cols>
    <col min="1" max="1" width="57.7109375" bestFit="1" customWidth="1"/>
    <col min="2" max="32" width="6.1406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223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  <c r="O3" s="224"/>
      <c r="P3" s="224"/>
      <c r="Q3" s="224"/>
      <c r="R3" s="224"/>
      <c r="S3" s="224"/>
      <c r="T3" s="224"/>
      <c r="U3" s="224"/>
      <c r="V3" s="224"/>
      <c r="W3" s="224"/>
      <c r="X3" s="224"/>
      <c r="Y3" s="224"/>
      <c r="Z3" s="224"/>
      <c r="AA3" s="224"/>
      <c r="AB3" s="224"/>
      <c r="AC3" s="224"/>
      <c r="AD3" s="224"/>
      <c r="AE3" s="224"/>
      <c r="AF3" s="224"/>
      <c r="AG3" s="225"/>
      <c r="AH3" s="47"/>
      <c r="AI3" s="48"/>
    </row>
    <row r="4" spans="1:35" s="44" customFormat="1" ht="27.75" customHeight="1" x14ac:dyDescent="0.35">
      <c r="A4" s="63" t="s">
        <v>94</v>
      </c>
      <c r="B4" s="85">
        <v>1.9</v>
      </c>
      <c r="C4" s="85"/>
      <c r="D4" s="85"/>
      <c r="E4" s="85"/>
      <c r="F4" s="85">
        <v>2.5</v>
      </c>
      <c r="G4" s="85">
        <v>3</v>
      </c>
      <c r="H4" s="85">
        <v>2.1</v>
      </c>
      <c r="I4" s="86">
        <v>1.9</v>
      </c>
      <c r="J4" s="85"/>
      <c r="K4" s="86"/>
      <c r="L4" s="85"/>
      <c r="M4" s="86">
        <v>1</v>
      </c>
      <c r="N4" s="85">
        <v>2.7</v>
      </c>
      <c r="O4" s="85">
        <v>2.9</v>
      </c>
      <c r="P4" s="86">
        <v>2</v>
      </c>
      <c r="Q4" s="85"/>
      <c r="R4" s="85"/>
      <c r="S4" s="85">
        <v>1.8</v>
      </c>
      <c r="T4" s="86">
        <v>0.8</v>
      </c>
      <c r="U4" s="86">
        <v>0.1</v>
      </c>
      <c r="V4" s="86"/>
      <c r="W4" s="86">
        <v>0.4</v>
      </c>
      <c r="X4" s="85"/>
      <c r="Y4" s="85"/>
      <c r="Z4" s="85">
        <v>0.2</v>
      </c>
      <c r="AA4" s="85">
        <v>0.7</v>
      </c>
      <c r="AB4" s="85">
        <v>1</v>
      </c>
      <c r="AC4" s="85">
        <v>1.9</v>
      </c>
      <c r="AD4" s="85">
        <v>2</v>
      </c>
      <c r="AE4" s="85"/>
      <c r="AF4" s="85"/>
      <c r="AG4" s="103">
        <f t="shared" ref="AG4:AG41" si="0">SUM(B4:AF4)</f>
        <v>28.9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>
        <v>4.5</v>
      </c>
      <c r="C8" s="87">
        <v>4</v>
      </c>
      <c r="D8" s="87">
        <v>4</v>
      </c>
      <c r="E8" s="87">
        <v>4.7</v>
      </c>
      <c r="F8" s="87">
        <v>4.5</v>
      </c>
      <c r="G8" s="87">
        <v>0.2</v>
      </c>
      <c r="H8" s="87">
        <v>4</v>
      </c>
      <c r="I8" s="87">
        <v>4</v>
      </c>
      <c r="J8" s="87">
        <v>4.2</v>
      </c>
      <c r="K8" s="87">
        <v>4</v>
      </c>
      <c r="L8" s="87">
        <v>3.5</v>
      </c>
      <c r="M8" s="87">
        <v>4</v>
      </c>
      <c r="N8" s="87">
        <v>4</v>
      </c>
      <c r="O8" s="87">
        <v>5</v>
      </c>
      <c r="P8" s="87">
        <v>4.8</v>
      </c>
      <c r="Q8" s="87">
        <v>4</v>
      </c>
      <c r="R8" s="87">
        <v>4.3</v>
      </c>
      <c r="S8" s="87">
        <v>4</v>
      </c>
      <c r="T8" s="87">
        <v>4</v>
      </c>
      <c r="U8" s="87">
        <v>4</v>
      </c>
      <c r="V8" s="87">
        <v>4</v>
      </c>
      <c r="W8" s="87">
        <v>4.5</v>
      </c>
      <c r="X8" s="87">
        <v>4.0999999999999996</v>
      </c>
      <c r="Y8" s="87">
        <v>4</v>
      </c>
      <c r="Z8" s="87">
        <v>4</v>
      </c>
      <c r="AA8" s="87">
        <v>4.5</v>
      </c>
      <c r="AB8" s="87">
        <v>4.8</v>
      </c>
      <c r="AC8" s="87">
        <v>4.5</v>
      </c>
      <c r="AD8" s="87">
        <v>4.5</v>
      </c>
      <c r="AE8" s="87">
        <v>4</v>
      </c>
      <c r="AF8" s="87"/>
      <c r="AG8" s="103">
        <f t="shared" si="0"/>
        <v>122.6</v>
      </c>
      <c r="AH8" s="48"/>
      <c r="AI8" s="48"/>
    </row>
    <row r="9" spans="1:35" s="44" customFormat="1" ht="18.75" customHeight="1" x14ac:dyDescent="0.35">
      <c r="A9" s="60" t="s">
        <v>65</v>
      </c>
      <c r="B9" s="87">
        <f>3.6+2.8</f>
        <v>6.4</v>
      </c>
      <c r="C9" s="87">
        <f>4.1+3</f>
        <v>7.1</v>
      </c>
      <c r="D9" s="87">
        <f>3.8+2.5</f>
        <v>6.3</v>
      </c>
      <c r="E9" s="87">
        <f>3.7+2.6</f>
        <v>6.3000000000000007</v>
      </c>
      <c r="F9" s="87">
        <f>3.9+2</f>
        <v>5.9</v>
      </c>
      <c r="G9" s="87">
        <f>4.5+2.3</f>
        <v>6.8</v>
      </c>
      <c r="H9" s="87">
        <f>3.3+3</f>
        <v>6.3</v>
      </c>
      <c r="I9" s="87">
        <f>3.6+3</f>
        <v>6.6</v>
      </c>
      <c r="J9" s="87">
        <f>3.2+2.9</f>
        <v>6.1</v>
      </c>
      <c r="K9" s="87">
        <f>3.8+2</f>
        <v>5.8</v>
      </c>
      <c r="L9" s="87">
        <f>4+2.6</f>
        <v>6.6</v>
      </c>
      <c r="M9" s="87">
        <f>4.3+2.4</f>
        <v>6.6999999999999993</v>
      </c>
      <c r="N9" s="87">
        <f>3.7+2</f>
        <v>5.7</v>
      </c>
      <c r="O9" s="87">
        <v>3.9</v>
      </c>
      <c r="P9" s="87">
        <f>3.6+4</f>
        <v>7.6</v>
      </c>
      <c r="Q9" s="87">
        <f>3.9+2</f>
        <v>5.9</v>
      </c>
      <c r="R9" s="87">
        <f>4+3</f>
        <v>7</v>
      </c>
      <c r="S9" s="87">
        <f>3.2+2.9</f>
        <v>6.1</v>
      </c>
      <c r="T9" s="87">
        <f>3.9+1.9</f>
        <v>5.8</v>
      </c>
      <c r="U9" s="87">
        <f>3.8+3</f>
        <v>6.8</v>
      </c>
      <c r="V9" s="87">
        <f>3.6+2</f>
        <v>5.6</v>
      </c>
      <c r="W9" s="87">
        <f>3+2.1</f>
        <v>5.0999999999999996</v>
      </c>
      <c r="X9" s="87">
        <f>4+3</f>
        <v>7</v>
      </c>
      <c r="Y9" s="87">
        <f>3.8+3</f>
        <v>6.8</v>
      </c>
      <c r="Z9" s="87">
        <f>3.9+3.2</f>
        <v>7.1</v>
      </c>
      <c r="AA9" s="87">
        <f>3.2+3</f>
        <v>6.2</v>
      </c>
      <c r="AB9" s="87">
        <f>3+2.8</f>
        <v>5.8</v>
      </c>
      <c r="AC9" s="87">
        <f>4.6+3.1</f>
        <v>7.6999999999999993</v>
      </c>
      <c r="AD9" s="87">
        <f>2.9+2</f>
        <v>4.9000000000000004</v>
      </c>
      <c r="AE9" s="87">
        <f>1.7+3.5</f>
        <v>5.2</v>
      </c>
      <c r="AF9" s="87"/>
      <c r="AG9" s="103">
        <f t="shared" si="0"/>
        <v>187.09999999999997</v>
      </c>
      <c r="AH9" s="48"/>
      <c r="AI9" s="48"/>
    </row>
    <row r="10" spans="1:35" s="44" customFormat="1" ht="18.75" customHeight="1" x14ac:dyDescent="0.35">
      <c r="A10" s="60" t="s">
        <v>66</v>
      </c>
      <c r="B10" s="88">
        <v>2.1</v>
      </c>
      <c r="C10" s="88">
        <v>1.1000000000000001</v>
      </c>
      <c r="D10" s="88">
        <v>0.2</v>
      </c>
      <c r="E10" s="88"/>
      <c r="F10" s="88">
        <v>3.1</v>
      </c>
      <c r="G10" s="88">
        <v>2.2000000000000002</v>
      </c>
      <c r="H10" s="88">
        <v>0.1</v>
      </c>
      <c r="I10" s="88">
        <v>1.1000000000000001</v>
      </c>
      <c r="J10" s="88">
        <v>1.1000000000000001</v>
      </c>
      <c r="K10" s="88">
        <v>0.1</v>
      </c>
      <c r="L10" s="88">
        <v>1.1000000000000001</v>
      </c>
      <c r="M10" s="88">
        <v>2.2000000000000002</v>
      </c>
      <c r="N10" s="88">
        <v>0.1</v>
      </c>
      <c r="O10" s="88">
        <v>0.2</v>
      </c>
      <c r="P10" s="88">
        <v>1.1000000000000001</v>
      </c>
      <c r="Q10" s="88">
        <v>2.1</v>
      </c>
      <c r="R10" s="88">
        <v>1.1000000000000001</v>
      </c>
      <c r="S10" s="88">
        <v>0.3</v>
      </c>
      <c r="T10" s="88">
        <v>2.2000000000000002</v>
      </c>
      <c r="U10" s="88">
        <v>1.1000000000000001</v>
      </c>
      <c r="V10" s="88">
        <v>3.1</v>
      </c>
      <c r="W10" s="88">
        <v>0.4</v>
      </c>
      <c r="X10" s="88">
        <v>2.2000000000000002</v>
      </c>
      <c r="Y10" s="88"/>
      <c r="Z10" s="88">
        <v>0.2</v>
      </c>
      <c r="AA10" s="88">
        <v>1.1000000000000001</v>
      </c>
      <c r="AB10" s="88">
        <v>0.4</v>
      </c>
      <c r="AC10" s="88">
        <v>1.2</v>
      </c>
      <c r="AD10" s="88">
        <v>0.6</v>
      </c>
      <c r="AE10" s="88">
        <v>0.4</v>
      </c>
      <c r="AF10" s="88"/>
      <c r="AG10" s="103">
        <f t="shared" si="0"/>
        <v>32.200000000000003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2.1</v>
      </c>
      <c r="C11" s="87">
        <v>2.1</v>
      </c>
      <c r="D11" s="87">
        <v>2.1</v>
      </c>
      <c r="E11" s="87">
        <v>1.1000000000000001</v>
      </c>
      <c r="F11" s="87">
        <v>1.9</v>
      </c>
      <c r="G11" s="87">
        <v>1.1000000000000001</v>
      </c>
      <c r="H11" s="87">
        <v>1.1000000000000001</v>
      </c>
      <c r="I11" s="87">
        <v>1</v>
      </c>
      <c r="J11" s="87">
        <v>2.1</v>
      </c>
      <c r="K11" s="87">
        <v>2.1</v>
      </c>
      <c r="L11" s="87">
        <v>2.1</v>
      </c>
      <c r="M11" s="87">
        <v>2.1</v>
      </c>
      <c r="N11" s="87">
        <v>1.2</v>
      </c>
      <c r="O11" s="87">
        <v>1.3</v>
      </c>
      <c r="P11" s="87">
        <v>1.3</v>
      </c>
      <c r="Q11" s="87">
        <v>1.1000000000000001</v>
      </c>
      <c r="R11" s="87">
        <v>1.1000000000000001</v>
      </c>
      <c r="S11" s="87">
        <v>1.1000000000000001</v>
      </c>
      <c r="T11" s="87">
        <v>1.1000000000000001</v>
      </c>
      <c r="U11" s="87">
        <v>1.1000000000000001</v>
      </c>
      <c r="V11" s="87">
        <v>1.1000000000000001</v>
      </c>
      <c r="W11" s="87">
        <v>1</v>
      </c>
      <c r="X11" s="87">
        <v>1.2</v>
      </c>
      <c r="Y11" s="87">
        <v>1.1000000000000001</v>
      </c>
      <c r="Z11" s="87">
        <v>1.1000000000000001</v>
      </c>
      <c r="AA11" s="87" t="s">
        <v>182</v>
      </c>
      <c r="AB11" s="87">
        <v>1</v>
      </c>
      <c r="AC11" s="87">
        <v>1.1000000000000001</v>
      </c>
      <c r="AD11" s="87">
        <v>1.1000000000000001</v>
      </c>
      <c r="AE11" s="87">
        <v>1.1000000000000001</v>
      </c>
      <c r="AF11" s="87"/>
      <c r="AG11" s="103">
        <f t="shared" si="0"/>
        <v>40.000000000000021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1.1000000000000001</v>
      </c>
      <c r="C16" s="87">
        <v>1.9</v>
      </c>
      <c r="D16" s="87">
        <v>0.9</v>
      </c>
      <c r="E16" s="87">
        <v>1.7</v>
      </c>
      <c r="F16" s="87">
        <v>1.4</v>
      </c>
      <c r="G16" s="87">
        <v>1.9</v>
      </c>
      <c r="H16" s="87">
        <v>2</v>
      </c>
      <c r="I16" s="87">
        <v>3.1</v>
      </c>
      <c r="J16" s="87">
        <v>0.9</v>
      </c>
      <c r="K16" s="87">
        <v>0.6</v>
      </c>
      <c r="L16" s="87">
        <v>0.9</v>
      </c>
      <c r="M16" s="87">
        <v>1.3</v>
      </c>
      <c r="N16" s="87">
        <v>0.8</v>
      </c>
      <c r="O16" s="87">
        <v>1.2</v>
      </c>
      <c r="P16" s="87">
        <v>1.4</v>
      </c>
      <c r="Q16" s="87">
        <v>1.9</v>
      </c>
      <c r="R16" s="87">
        <v>0.7</v>
      </c>
      <c r="S16" s="87">
        <v>0.9</v>
      </c>
      <c r="T16" s="87">
        <v>0.5</v>
      </c>
      <c r="U16" s="87">
        <v>0.9</v>
      </c>
      <c r="V16" s="87">
        <v>0.9</v>
      </c>
      <c r="W16" s="87">
        <v>0.7</v>
      </c>
      <c r="X16" s="87">
        <v>0.3</v>
      </c>
      <c r="Y16" s="87">
        <v>0.5</v>
      </c>
      <c r="Z16" s="87">
        <v>0.9</v>
      </c>
      <c r="AA16" s="87">
        <v>0.7</v>
      </c>
      <c r="AB16" s="87">
        <v>0.5</v>
      </c>
      <c r="AC16" s="87">
        <v>0.9</v>
      </c>
      <c r="AD16" s="87">
        <v>0.8</v>
      </c>
      <c r="AE16" s="87">
        <v>1.3</v>
      </c>
      <c r="AF16" s="87"/>
      <c r="AG16" s="103">
        <f t="shared" si="0"/>
        <v>33.499999999999986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>
        <v>2.5</v>
      </c>
      <c r="C19" s="66">
        <v>3</v>
      </c>
      <c r="D19" s="66"/>
      <c r="E19" s="66"/>
      <c r="F19" s="66">
        <v>2</v>
      </c>
      <c r="G19" s="66">
        <v>3.8</v>
      </c>
      <c r="H19" s="66">
        <v>3</v>
      </c>
      <c r="I19" s="66">
        <v>2</v>
      </c>
      <c r="J19" s="66">
        <v>3</v>
      </c>
      <c r="K19" s="66"/>
      <c r="L19" s="66"/>
      <c r="M19" s="66">
        <v>4.5999999999999996</v>
      </c>
      <c r="N19" s="66">
        <v>2.2000000000000002</v>
      </c>
      <c r="O19" s="66">
        <v>2.6</v>
      </c>
      <c r="P19" s="66">
        <v>4</v>
      </c>
      <c r="Q19" s="66">
        <v>4.3</v>
      </c>
      <c r="R19" s="66"/>
      <c r="S19" s="66">
        <v>3</v>
      </c>
      <c r="T19" s="66">
        <v>2.2000000000000002</v>
      </c>
      <c r="U19" s="66">
        <v>2</v>
      </c>
      <c r="V19" s="66">
        <v>4</v>
      </c>
      <c r="W19" s="66">
        <v>2.2000000000000002</v>
      </c>
      <c r="X19" s="66">
        <v>1.8</v>
      </c>
      <c r="Y19" s="66"/>
      <c r="Z19" s="66">
        <v>2.6</v>
      </c>
      <c r="AA19" s="66">
        <v>3.3</v>
      </c>
      <c r="AB19" s="66">
        <v>0.9</v>
      </c>
      <c r="AC19" s="66">
        <v>1.8</v>
      </c>
      <c r="AD19" s="66">
        <v>2.6</v>
      </c>
      <c r="AE19" s="66">
        <v>3.8</v>
      </c>
      <c r="AF19" s="66"/>
      <c r="AG19" s="103">
        <f t="shared" si="0"/>
        <v>67.2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>
        <v>0.6</v>
      </c>
      <c r="C23" s="87">
        <v>0.8</v>
      </c>
      <c r="D23" s="87">
        <v>0.6</v>
      </c>
      <c r="E23" s="87">
        <v>0.9</v>
      </c>
      <c r="F23" s="87">
        <v>1.2</v>
      </c>
      <c r="G23" s="87">
        <v>1</v>
      </c>
      <c r="H23" s="87">
        <v>1.1000000000000001</v>
      </c>
      <c r="I23" s="87">
        <v>1.3</v>
      </c>
      <c r="J23" s="87">
        <v>1.1000000000000001</v>
      </c>
      <c r="K23" s="87">
        <v>1</v>
      </c>
      <c r="L23" s="87">
        <v>0.9</v>
      </c>
      <c r="M23" s="87">
        <v>1.3</v>
      </c>
      <c r="N23" s="87">
        <v>1.7</v>
      </c>
      <c r="O23" s="87">
        <v>1.5</v>
      </c>
      <c r="P23" s="87">
        <v>1.6</v>
      </c>
      <c r="Q23" s="87">
        <v>1.8</v>
      </c>
      <c r="R23" s="87">
        <v>0.9</v>
      </c>
      <c r="S23" s="87">
        <v>1.3</v>
      </c>
      <c r="T23" s="87">
        <v>1.8</v>
      </c>
      <c r="U23" s="87">
        <v>1.6</v>
      </c>
      <c r="V23" s="87">
        <v>1.2</v>
      </c>
      <c r="W23" s="87">
        <v>1.1000000000000001</v>
      </c>
      <c r="X23" s="87">
        <v>0.9</v>
      </c>
      <c r="Y23" s="88">
        <v>0.8</v>
      </c>
      <c r="Z23" s="88">
        <v>0.8</v>
      </c>
      <c r="AA23" s="88">
        <v>1.6</v>
      </c>
      <c r="AB23" s="88">
        <v>1.8</v>
      </c>
      <c r="AC23" s="88">
        <v>1.3</v>
      </c>
      <c r="AD23" s="88">
        <v>1.3</v>
      </c>
      <c r="AE23" s="88">
        <v>1.5</v>
      </c>
      <c r="AF23" s="88"/>
      <c r="AG23" s="103">
        <f t="shared" si="0"/>
        <v>36.299999999999997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2.1</v>
      </c>
      <c r="C24" s="87">
        <v>3.5</v>
      </c>
      <c r="D24" s="87">
        <v>3.4</v>
      </c>
      <c r="E24" s="87">
        <v>2.4</v>
      </c>
      <c r="F24" s="87">
        <v>1.5</v>
      </c>
      <c r="G24" s="87">
        <v>1.8</v>
      </c>
      <c r="H24" s="87">
        <v>1.2</v>
      </c>
      <c r="I24" s="87">
        <v>1.3</v>
      </c>
      <c r="J24" s="87">
        <v>1</v>
      </c>
      <c r="K24" s="87">
        <v>2.1</v>
      </c>
      <c r="L24" s="87">
        <v>1</v>
      </c>
      <c r="M24" s="87">
        <v>1</v>
      </c>
      <c r="N24" s="87">
        <v>1.5</v>
      </c>
      <c r="O24" s="87">
        <v>1.8</v>
      </c>
      <c r="P24" s="87">
        <v>1.2</v>
      </c>
      <c r="Q24" s="87">
        <v>1.3</v>
      </c>
      <c r="R24" s="87">
        <v>1.9</v>
      </c>
      <c r="S24" s="87">
        <v>2.5</v>
      </c>
      <c r="T24" s="87">
        <v>2.8</v>
      </c>
      <c r="U24" s="87">
        <v>2.7</v>
      </c>
      <c r="V24" s="87">
        <v>3.1</v>
      </c>
      <c r="W24" s="87">
        <v>2.5</v>
      </c>
      <c r="X24" s="87">
        <v>2.8</v>
      </c>
      <c r="Y24" s="87">
        <v>1.8</v>
      </c>
      <c r="Z24" s="87">
        <v>2.1</v>
      </c>
      <c r="AA24" s="87">
        <v>2.5</v>
      </c>
      <c r="AB24" s="87">
        <v>2</v>
      </c>
      <c r="AC24" s="87">
        <v>2.1</v>
      </c>
      <c r="AD24" s="87">
        <v>1.9</v>
      </c>
      <c r="AE24" s="87">
        <v>2.2999999999999998</v>
      </c>
      <c r="AF24" s="87"/>
      <c r="AG24" s="103">
        <f t="shared" si="0"/>
        <v>61.099999999999994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>
        <v>2.9</v>
      </c>
      <c r="C26" s="87">
        <v>2.5</v>
      </c>
      <c r="D26" s="87">
        <v>1.2</v>
      </c>
      <c r="E26" s="87">
        <v>1.5</v>
      </c>
      <c r="F26" s="87">
        <v>1.7</v>
      </c>
      <c r="G26" s="87">
        <v>2.2999999999999998</v>
      </c>
      <c r="H26" s="87">
        <v>2.4</v>
      </c>
      <c r="I26" s="87">
        <v>1.9</v>
      </c>
      <c r="J26" s="87">
        <v>0.9</v>
      </c>
      <c r="K26" s="87">
        <v>1</v>
      </c>
      <c r="L26" s="87">
        <v>1</v>
      </c>
      <c r="M26" s="87">
        <v>0.9</v>
      </c>
      <c r="N26" s="87">
        <v>2.4</v>
      </c>
      <c r="O26" s="87">
        <v>2.6</v>
      </c>
      <c r="P26" s="87">
        <v>0.9</v>
      </c>
      <c r="Q26" s="87">
        <v>0.1</v>
      </c>
      <c r="R26" s="87">
        <v>3.5</v>
      </c>
      <c r="S26" s="87">
        <v>3.9</v>
      </c>
      <c r="T26" s="87">
        <v>2</v>
      </c>
      <c r="U26" s="87">
        <v>2.5</v>
      </c>
      <c r="V26" s="87">
        <v>2.8</v>
      </c>
      <c r="W26" s="87">
        <v>3</v>
      </c>
      <c r="X26" s="87">
        <v>2.1</v>
      </c>
      <c r="Y26" s="87">
        <v>2.5</v>
      </c>
      <c r="Z26" s="87">
        <v>2.4</v>
      </c>
      <c r="AA26" s="87">
        <v>2.4</v>
      </c>
      <c r="AB26" s="87">
        <v>2</v>
      </c>
      <c r="AC26" s="87">
        <v>2.2999999999999998</v>
      </c>
      <c r="AD26" s="87">
        <v>4</v>
      </c>
      <c r="AE26" s="87">
        <v>4</v>
      </c>
      <c r="AF26" s="87"/>
      <c r="AG26" s="103">
        <f t="shared" si="0"/>
        <v>65.599999999999994</v>
      </c>
      <c r="AH26" s="48"/>
      <c r="AI26" s="48"/>
    </row>
    <row r="27" spans="1:35" s="44" customFormat="1" ht="18.75" customHeight="1" x14ac:dyDescent="0.35">
      <c r="A27" s="60" t="s">
        <v>73</v>
      </c>
      <c r="B27" s="87">
        <v>0.5</v>
      </c>
      <c r="C27" s="87"/>
      <c r="D27" s="87"/>
      <c r="E27" s="87">
        <v>1</v>
      </c>
      <c r="F27" s="87"/>
      <c r="G27" s="87">
        <v>1.6</v>
      </c>
      <c r="H27" s="87"/>
      <c r="I27" s="87"/>
      <c r="J27" s="87"/>
      <c r="K27" s="87">
        <v>1.5</v>
      </c>
      <c r="L27" s="87"/>
      <c r="M27" s="87"/>
      <c r="N27" s="87">
        <v>0.5</v>
      </c>
      <c r="O27" s="87"/>
      <c r="P27" s="87"/>
      <c r="Q27" s="87"/>
      <c r="R27" s="87"/>
      <c r="S27" s="87"/>
      <c r="T27" s="87">
        <v>0.5</v>
      </c>
      <c r="U27" s="87"/>
      <c r="V27" s="87"/>
      <c r="W27" s="87"/>
      <c r="X27" s="87">
        <v>1.5</v>
      </c>
      <c r="Y27" s="87"/>
      <c r="Z27" s="87"/>
      <c r="AA27" s="87"/>
      <c r="AB27" s="87"/>
      <c r="AC27" s="87"/>
      <c r="AD27" s="87"/>
      <c r="AE27" s="87"/>
      <c r="AF27" s="87"/>
      <c r="AG27" s="103">
        <f t="shared" si="0"/>
        <v>7.1</v>
      </c>
      <c r="AH27" s="48"/>
      <c r="AI27" s="48"/>
    </row>
    <row r="28" spans="1:35" s="44" customFormat="1" ht="18.75" customHeight="1" x14ac:dyDescent="0.35">
      <c r="A28" s="60" t="s">
        <v>92</v>
      </c>
      <c r="B28" s="87">
        <v>1.5</v>
      </c>
      <c r="C28" s="87"/>
      <c r="D28" s="87"/>
      <c r="E28" s="87"/>
      <c r="F28" s="87">
        <v>2</v>
      </c>
      <c r="G28" s="87">
        <v>2.4</v>
      </c>
      <c r="H28" s="87">
        <v>1.5</v>
      </c>
      <c r="I28" s="87">
        <v>0.9</v>
      </c>
      <c r="J28" s="87"/>
      <c r="K28" s="87"/>
      <c r="L28" s="87"/>
      <c r="M28" s="87">
        <v>1.6</v>
      </c>
      <c r="N28" s="87">
        <v>1.1000000000000001</v>
      </c>
      <c r="O28" s="87">
        <v>1.4</v>
      </c>
      <c r="P28" s="87">
        <v>2</v>
      </c>
      <c r="Q28" s="87"/>
      <c r="R28" s="87"/>
      <c r="S28" s="87">
        <v>1.5</v>
      </c>
      <c r="T28" s="87">
        <v>0.5</v>
      </c>
      <c r="U28" s="87">
        <v>1.3</v>
      </c>
      <c r="V28" s="87">
        <v>1</v>
      </c>
      <c r="W28" s="87">
        <v>0.3</v>
      </c>
      <c r="X28" s="87"/>
      <c r="Y28" s="87"/>
      <c r="Z28" s="87">
        <v>1</v>
      </c>
      <c r="AA28" s="87">
        <v>2</v>
      </c>
      <c r="AB28" s="87">
        <v>0.9</v>
      </c>
      <c r="AC28" s="87">
        <v>0.5</v>
      </c>
      <c r="AD28" s="87">
        <v>2</v>
      </c>
      <c r="AE28" s="87"/>
      <c r="AF28" s="87"/>
      <c r="AG28" s="103">
        <f t="shared" si="0"/>
        <v>25.4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f>4.2+3.1</f>
        <v>7.3000000000000007</v>
      </c>
      <c r="C29" s="87">
        <f>5+3.2</f>
        <v>8.1999999999999993</v>
      </c>
      <c r="D29" s="87">
        <f>4.3+3.3</f>
        <v>7.6</v>
      </c>
      <c r="E29" s="87">
        <f>4+3</f>
        <v>7</v>
      </c>
      <c r="F29" s="87">
        <f>3.3+2.2</f>
        <v>5.5</v>
      </c>
      <c r="G29" s="87">
        <f>4.8+2.6</f>
        <v>7.4</v>
      </c>
      <c r="H29" s="87">
        <f>3.1+2</f>
        <v>5.0999999999999996</v>
      </c>
      <c r="I29" s="87">
        <f>4.4+3.3</f>
        <v>7.7</v>
      </c>
      <c r="J29" s="87">
        <f>5+4.1</f>
        <v>9.1</v>
      </c>
      <c r="K29" s="87">
        <f>3.3+3.2</f>
        <v>6.5</v>
      </c>
      <c r="L29" s="87">
        <f>4+2.1</f>
        <v>6.1</v>
      </c>
      <c r="M29" s="87">
        <f>5.5+2.1</f>
        <v>7.6</v>
      </c>
      <c r="N29" s="87">
        <f>3.1+2.1</f>
        <v>5.2</v>
      </c>
      <c r="O29" s="87">
        <f>3+3.1</f>
        <v>6.1</v>
      </c>
      <c r="P29" s="87">
        <f>2.2+3.1</f>
        <v>5.3000000000000007</v>
      </c>
      <c r="Q29" s="87">
        <f>3.3+3.2</f>
        <v>6.5</v>
      </c>
      <c r="R29" s="87">
        <f>3+2.2</f>
        <v>5.2</v>
      </c>
      <c r="S29" s="87">
        <f>4.1+2.2</f>
        <v>6.3</v>
      </c>
      <c r="T29" s="87">
        <f>3.1+2.2</f>
        <v>5.3000000000000007</v>
      </c>
      <c r="U29" s="87">
        <f>3+2.2</f>
        <v>5.2</v>
      </c>
      <c r="V29" s="87">
        <f>2.1+3.2</f>
        <v>5.3000000000000007</v>
      </c>
      <c r="W29" s="87">
        <f>2.2+3.1</f>
        <v>5.3000000000000007</v>
      </c>
      <c r="X29" s="87">
        <f>3.1+2.1</f>
        <v>5.2</v>
      </c>
      <c r="Y29" s="87">
        <f>3.1+3.2</f>
        <v>6.3000000000000007</v>
      </c>
      <c r="Z29" s="87">
        <f>3.1+2.2</f>
        <v>5.3000000000000007</v>
      </c>
      <c r="AA29" s="87">
        <f>3+2.1</f>
        <v>5.0999999999999996</v>
      </c>
      <c r="AB29" s="87">
        <f>2.2+1.3</f>
        <v>3.5</v>
      </c>
      <c r="AC29" s="87">
        <f>1.2+2</f>
        <v>3.2</v>
      </c>
      <c r="AD29" s="87">
        <f>2.1+1.3</f>
        <v>3.4000000000000004</v>
      </c>
      <c r="AE29" s="87">
        <f>2.2+2.1</f>
        <v>4.3000000000000007</v>
      </c>
      <c r="AF29" s="87"/>
      <c r="AG29" s="103">
        <f t="shared" si="0"/>
        <v>177.10000000000002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>
        <v>1.8</v>
      </c>
      <c r="C31" s="87">
        <v>2</v>
      </c>
      <c r="D31" s="87"/>
      <c r="E31" s="87"/>
      <c r="F31" s="87"/>
      <c r="G31" s="87">
        <v>1.1000000000000001</v>
      </c>
      <c r="H31" s="87">
        <v>0.4</v>
      </c>
      <c r="I31" s="87">
        <v>1.4</v>
      </c>
      <c r="J31" s="87">
        <v>0.5</v>
      </c>
      <c r="K31" s="87"/>
      <c r="L31" s="87"/>
      <c r="M31" s="87">
        <v>2.4</v>
      </c>
      <c r="N31" s="87">
        <v>1.9</v>
      </c>
      <c r="O31" s="87">
        <v>1.7</v>
      </c>
      <c r="P31" s="87">
        <v>1.3</v>
      </c>
      <c r="Q31" s="87">
        <v>2.1</v>
      </c>
      <c r="R31" s="87"/>
      <c r="S31" s="87">
        <v>1</v>
      </c>
      <c r="T31" s="87">
        <v>1.9</v>
      </c>
      <c r="U31" s="87">
        <v>1.5</v>
      </c>
      <c r="V31" s="87">
        <v>1.8</v>
      </c>
      <c r="W31" s="87">
        <v>1.9</v>
      </c>
      <c r="X31" s="87">
        <v>2</v>
      </c>
      <c r="Y31" s="87"/>
      <c r="Z31" s="87">
        <v>2.4</v>
      </c>
      <c r="AA31" s="87">
        <v>2.1</v>
      </c>
      <c r="AB31" s="87">
        <v>0.3</v>
      </c>
      <c r="AC31" s="87">
        <v>0.6</v>
      </c>
      <c r="AD31" s="87">
        <v>1.1000000000000001</v>
      </c>
      <c r="AE31" s="87">
        <v>2.5</v>
      </c>
      <c r="AF31" s="87"/>
      <c r="AG31" s="103">
        <f t="shared" si="0"/>
        <v>35.700000000000003</v>
      </c>
      <c r="AH31" s="48"/>
      <c r="AI31" s="48"/>
    </row>
    <row r="32" spans="1:35" s="44" customFormat="1" ht="18.75" customHeight="1" x14ac:dyDescent="0.35">
      <c r="A32" s="60" t="s">
        <v>77</v>
      </c>
      <c r="B32" s="87">
        <v>0.3</v>
      </c>
      <c r="C32" s="87"/>
      <c r="D32" s="87"/>
      <c r="E32" s="87"/>
      <c r="F32" s="87">
        <v>0.5</v>
      </c>
      <c r="G32" s="87">
        <v>0.6</v>
      </c>
      <c r="H32" s="87">
        <v>0.8</v>
      </c>
      <c r="I32" s="87">
        <v>0.9</v>
      </c>
      <c r="J32" s="87"/>
      <c r="K32" s="87"/>
      <c r="L32" s="87"/>
      <c r="M32" s="87">
        <v>1</v>
      </c>
      <c r="N32" s="87">
        <v>0.2</v>
      </c>
      <c r="O32" s="87">
        <v>0.1</v>
      </c>
      <c r="P32" s="87">
        <v>1.5</v>
      </c>
      <c r="Q32" s="87"/>
      <c r="R32" s="87"/>
      <c r="S32" s="87">
        <v>0.2</v>
      </c>
      <c r="T32" s="87">
        <v>1</v>
      </c>
      <c r="U32" s="87">
        <v>0.5</v>
      </c>
      <c r="V32" s="87">
        <v>1.2</v>
      </c>
      <c r="W32" s="87">
        <v>0.6</v>
      </c>
      <c r="X32" s="87"/>
      <c r="Y32" s="87"/>
      <c r="Z32" s="87">
        <v>0.7</v>
      </c>
      <c r="AA32" s="87">
        <v>0.3</v>
      </c>
      <c r="AB32" s="87">
        <v>1</v>
      </c>
      <c r="AC32" s="87">
        <v>0.8</v>
      </c>
      <c r="AD32" s="87">
        <v>0.3</v>
      </c>
      <c r="AE32" s="87"/>
      <c r="AF32" s="87"/>
      <c r="AG32" s="103">
        <f t="shared" si="0"/>
        <v>12.5</v>
      </c>
      <c r="AH32" s="48"/>
      <c r="AI32" s="48"/>
    </row>
    <row r="33" spans="1:35" s="44" customFormat="1" ht="18.75" customHeight="1" x14ac:dyDescent="0.35">
      <c r="A33" s="60" t="s">
        <v>78</v>
      </c>
      <c r="B33" s="87">
        <v>3</v>
      </c>
      <c r="C33" s="87">
        <v>4</v>
      </c>
      <c r="D33" s="87">
        <v>3</v>
      </c>
      <c r="E33" s="87">
        <v>4.0999999999999996</v>
      </c>
      <c r="F33" s="87">
        <v>4</v>
      </c>
      <c r="G33" s="87">
        <v>3</v>
      </c>
      <c r="H33" s="87">
        <v>4</v>
      </c>
      <c r="I33" s="87">
        <v>4</v>
      </c>
      <c r="J33" s="87">
        <v>1</v>
      </c>
      <c r="K33" s="87">
        <v>3</v>
      </c>
      <c r="L33" s="87">
        <v>5</v>
      </c>
      <c r="M33" s="87">
        <v>5.2</v>
      </c>
      <c r="N33" s="87">
        <v>5.0999999999999996</v>
      </c>
      <c r="O33" s="87">
        <v>3</v>
      </c>
      <c r="P33" s="87">
        <v>5</v>
      </c>
      <c r="Q33" s="87">
        <v>3</v>
      </c>
      <c r="R33" s="87">
        <v>5</v>
      </c>
      <c r="S33" s="87">
        <v>3</v>
      </c>
      <c r="T33" s="87">
        <v>5</v>
      </c>
      <c r="U33" s="87">
        <v>3.1</v>
      </c>
      <c r="V33" s="87">
        <v>5</v>
      </c>
      <c r="W33" s="87">
        <v>4</v>
      </c>
      <c r="X33" s="87">
        <v>3</v>
      </c>
      <c r="Y33" s="87">
        <v>3.5</v>
      </c>
      <c r="Z33" s="87">
        <v>4.2</v>
      </c>
      <c r="AA33" s="87">
        <v>3.1</v>
      </c>
      <c r="AB33" s="87">
        <v>3</v>
      </c>
      <c r="AC33" s="87">
        <v>1</v>
      </c>
      <c r="AD33" s="87">
        <v>4.2</v>
      </c>
      <c r="AE33" s="87">
        <v>1.1000000000000001</v>
      </c>
      <c r="AF33" s="87"/>
      <c r="AG33" s="103">
        <f t="shared" si="0"/>
        <v>107.6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>
        <v>2.1</v>
      </c>
      <c r="C36" s="88">
        <v>1.1000000000000001</v>
      </c>
      <c r="D36" s="88">
        <v>0.2</v>
      </c>
      <c r="E36" s="88"/>
      <c r="F36" s="88">
        <v>3.1</v>
      </c>
      <c r="G36" s="88">
        <v>2.2000000000000002</v>
      </c>
      <c r="H36" s="88">
        <v>0.1</v>
      </c>
      <c r="I36" s="88">
        <v>1.1000000000000001</v>
      </c>
      <c r="J36" s="88">
        <v>1.1000000000000001</v>
      </c>
      <c r="K36" s="88">
        <v>0.1</v>
      </c>
      <c r="L36" s="88">
        <v>1.1000000000000001</v>
      </c>
      <c r="M36" s="88">
        <v>2.2000000000000002</v>
      </c>
      <c r="N36" s="88">
        <v>0.1</v>
      </c>
      <c r="O36" s="88">
        <v>0.2</v>
      </c>
      <c r="P36" s="88">
        <v>1.1000000000000001</v>
      </c>
      <c r="Q36" s="88">
        <v>2.1</v>
      </c>
      <c r="R36" s="88">
        <v>1.1000000000000001</v>
      </c>
      <c r="S36" s="88">
        <v>0.3</v>
      </c>
      <c r="T36" s="88">
        <v>2.2000000000000002</v>
      </c>
      <c r="U36" s="88">
        <v>1.1000000000000001</v>
      </c>
      <c r="V36" s="88">
        <v>3.1</v>
      </c>
      <c r="W36" s="88">
        <v>0.4</v>
      </c>
      <c r="X36" s="88">
        <v>2.2000000000000002</v>
      </c>
      <c r="Y36" s="88"/>
      <c r="Z36" s="88">
        <v>0.2</v>
      </c>
      <c r="AA36" s="88">
        <v>1.1000000000000001</v>
      </c>
      <c r="AB36" s="88">
        <v>0.4</v>
      </c>
      <c r="AC36" s="88">
        <v>1.2</v>
      </c>
      <c r="AD36" s="88">
        <v>0.6</v>
      </c>
      <c r="AE36" s="88">
        <v>0.4</v>
      </c>
      <c r="AF36" s="88"/>
      <c r="AG36" s="103">
        <f t="shared" si="0"/>
        <v>32.200000000000003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88">
        <v>1.9</v>
      </c>
      <c r="C38" s="88">
        <v>2.1</v>
      </c>
      <c r="D38" s="88">
        <v>1.8</v>
      </c>
      <c r="E38" s="88">
        <v>1.7</v>
      </c>
      <c r="F38" s="88">
        <v>2.5</v>
      </c>
      <c r="G38" s="88">
        <v>2.2999999999999998</v>
      </c>
      <c r="H38" s="88">
        <v>3.1</v>
      </c>
      <c r="I38" s="88">
        <v>3</v>
      </c>
      <c r="J38" s="88">
        <v>1.9</v>
      </c>
      <c r="K38" s="88">
        <v>1.8</v>
      </c>
      <c r="L38" s="88">
        <v>1.9</v>
      </c>
      <c r="M38" s="88">
        <v>2.2999999999999998</v>
      </c>
      <c r="N38" s="88">
        <v>1.9</v>
      </c>
      <c r="O38" s="88">
        <v>2.5</v>
      </c>
      <c r="P38" s="88">
        <v>2.4</v>
      </c>
      <c r="Q38" s="88">
        <v>1.8</v>
      </c>
      <c r="R38" s="88">
        <v>1.9</v>
      </c>
      <c r="S38" s="88">
        <v>2.2999999999999998</v>
      </c>
      <c r="T38" s="88">
        <v>2.1</v>
      </c>
      <c r="U38" s="88">
        <v>1.8</v>
      </c>
      <c r="V38" s="88">
        <v>1.7</v>
      </c>
      <c r="W38" s="88" t="s">
        <v>184</v>
      </c>
      <c r="X38" s="88">
        <v>2.2000000000000002</v>
      </c>
      <c r="Y38" s="88">
        <v>2.5</v>
      </c>
      <c r="Z38" s="88">
        <v>3.1</v>
      </c>
      <c r="AA38" s="88">
        <v>2.9</v>
      </c>
      <c r="AB38" s="88">
        <v>4.0999999999999996</v>
      </c>
      <c r="AC38" s="88">
        <v>3.1</v>
      </c>
      <c r="AD38" s="88">
        <v>2.8</v>
      </c>
      <c r="AE38" s="88">
        <v>3.9</v>
      </c>
      <c r="AF38" s="88"/>
      <c r="AG38" s="103">
        <f t="shared" si="0"/>
        <v>69.3</v>
      </c>
      <c r="AH38" s="48"/>
      <c r="AI38" s="48"/>
    </row>
    <row r="39" spans="1:35" s="44" customFormat="1" ht="18.75" customHeight="1" x14ac:dyDescent="0.35">
      <c r="A39" s="60" t="s">
        <v>86</v>
      </c>
      <c r="B39" s="88">
        <v>1.1000000000000001</v>
      </c>
      <c r="C39" s="88">
        <v>1.7</v>
      </c>
      <c r="D39" s="88">
        <v>1.5</v>
      </c>
      <c r="E39" s="88">
        <v>6</v>
      </c>
      <c r="F39" s="88">
        <v>1.9</v>
      </c>
      <c r="G39" s="88">
        <v>8</v>
      </c>
      <c r="H39" s="88">
        <v>1.1000000000000001</v>
      </c>
      <c r="I39" s="88">
        <v>13.2</v>
      </c>
      <c r="J39" s="88"/>
      <c r="K39" s="88"/>
      <c r="L39" s="88"/>
      <c r="M39" s="88"/>
      <c r="N39" s="88"/>
      <c r="O39" s="88"/>
      <c r="P39" s="88"/>
      <c r="Q39" s="88"/>
      <c r="R39" s="88">
        <v>1.8</v>
      </c>
      <c r="S39" s="88"/>
      <c r="T39" s="88"/>
      <c r="U39" s="88">
        <v>1.3</v>
      </c>
      <c r="V39" s="88"/>
      <c r="W39" s="88"/>
      <c r="X39" s="88"/>
      <c r="Y39" s="88"/>
      <c r="Z39" s="88">
        <v>6</v>
      </c>
      <c r="AA39" s="88"/>
      <c r="AB39" s="88">
        <v>3.6</v>
      </c>
      <c r="AC39" s="88"/>
      <c r="AD39" s="88">
        <v>5.3</v>
      </c>
      <c r="AE39" s="88"/>
      <c r="AF39" s="88"/>
      <c r="AG39" s="103">
        <f t="shared" si="0"/>
        <v>52.499999999999993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0</v>
      </c>
      <c r="AH40" s="48"/>
      <c r="AI40" s="48"/>
    </row>
    <row r="41" spans="1:35" s="44" customFormat="1" ht="18.75" customHeight="1" x14ac:dyDescent="0.35">
      <c r="A41" s="60" t="s">
        <v>178</v>
      </c>
      <c r="B41" s="88">
        <v>0.1</v>
      </c>
      <c r="C41" s="88">
        <v>0.1</v>
      </c>
      <c r="D41" s="88">
        <v>1</v>
      </c>
      <c r="E41" s="88">
        <v>0.2</v>
      </c>
      <c r="F41" s="88">
        <v>0.1</v>
      </c>
      <c r="G41" s="88">
        <v>1</v>
      </c>
      <c r="H41" s="88">
        <v>1</v>
      </c>
      <c r="I41" s="88">
        <v>0.9</v>
      </c>
      <c r="J41" s="88">
        <v>0.1</v>
      </c>
      <c r="K41" s="88">
        <v>0.4</v>
      </c>
      <c r="L41" s="88">
        <v>0.4</v>
      </c>
      <c r="M41" s="88">
        <v>1</v>
      </c>
      <c r="N41" s="88">
        <v>0.2</v>
      </c>
      <c r="O41" s="88">
        <v>0.1</v>
      </c>
      <c r="P41" s="88">
        <v>0.1</v>
      </c>
      <c r="Q41" s="88"/>
      <c r="R41" s="88">
        <v>1</v>
      </c>
      <c r="S41" s="88">
        <v>1</v>
      </c>
      <c r="T41" s="88">
        <v>0.1</v>
      </c>
      <c r="U41" s="88">
        <v>2.1</v>
      </c>
      <c r="V41" s="88">
        <v>3</v>
      </c>
      <c r="W41" s="88">
        <v>2</v>
      </c>
      <c r="X41" s="88">
        <v>0.1</v>
      </c>
      <c r="Y41" s="88">
        <v>0.2</v>
      </c>
      <c r="Z41" s="88">
        <v>1.2</v>
      </c>
      <c r="AA41" s="88">
        <v>1.3</v>
      </c>
      <c r="AB41" s="88">
        <v>0.1</v>
      </c>
      <c r="AC41" s="88">
        <v>0.3</v>
      </c>
      <c r="AD41" s="88">
        <v>0.1</v>
      </c>
      <c r="AE41" s="88">
        <v>1</v>
      </c>
      <c r="AF41" s="88"/>
      <c r="AG41" s="103">
        <f t="shared" si="0"/>
        <v>20.200000000000003</v>
      </c>
      <c r="AH41" s="48"/>
      <c r="AI41" s="48"/>
    </row>
    <row r="42" spans="1:35" s="44" customFormat="1" ht="18.75" customHeight="1" x14ac:dyDescent="0.35">
      <c r="A42" s="59" t="s">
        <v>155</v>
      </c>
      <c r="B42" s="87">
        <f t="shared" ref="B42:AF42" si="1">SUM(B4:B41)</f>
        <v>45.8</v>
      </c>
      <c r="C42" s="87">
        <f t="shared" si="1"/>
        <v>45.20000000000001</v>
      </c>
      <c r="D42" s="87">
        <f t="shared" si="1"/>
        <v>33.799999999999997</v>
      </c>
      <c r="E42" s="87">
        <f t="shared" si="1"/>
        <v>38.6</v>
      </c>
      <c r="F42" s="87">
        <f t="shared" si="1"/>
        <v>45.3</v>
      </c>
      <c r="G42" s="87">
        <f t="shared" si="1"/>
        <v>53.7</v>
      </c>
      <c r="H42" s="87">
        <f t="shared" si="1"/>
        <v>40.4</v>
      </c>
      <c r="I42" s="87">
        <f t="shared" si="1"/>
        <v>57.29999999999999</v>
      </c>
      <c r="J42" s="87">
        <f t="shared" si="1"/>
        <v>34.1</v>
      </c>
      <c r="K42" s="87">
        <f t="shared" si="1"/>
        <v>30</v>
      </c>
      <c r="L42" s="87">
        <f t="shared" si="1"/>
        <v>31.6</v>
      </c>
      <c r="M42" s="87">
        <f t="shared" si="1"/>
        <v>48.4</v>
      </c>
      <c r="N42" s="87">
        <f t="shared" si="1"/>
        <v>38.5</v>
      </c>
      <c r="O42" s="87">
        <f t="shared" si="1"/>
        <v>38.100000000000009</v>
      </c>
      <c r="P42" s="87">
        <f t="shared" si="1"/>
        <v>44.599999999999994</v>
      </c>
      <c r="Q42" s="87">
        <f t="shared" si="1"/>
        <v>38.000000000000007</v>
      </c>
      <c r="R42" s="87">
        <f t="shared" si="1"/>
        <v>36.5</v>
      </c>
      <c r="S42" s="87">
        <f t="shared" si="1"/>
        <v>40.499999999999993</v>
      </c>
      <c r="T42" s="87">
        <f t="shared" si="1"/>
        <v>41.800000000000011</v>
      </c>
      <c r="U42" s="87">
        <f t="shared" si="1"/>
        <v>40.699999999999996</v>
      </c>
      <c r="V42" s="87">
        <f t="shared" si="1"/>
        <v>47.900000000000006</v>
      </c>
      <c r="W42" s="87">
        <f t="shared" si="1"/>
        <v>35.4</v>
      </c>
      <c r="X42" s="87">
        <f t="shared" si="1"/>
        <v>38.600000000000009</v>
      </c>
      <c r="Y42" s="87">
        <f t="shared" si="1"/>
        <v>30</v>
      </c>
      <c r="Z42" s="87">
        <f t="shared" si="1"/>
        <v>45.500000000000007</v>
      </c>
      <c r="AA42" s="87">
        <f t="shared" si="1"/>
        <v>40.9</v>
      </c>
      <c r="AB42" s="87">
        <f t="shared" si="1"/>
        <v>37.1</v>
      </c>
      <c r="AC42" s="87">
        <f t="shared" si="1"/>
        <v>35.5</v>
      </c>
      <c r="AD42" s="87">
        <f t="shared" si="1"/>
        <v>43.5</v>
      </c>
      <c r="AE42" s="87">
        <f t="shared" si="1"/>
        <v>36.800000000000004</v>
      </c>
      <c r="AF42" s="87">
        <f t="shared" si="1"/>
        <v>0</v>
      </c>
      <c r="AG42" s="105">
        <f>SUM(B42:AF42)</f>
        <v>1214.0999999999999</v>
      </c>
      <c r="AH42" s="57"/>
      <c r="AI42" s="57"/>
    </row>
    <row r="43" spans="1:35" s="2" customFormat="1" x14ac:dyDescent="0.25">
      <c r="AG43" s="24">
        <f>SUM(AG3:AG41)</f>
        <v>1214.1000000000001</v>
      </c>
    </row>
    <row r="44" spans="1:35" s="2" customFormat="1" x14ac:dyDescent="0.25"/>
    <row r="45" spans="1:35" s="2" customFormat="1" x14ac:dyDescent="0.25"/>
  </sheetData>
  <mergeCells count="2">
    <mergeCell ref="A1:AG1"/>
    <mergeCell ref="B3:AG3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51"/>
      <c r="D17" s="51"/>
      <c r="E17" s="51"/>
      <c r="F17" s="51"/>
      <c r="G17" s="51"/>
      <c r="H17" s="51"/>
      <c r="I17" s="51"/>
      <c r="J17" s="51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1"/>
      <c r="G21" s="51"/>
      <c r="H21" s="51"/>
      <c r="I21" s="51"/>
      <c r="J21" s="51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49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49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51"/>
      <c r="D29" s="51"/>
      <c r="E29" s="51"/>
      <c r="F29" s="51"/>
      <c r="G29" s="51"/>
      <c r="H29" s="51"/>
      <c r="I29" s="51"/>
      <c r="J29" s="51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0</v>
      </c>
      <c r="C33" s="51">
        <f t="shared" si="1"/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SUM(AG3:AG32)</f>
        <v>0</v>
      </c>
    </row>
    <row r="35" spans="1:35" s="2" customFormat="1" x14ac:dyDescent="0.25"/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4"/>
  <sheetViews>
    <sheetView workbookViewId="0">
      <selection sqref="A1:AG1"/>
    </sheetView>
  </sheetViews>
  <sheetFormatPr baseColWidth="10" defaultRowHeight="15" x14ac:dyDescent="0.25"/>
  <cols>
    <col min="1" max="1" width="50.5703125" customWidth="1"/>
    <col min="2" max="32" width="6.42578125" customWidth="1"/>
  </cols>
  <sheetData>
    <row r="1" spans="1:35" s="44" customFormat="1" ht="21" x14ac:dyDescent="0.35">
      <c r="A1" s="217" t="s">
        <v>187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27.75" customHeight="1" x14ac:dyDescent="0.35">
      <c r="A4" s="63" t="s">
        <v>94</v>
      </c>
      <c r="B4" s="85"/>
      <c r="C4" s="85">
        <v>0.2</v>
      </c>
      <c r="D4" s="85">
        <v>2.9</v>
      </c>
      <c r="E4" s="85">
        <v>1.9</v>
      </c>
      <c r="F4" s="85">
        <v>0.8</v>
      </c>
      <c r="G4" s="85">
        <v>1.8</v>
      </c>
      <c r="H4" s="85"/>
      <c r="I4" s="86"/>
      <c r="J4" s="85">
        <v>2.5</v>
      </c>
      <c r="K4" s="86">
        <v>2.7</v>
      </c>
      <c r="L4" s="85">
        <v>0.9</v>
      </c>
      <c r="M4" s="86">
        <v>1.8</v>
      </c>
      <c r="N4" s="85">
        <v>2.1</v>
      </c>
      <c r="O4" s="85"/>
      <c r="P4" s="86"/>
      <c r="Q4" s="85">
        <v>2.9</v>
      </c>
      <c r="R4" s="85">
        <v>2.7</v>
      </c>
      <c r="S4" s="86">
        <v>3.1</v>
      </c>
      <c r="T4" s="86">
        <v>0.7</v>
      </c>
      <c r="U4" s="86">
        <v>2.2000000000000002</v>
      </c>
      <c r="V4" s="86"/>
      <c r="W4" s="85"/>
      <c r="X4" s="85">
        <v>0.7</v>
      </c>
      <c r="Y4" s="85">
        <v>2.1</v>
      </c>
      <c r="Z4" s="85"/>
      <c r="AA4" s="85">
        <v>2.9</v>
      </c>
      <c r="AB4" s="85">
        <v>2</v>
      </c>
      <c r="AC4" s="85"/>
      <c r="AD4" s="85"/>
      <c r="AE4" s="85"/>
      <c r="AF4" s="85"/>
      <c r="AG4" s="103">
        <f t="shared" ref="AG4:AG41" si="0">SUM(B4:AF4)</f>
        <v>36.9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>
        <v>4.2</v>
      </c>
      <c r="C8" s="87">
        <v>4</v>
      </c>
      <c r="D8" s="87">
        <v>4.2</v>
      </c>
      <c r="E8" s="87">
        <v>4</v>
      </c>
      <c r="F8" s="87">
        <v>3.5</v>
      </c>
      <c r="G8" s="87">
        <v>3.8</v>
      </c>
      <c r="H8" s="87">
        <v>3.5</v>
      </c>
      <c r="I8" s="87">
        <v>4.5</v>
      </c>
      <c r="J8" s="87">
        <v>4.5</v>
      </c>
      <c r="K8" s="87">
        <v>4.2</v>
      </c>
      <c r="L8" s="87">
        <v>4.2</v>
      </c>
      <c r="M8" s="87">
        <v>4</v>
      </c>
      <c r="N8" s="87">
        <v>4.0999999999999996</v>
      </c>
      <c r="O8" s="87">
        <v>4</v>
      </c>
      <c r="P8" s="87">
        <v>4.2</v>
      </c>
      <c r="Q8" s="87">
        <v>4</v>
      </c>
      <c r="R8" s="87">
        <v>4</v>
      </c>
      <c r="S8" s="87">
        <v>4</v>
      </c>
      <c r="T8" s="87">
        <v>4</v>
      </c>
      <c r="U8" s="87">
        <v>4</v>
      </c>
      <c r="V8" s="87">
        <v>4.3</v>
      </c>
      <c r="W8" s="87">
        <v>4.0999999999999996</v>
      </c>
      <c r="X8" s="87">
        <v>4.2</v>
      </c>
      <c r="Y8" s="87">
        <v>4.0999999999999996</v>
      </c>
      <c r="Z8" s="87">
        <v>4</v>
      </c>
      <c r="AA8" s="87">
        <v>4.2</v>
      </c>
      <c r="AB8" s="87">
        <v>4.5</v>
      </c>
      <c r="AC8" s="87">
        <v>4.5</v>
      </c>
      <c r="AD8" s="87">
        <v>4.3</v>
      </c>
      <c r="AE8" s="87">
        <v>4.5</v>
      </c>
      <c r="AF8" s="87">
        <v>4</v>
      </c>
      <c r="AG8" s="103">
        <f t="shared" si="0"/>
        <v>127.6</v>
      </c>
      <c r="AH8" s="48"/>
      <c r="AI8" s="48"/>
    </row>
    <row r="9" spans="1:35" s="44" customFormat="1" ht="18.75" customHeight="1" x14ac:dyDescent="0.35">
      <c r="A9" s="60" t="s">
        <v>65</v>
      </c>
      <c r="B9" s="87">
        <v>3.5</v>
      </c>
      <c r="C9" s="87">
        <v>2.9</v>
      </c>
      <c r="D9" s="87">
        <v>3.2</v>
      </c>
      <c r="E9" s="87">
        <v>3.5</v>
      </c>
      <c r="F9" s="87">
        <v>4.4000000000000004</v>
      </c>
      <c r="G9" s="87">
        <v>3.8</v>
      </c>
      <c r="H9" s="87">
        <v>3.3</v>
      </c>
      <c r="I9" s="87">
        <v>2.9</v>
      </c>
      <c r="J9" s="87">
        <v>4.5</v>
      </c>
      <c r="K9" s="87">
        <v>3.6</v>
      </c>
      <c r="L9" s="87">
        <v>3.8</v>
      </c>
      <c r="M9" s="87">
        <v>6.9</v>
      </c>
      <c r="N9" s="87">
        <v>3.3</v>
      </c>
      <c r="O9" s="87">
        <v>2.9</v>
      </c>
      <c r="P9" s="87">
        <v>2</v>
      </c>
      <c r="Q9" s="87">
        <v>3</v>
      </c>
      <c r="R9" s="87">
        <v>3.7</v>
      </c>
      <c r="S9" s="87">
        <v>2.9</v>
      </c>
      <c r="T9" s="87">
        <v>3</v>
      </c>
      <c r="U9" s="87">
        <v>4.0999999999999996</v>
      </c>
      <c r="V9" s="87">
        <v>3.6</v>
      </c>
      <c r="W9" s="87">
        <v>3.3</v>
      </c>
      <c r="X9" s="87">
        <v>3.2</v>
      </c>
      <c r="Y9" s="87">
        <v>3</v>
      </c>
      <c r="Z9" s="87">
        <v>4.4000000000000004</v>
      </c>
      <c r="AA9" s="87">
        <v>3.3</v>
      </c>
      <c r="AB9" s="87">
        <v>2.9</v>
      </c>
      <c r="AC9" s="87">
        <v>3.9</v>
      </c>
      <c r="AD9" s="87">
        <v>3.6</v>
      </c>
      <c r="AE9" s="87">
        <v>4.2</v>
      </c>
      <c r="AF9" s="87">
        <v>3</v>
      </c>
      <c r="AG9" s="103">
        <f t="shared" si="0"/>
        <v>109.6</v>
      </c>
      <c r="AH9" s="48"/>
      <c r="AI9" s="48"/>
    </row>
    <row r="10" spans="1:35" s="44" customFormat="1" ht="18.75" customHeight="1" x14ac:dyDescent="0.35">
      <c r="A10" s="60" t="s">
        <v>66</v>
      </c>
      <c r="B10" s="87"/>
      <c r="C10" s="87">
        <v>1.5</v>
      </c>
      <c r="D10" s="87">
        <v>1.2</v>
      </c>
      <c r="E10" s="87">
        <v>2.2000000000000002</v>
      </c>
      <c r="F10" s="87">
        <v>3.1</v>
      </c>
      <c r="G10" s="87">
        <v>1.3</v>
      </c>
      <c r="H10" s="87">
        <v>2</v>
      </c>
      <c r="I10" s="87"/>
      <c r="J10" s="87">
        <v>0.9</v>
      </c>
      <c r="K10" s="87">
        <v>1.2</v>
      </c>
      <c r="L10" s="87">
        <v>1.4</v>
      </c>
      <c r="M10" s="87">
        <v>1.2</v>
      </c>
      <c r="N10" s="87">
        <v>0.9</v>
      </c>
      <c r="O10" s="87">
        <v>1.1000000000000001</v>
      </c>
      <c r="P10" s="87"/>
      <c r="Q10" s="87">
        <v>1</v>
      </c>
      <c r="R10" s="87">
        <v>1.5</v>
      </c>
      <c r="S10" s="87">
        <v>4.7</v>
      </c>
      <c r="T10" s="87">
        <v>2.2000000000000002</v>
      </c>
      <c r="U10" s="87">
        <v>3.1</v>
      </c>
      <c r="V10" s="87">
        <v>1.3</v>
      </c>
      <c r="W10" s="87">
        <v>1.4</v>
      </c>
      <c r="X10" s="87">
        <v>1.5</v>
      </c>
      <c r="Y10" s="87">
        <v>1.1000000000000001</v>
      </c>
      <c r="Z10" s="87">
        <v>1.2</v>
      </c>
      <c r="AA10" s="87">
        <v>1.3</v>
      </c>
      <c r="AB10" s="87">
        <v>1</v>
      </c>
      <c r="AC10" s="87">
        <v>2.2000000000000002</v>
      </c>
      <c r="AD10" s="87">
        <v>3.1</v>
      </c>
      <c r="AE10" s="87">
        <v>1.4</v>
      </c>
      <c r="AF10" s="87">
        <v>0.9</v>
      </c>
      <c r="AG10" s="103">
        <f t="shared" si="0"/>
        <v>46.900000000000006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1.1000000000000001</v>
      </c>
      <c r="C11" s="87">
        <v>1.1000000000000001</v>
      </c>
      <c r="D11" s="87">
        <v>3.3</v>
      </c>
      <c r="E11" s="87">
        <v>3</v>
      </c>
      <c r="F11" s="87">
        <v>1.2</v>
      </c>
      <c r="G11" s="87">
        <v>2.2999999999999998</v>
      </c>
      <c r="H11" s="87">
        <v>2.4</v>
      </c>
      <c r="I11" s="87">
        <v>1.9</v>
      </c>
      <c r="J11" s="87">
        <v>1.9</v>
      </c>
      <c r="K11" s="87">
        <v>1.3</v>
      </c>
      <c r="L11" s="87">
        <v>1</v>
      </c>
      <c r="M11" s="87">
        <v>1.5</v>
      </c>
      <c r="N11" s="87">
        <v>1.3</v>
      </c>
      <c r="O11" s="87">
        <v>1.4</v>
      </c>
      <c r="P11" s="87">
        <v>1.3</v>
      </c>
      <c r="Q11" s="87">
        <v>1</v>
      </c>
      <c r="R11" s="87">
        <v>1.3</v>
      </c>
      <c r="S11" s="87">
        <v>1</v>
      </c>
      <c r="T11" s="87">
        <v>1.2</v>
      </c>
      <c r="U11" s="87">
        <v>1.3</v>
      </c>
      <c r="V11" s="87">
        <v>1.4</v>
      </c>
      <c r="W11" s="87">
        <v>1.5</v>
      </c>
      <c r="X11" s="87">
        <v>1.3</v>
      </c>
      <c r="Y11" s="87">
        <v>1.2</v>
      </c>
      <c r="Z11" s="87">
        <v>1.3</v>
      </c>
      <c r="AA11" s="87">
        <v>1</v>
      </c>
      <c r="AB11" s="87">
        <v>1.6</v>
      </c>
      <c r="AC11" s="87">
        <v>1</v>
      </c>
      <c r="AD11" s="87">
        <v>1</v>
      </c>
      <c r="AE11" s="87">
        <v>1.3</v>
      </c>
      <c r="AF11" s="87">
        <v>1</v>
      </c>
      <c r="AG11" s="103">
        <f t="shared" si="0"/>
        <v>45.4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0.9</v>
      </c>
      <c r="C16" s="87">
        <v>1.3</v>
      </c>
      <c r="D16" s="87">
        <v>1.3</v>
      </c>
      <c r="E16" s="87">
        <v>1.3</v>
      </c>
      <c r="F16" s="87">
        <v>1.1000000000000001</v>
      </c>
      <c r="G16" s="87">
        <v>1.7</v>
      </c>
      <c r="H16" s="87">
        <v>1.5</v>
      </c>
      <c r="I16" s="87">
        <v>1.2</v>
      </c>
      <c r="J16" s="87">
        <v>1.3</v>
      </c>
      <c r="K16" s="87">
        <v>1.4</v>
      </c>
      <c r="L16" s="87">
        <v>1.7</v>
      </c>
      <c r="M16" s="87">
        <v>1.5</v>
      </c>
      <c r="N16" s="87">
        <v>0.9</v>
      </c>
      <c r="O16" s="87">
        <v>0.5</v>
      </c>
      <c r="P16" s="87">
        <v>1.5</v>
      </c>
      <c r="Q16" s="87">
        <v>1.7</v>
      </c>
      <c r="R16" s="87">
        <v>0.7</v>
      </c>
      <c r="S16" s="87">
        <v>1.4</v>
      </c>
      <c r="T16" s="87">
        <v>1.1000000000000001</v>
      </c>
      <c r="U16" s="87">
        <v>1.7</v>
      </c>
      <c r="V16" s="87">
        <v>1.3</v>
      </c>
      <c r="W16" s="87">
        <v>1.5</v>
      </c>
      <c r="X16" s="87">
        <v>1.1000000000000001</v>
      </c>
      <c r="Y16" s="87">
        <v>1.7</v>
      </c>
      <c r="Z16" s="87">
        <v>0.9</v>
      </c>
      <c r="AA16" s="87">
        <v>4.2</v>
      </c>
      <c r="AB16" s="87">
        <v>1.9</v>
      </c>
      <c r="AC16" s="87">
        <v>1.5</v>
      </c>
      <c r="AD16" s="87">
        <v>1.7</v>
      </c>
      <c r="AE16" s="87">
        <v>1.7</v>
      </c>
      <c r="AF16" s="87">
        <v>1.4</v>
      </c>
      <c r="AG16" s="103">
        <f t="shared" si="0"/>
        <v>44.600000000000009</v>
      </c>
      <c r="AH16" s="48"/>
      <c r="AI16" s="48"/>
    </row>
    <row r="17" spans="1:35" s="44" customFormat="1" ht="18.75" customHeight="1" x14ac:dyDescent="0.35">
      <c r="A17" s="60" t="s">
        <v>68</v>
      </c>
      <c r="B17" s="87">
        <f>2.3+3</f>
        <v>5.3</v>
      </c>
      <c r="C17" s="87">
        <f>1.1+1</f>
        <v>2.1</v>
      </c>
      <c r="D17" s="87">
        <f>2.1+3</f>
        <v>5.0999999999999996</v>
      </c>
      <c r="E17" s="87">
        <f>2.1+1.2</f>
        <v>3.3</v>
      </c>
      <c r="F17" s="87">
        <f>3+2.2</f>
        <v>5.2</v>
      </c>
      <c r="G17" s="87">
        <f>3+2</f>
        <v>5</v>
      </c>
      <c r="H17" s="87">
        <f>2.2+2.1</f>
        <v>4.3000000000000007</v>
      </c>
      <c r="I17" s="87">
        <f>3.1+3</f>
        <v>6.1</v>
      </c>
      <c r="J17" s="87">
        <f>3.1+2.2</f>
        <v>5.3000000000000007</v>
      </c>
      <c r="K17" s="87">
        <f>2.1+2</f>
        <v>4.0999999999999996</v>
      </c>
      <c r="L17" s="87">
        <f>2+2.1</f>
        <v>4.0999999999999996</v>
      </c>
      <c r="M17" s="87">
        <f>2.2+2.1</f>
        <v>4.3000000000000007</v>
      </c>
      <c r="N17" s="87" t="s">
        <v>189</v>
      </c>
      <c r="O17" s="87">
        <f>3+2.1</f>
        <v>5.0999999999999996</v>
      </c>
      <c r="P17" s="87">
        <f>3.6+1</f>
        <v>4.5999999999999996</v>
      </c>
      <c r="Q17" s="87">
        <f>3.3+2.5</f>
        <v>5.8</v>
      </c>
      <c r="R17" s="87">
        <f>3+2.9</f>
        <v>5.9</v>
      </c>
      <c r="S17" s="87">
        <f>3.2+2.8</f>
        <v>6</v>
      </c>
      <c r="T17" s="87">
        <f>2.1+4.1</f>
        <v>6.1999999999999993</v>
      </c>
      <c r="U17" s="87">
        <f>2.4+1</f>
        <v>3.4</v>
      </c>
      <c r="V17" s="87">
        <f>2.5+1.7</f>
        <v>4.2</v>
      </c>
      <c r="W17" s="87">
        <f>2.8+1.4</f>
        <v>4.1999999999999993</v>
      </c>
      <c r="X17" s="87">
        <f>2.7+3</f>
        <v>5.7</v>
      </c>
      <c r="Y17" s="87">
        <f>2+2.5</f>
        <v>4.5</v>
      </c>
      <c r="Z17" s="87">
        <f>3+2.9</f>
        <v>5.9</v>
      </c>
      <c r="AA17" s="87">
        <f>4+3.1</f>
        <v>7.1</v>
      </c>
      <c r="AB17" s="87">
        <f>4.3+2.5</f>
        <v>6.8</v>
      </c>
      <c r="AC17" s="87">
        <f>4+0.3</f>
        <v>4.3</v>
      </c>
      <c r="AD17" s="87">
        <f>4.7+1</f>
        <v>5.7</v>
      </c>
      <c r="AE17" s="87">
        <v>5.7</v>
      </c>
      <c r="AF17" s="87">
        <f>5.1+0.9</f>
        <v>6</v>
      </c>
      <c r="AG17" s="103">
        <f t="shared" si="0"/>
        <v>151.30000000000001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66">
        <v>2</v>
      </c>
      <c r="D19" s="66">
        <v>2.2000000000000002</v>
      </c>
      <c r="E19" s="66">
        <v>1.9</v>
      </c>
      <c r="F19" s="66">
        <v>2</v>
      </c>
      <c r="G19" s="66">
        <v>1.4</v>
      </c>
      <c r="H19" s="66">
        <v>2</v>
      </c>
      <c r="I19" s="66"/>
      <c r="J19" s="66">
        <v>1.8</v>
      </c>
      <c r="K19" s="66">
        <v>1.6</v>
      </c>
      <c r="L19" s="66">
        <v>1.5</v>
      </c>
      <c r="M19" s="66">
        <v>2</v>
      </c>
      <c r="N19" s="66">
        <v>1.6</v>
      </c>
      <c r="O19" s="66">
        <v>1.2</v>
      </c>
      <c r="P19" s="66"/>
      <c r="Q19" s="66">
        <v>1.5</v>
      </c>
      <c r="R19" s="66">
        <v>2.2000000000000002</v>
      </c>
      <c r="S19" s="66">
        <v>1.2</v>
      </c>
      <c r="T19" s="66">
        <v>1</v>
      </c>
      <c r="U19" s="66">
        <v>1.4</v>
      </c>
      <c r="V19" s="66">
        <v>2.5</v>
      </c>
      <c r="W19" s="66"/>
      <c r="X19" s="66">
        <v>1.2</v>
      </c>
      <c r="Y19" s="66">
        <v>1.8</v>
      </c>
      <c r="Z19" s="66"/>
      <c r="AA19" s="66">
        <v>1.3</v>
      </c>
      <c r="AB19" s="66">
        <v>1.2</v>
      </c>
      <c r="AC19" s="66">
        <v>1.5</v>
      </c>
      <c r="AD19" s="66"/>
      <c r="AE19" s="66">
        <v>1.6</v>
      </c>
      <c r="AF19" s="66">
        <v>2.5</v>
      </c>
      <c r="AG19" s="103">
        <f t="shared" si="0"/>
        <v>42.099999999999994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>
        <v>1.7</v>
      </c>
      <c r="C23" s="87">
        <v>0.8</v>
      </c>
      <c r="D23" s="87">
        <v>0.9</v>
      </c>
      <c r="E23" s="87">
        <v>0.9</v>
      </c>
      <c r="F23" s="87">
        <v>1.2</v>
      </c>
      <c r="G23" s="87">
        <v>1.3</v>
      </c>
      <c r="H23" s="87">
        <v>1.6</v>
      </c>
      <c r="I23" s="87">
        <v>1.9</v>
      </c>
      <c r="J23" s="87">
        <v>1.6</v>
      </c>
      <c r="K23" s="87">
        <v>0.8</v>
      </c>
      <c r="L23" s="87">
        <v>0.9</v>
      </c>
      <c r="M23" s="87">
        <v>1.7</v>
      </c>
      <c r="N23" s="87">
        <v>1.3</v>
      </c>
      <c r="O23" s="87">
        <v>1.2</v>
      </c>
      <c r="P23" s="87">
        <v>0.8</v>
      </c>
      <c r="Q23" s="87">
        <v>0.9</v>
      </c>
      <c r="R23" s="87">
        <v>0.8</v>
      </c>
      <c r="S23" s="87">
        <v>0.4</v>
      </c>
      <c r="T23" s="87">
        <v>0.6</v>
      </c>
      <c r="U23" s="87">
        <v>0.8</v>
      </c>
      <c r="V23" s="87">
        <v>0.9</v>
      </c>
      <c r="W23" s="87">
        <v>0.5</v>
      </c>
      <c r="X23" s="87">
        <v>1.6</v>
      </c>
      <c r="Y23" s="88">
        <v>0.9</v>
      </c>
      <c r="Z23" s="88">
        <v>0.8</v>
      </c>
      <c r="AA23" s="88">
        <v>5.4</v>
      </c>
      <c r="AB23" s="88">
        <v>1.8</v>
      </c>
      <c r="AC23" s="88">
        <v>0.6</v>
      </c>
      <c r="AD23" s="88">
        <v>0.2</v>
      </c>
      <c r="AE23" s="88">
        <v>0.6</v>
      </c>
      <c r="AF23" s="88">
        <v>0.9</v>
      </c>
      <c r="AG23" s="103">
        <f t="shared" si="0"/>
        <v>36.300000000000004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2.4</v>
      </c>
      <c r="C24" s="87">
        <v>2.2999999999999998</v>
      </c>
      <c r="D24" s="87">
        <v>0.1</v>
      </c>
      <c r="E24" s="87">
        <v>2.1</v>
      </c>
      <c r="F24" s="87">
        <v>2.2999999999999998</v>
      </c>
      <c r="G24" s="87">
        <v>2.5</v>
      </c>
      <c r="H24" s="87">
        <v>3.1</v>
      </c>
      <c r="I24" s="87">
        <v>2.1</v>
      </c>
      <c r="J24" s="87">
        <v>2</v>
      </c>
      <c r="K24" s="87">
        <v>2.2999999999999998</v>
      </c>
      <c r="L24" s="87">
        <v>2.2000000000000002</v>
      </c>
      <c r="M24" s="87">
        <v>2.1</v>
      </c>
      <c r="N24" s="87">
        <v>1</v>
      </c>
      <c r="O24" s="87">
        <v>3.1</v>
      </c>
      <c r="P24" s="87">
        <v>2.5</v>
      </c>
      <c r="Q24" s="87">
        <v>2.8</v>
      </c>
      <c r="R24" s="87">
        <v>1.9</v>
      </c>
      <c r="S24" s="87">
        <v>2.2999999999999998</v>
      </c>
      <c r="T24" s="87">
        <v>2.5</v>
      </c>
      <c r="U24" s="87">
        <v>1.8</v>
      </c>
      <c r="V24" s="87">
        <v>1.9</v>
      </c>
      <c r="W24" s="87">
        <v>1.8</v>
      </c>
      <c r="X24" s="87">
        <v>2.5</v>
      </c>
      <c r="Y24" s="87">
        <v>2.1</v>
      </c>
      <c r="Z24" s="87">
        <v>1.5</v>
      </c>
      <c r="AA24" s="87">
        <v>1.2</v>
      </c>
      <c r="AB24" s="87">
        <v>2</v>
      </c>
      <c r="AC24" s="87">
        <v>1.5</v>
      </c>
      <c r="AD24" s="87">
        <v>2.1</v>
      </c>
      <c r="AE24" s="87">
        <v>2.2999999999999998</v>
      </c>
      <c r="AF24" s="87">
        <v>3.2</v>
      </c>
      <c r="AG24" s="103">
        <f t="shared" si="0"/>
        <v>65.499999999999986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>
        <v>1.6</v>
      </c>
      <c r="C26" s="87">
        <v>1.9</v>
      </c>
      <c r="D26" s="87">
        <v>2.1</v>
      </c>
      <c r="E26" s="87">
        <v>2</v>
      </c>
      <c r="F26" s="87">
        <v>1.9</v>
      </c>
      <c r="G26" s="87">
        <v>2.1</v>
      </c>
      <c r="H26" s="87">
        <v>2.1</v>
      </c>
      <c r="I26" s="87">
        <v>2</v>
      </c>
      <c r="J26" s="87">
        <v>1.4</v>
      </c>
      <c r="K26" s="87">
        <v>1.4</v>
      </c>
      <c r="L26" s="87">
        <v>1.9</v>
      </c>
      <c r="M26" s="87">
        <v>1.2</v>
      </c>
      <c r="N26" s="87">
        <v>1.3</v>
      </c>
      <c r="O26" s="87">
        <v>3</v>
      </c>
      <c r="P26" s="87">
        <v>1.7</v>
      </c>
      <c r="Q26" s="87">
        <v>2.5</v>
      </c>
      <c r="R26" s="87">
        <v>1.4</v>
      </c>
      <c r="S26" s="87">
        <v>2</v>
      </c>
      <c r="T26" s="87" t="s">
        <v>191</v>
      </c>
      <c r="U26" s="87">
        <v>3</v>
      </c>
      <c r="V26" s="87">
        <v>2.6</v>
      </c>
      <c r="W26" s="87">
        <v>1.9</v>
      </c>
      <c r="X26" s="87">
        <v>1.3</v>
      </c>
      <c r="Y26" s="87">
        <v>2.2999999999999998</v>
      </c>
      <c r="Z26" s="87">
        <v>1.3</v>
      </c>
      <c r="AA26" s="87">
        <v>1</v>
      </c>
      <c r="AB26" s="87">
        <v>2.6</v>
      </c>
      <c r="AC26" s="87">
        <v>1.7</v>
      </c>
      <c r="AD26" s="87">
        <v>1.2</v>
      </c>
      <c r="AE26" s="87">
        <v>1.7</v>
      </c>
      <c r="AF26" s="87">
        <v>1.5</v>
      </c>
      <c r="AG26" s="103">
        <f t="shared" si="0"/>
        <v>55.599999999999994</v>
      </c>
      <c r="AH26" s="48"/>
      <c r="AI26" s="48"/>
    </row>
    <row r="27" spans="1:35" s="44" customFormat="1" ht="18.75" customHeight="1" x14ac:dyDescent="0.35">
      <c r="A27" s="60" t="s">
        <v>73</v>
      </c>
      <c r="B27" s="87">
        <v>2.1</v>
      </c>
      <c r="C27" s="87">
        <v>3</v>
      </c>
      <c r="D27" s="87">
        <v>2.1</v>
      </c>
      <c r="E27" s="87">
        <v>1.9</v>
      </c>
      <c r="F27" s="87">
        <v>3.2</v>
      </c>
      <c r="G27" s="87">
        <v>2.1</v>
      </c>
      <c r="H27" s="87">
        <v>3</v>
      </c>
      <c r="I27" s="87">
        <v>3</v>
      </c>
      <c r="J27" s="87">
        <v>3</v>
      </c>
      <c r="K27" s="87">
        <v>2.1</v>
      </c>
      <c r="L27" s="87">
        <v>2</v>
      </c>
      <c r="M27" s="87">
        <v>2.7</v>
      </c>
      <c r="N27" s="87">
        <v>3</v>
      </c>
      <c r="O27" s="87">
        <v>2.8</v>
      </c>
      <c r="P27" s="87">
        <v>3</v>
      </c>
      <c r="Q27" s="87">
        <v>2.9</v>
      </c>
      <c r="R27" s="87">
        <v>2.7</v>
      </c>
      <c r="S27" s="87">
        <v>2</v>
      </c>
      <c r="T27" s="87">
        <v>2.7</v>
      </c>
      <c r="U27" s="87">
        <v>4</v>
      </c>
      <c r="V27" s="87">
        <v>3</v>
      </c>
      <c r="W27" s="87">
        <v>4.3</v>
      </c>
      <c r="X27" s="87">
        <v>3</v>
      </c>
      <c r="Y27" s="87">
        <v>2.1</v>
      </c>
      <c r="Z27" s="87">
        <v>2.2000000000000002</v>
      </c>
      <c r="AA27" s="87">
        <v>3</v>
      </c>
      <c r="AB27" s="87">
        <v>2.1</v>
      </c>
      <c r="AC27" s="87"/>
      <c r="AD27" s="87"/>
      <c r="AE27" s="87"/>
      <c r="AF27" s="87"/>
      <c r="AG27" s="103">
        <f t="shared" si="0"/>
        <v>73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87">
        <v>2.1</v>
      </c>
      <c r="D28" s="87">
        <v>1.4</v>
      </c>
      <c r="E28" s="87">
        <v>1.6</v>
      </c>
      <c r="F28" s="87">
        <v>1</v>
      </c>
      <c r="G28" s="87">
        <v>1</v>
      </c>
      <c r="H28" s="87"/>
      <c r="I28" s="87"/>
      <c r="J28" s="87">
        <v>1</v>
      </c>
      <c r="K28" s="87">
        <v>1.8</v>
      </c>
      <c r="L28" s="87">
        <v>0.9</v>
      </c>
      <c r="M28" s="87">
        <v>0.5</v>
      </c>
      <c r="N28" s="87">
        <v>1.5</v>
      </c>
      <c r="O28" s="87"/>
      <c r="P28" s="87"/>
      <c r="Q28" s="87">
        <v>1.6</v>
      </c>
      <c r="R28" s="87">
        <v>0.5</v>
      </c>
      <c r="S28" s="87">
        <v>1.3</v>
      </c>
      <c r="T28" s="87">
        <v>2.2000000000000002</v>
      </c>
      <c r="U28" s="87">
        <v>1.6</v>
      </c>
      <c r="V28" s="87"/>
      <c r="W28" s="87"/>
      <c r="X28" s="87"/>
      <c r="Y28" s="87">
        <v>1.3</v>
      </c>
      <c r="Z28" s="87"/>
      <c r="AA28" s="87">
        <v>0.5</v>
      </c>
      <c r="AB28" s="87">
        <v>1.2</v>
      </c>
      <c r="AC28" s="87"/>
      <c r="AD28" s="87"/>
      <c r="AE28" s="87">
        <v>1</v>
      </c>
      <c r="AF28" s="87"/>
      <c r="AG28" s="103">
        <f t="shared" si="0"/>
        <v>24</v>
      </c>
      <c r="AH28" s="48"/>
      <c r="AI28" s="48"/>
    </row>
    <row r="29" spans="1:35" s="44" customFormat="1" ht="18.75" customHeight="1" x14ac:dyDescent="0.35">
      <c r="A29" s="60" t="s">
        <v>89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103">
        <f t="shared" si="0"/>
        <v>0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>
        <v>1</v>
      </c>
      <c r="C31" s="87">
        <v>1.4</v>
      </c>
      <c r="D31" s="87">
        <v>0.4</v>
      </c>
      <c r="E31" s="87">
        <v>1.7</v>
      </c>
      <c r="F31" s="87">
        <v>0.9</v>
      </c>
      <c r="G31" s="87">
        <v>1.9</v>
      </c>
      <c r="H31" s="87">
        <v>1</v>
      </c>
      <c r="I31" s="87">
        <v>1.6</v>
      </c>
      <c r="J31" s="87">
        <v>2.9</v>
      </c>
      <c r="K31" s="87">
        <v>1.9</v>
      </c>
      <c r="L31" s="87">
        <v>2</v>
      </c>
      <c r="M31" s="87">
        <v>1.5</v>
      </c>
      <c r="N31" s="87">
        <v>2.1</v>
      </c>
      <c r="O31" s="87">
        <v>0.5</v>
      </c>
      <c r="P31" s="87"/>
      <c r="Q31" s="87">
        <v>0.4</v>
      </c>
      <c r="R31" s="87">
        <v>1.1000000000000001</v>
      </c>
      <c r="S31" s="87">
        <v>1.4</v>
      </c>
      <c r="T31" s="87">
        <v>1.2</v>
      </c>
      <c r="U31" s="87">
        <v>1.5</v>
      </c>
      <c r="V31" s="87">
        <v>0.4</v>
      </c>
      <c r="W31" s="87"/>
      <c r="X31" s="87">
        <v>1.9</v>
      </c>
      <c r="Y31" s="87">
        <v>2.4</v>
      </c>
      <c r="Z31" s="87">
        <v>1.3</v>
      </c>
      <c r="AA31" s="87">
        <v>1.3</v>
      </c>
      <c r="AB31" s="87">
        <v>2.6</v>
      </c>
      <c r="AC31" s="87">
        <v>2.9</v>
      </c>
      <c r="AD31" s="87"/>
      <c r="AE31" s="87"/>
      <c r="AF31" s="87"/>
      <c r="AG31" s="103">
        <f t="shared" si="0"/>
        <v>39.199999999999996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87">
        <v>0.3</v>
      </c>
      <c r="D32" s="87">
        <v>0.5</v>
      </c>
      <c r="E32" s="87">
        <v>1</v>
      </c>
      <c r="F32" s="87">
        <v>0.5</v>
      </c>
      <c r="G32" s="87">
        <v>0.3</v>
      </c>
      <c r="H32" s="87"/>
      <c r="I32" s="87">
        <v>1.3</v>
      </c>
      <c r="J32" s="87">
        <v>0.8</v>
      </c>
      <c r="K32" s="87">
        <v>0.3</v>
      </c>
      <c r="L32" s="87">
        <v>41.5</v>
      </c>
      <c r="M32" s="87">
        <v>0.4</v>
      </c>
      <c r="N32" s="87"/>
      <c r="O32" s="87"/>
      <c r="P32" s="87">
        <v>1.6</v>
      </c>
      <c r="Q32" s="87">
        <v>0.1</v>
      </c>
      <c r="R32" s="87">
        <v>1.5</v>
      </c>
      <c r="S32" s="87">
        <v>0.9</v>
      </c>
      <c r="T32" s="87">
        <v>0.3</v>
      </c>
      <c r="U32" s="87"/>
      <c r="V32" s="87"/>
      <c r="W32" s="87">
        <v>1.6</v>
      </c>
      <c r="X32" s="87">
        <v>2</v>
      </c>
      <c r="Y32" s="87"/>
      <c r="Z32" s="87">
        <v>1.5</v>
      </c>
      <c r="AA32" s="87">
        <v>0.2</v>
      </c>
      <c r="AB32" s="87"/>
      <c r="AC32" s="87"/>
      <c r="AD32" s="87">
        <v>1.6</v>
      </c>
      <c r="AE32" s="87">
        <v>1.9</v>
      </c>
      <c r="AF32" s="87"/>
      <c r="AG32" s="103">
        <f t="shared" si="0"/>
        <v>60.1</v>
      </c>
      <c r="AH32" s="48"/>
      <c r="AI32" s="48"/>
    </row>
    <row r="33" spans="1:35" s="44" customFormat="1" ht="18.75" customHeight="1" x14ac:dyDescent="0.35">
      <c r="A33" s="60" t="s">
        <v>78</v>
      </c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103">
        <f t="shared" si="0"/>
        <v>0</v>
      </c>
      <c r="AH33" s="48"/>
      <c r="AI33" s="48"/>
    </row>
    <row r="34" spans="1:35" s="44" customFormat="1" ht="18.75" customHeight="1" x14ac:dyDescent="0.35">
      <c r="A34" s="60" t="s">
        <v>79</v>
      </c>
      <c r="B34" s="87">
        <v>0.9</v>
      </c>
      <c r="C34" s="87">
        <v>0.5</v>
      </c>
      <c r="D34" s="87">
        <v>0.3</v>
      </c>
      <c r="E34" s="87">
        <v>0.5</v>
      </c>
      <c r="F34" s="87">
        <v>0.9</v>
      </c>
      <c r="G34" s="87">
        <v>1</v>
      </c>
      <c r="H34" s="87">
        <v>1</v>
      </c>
      <c r="I34" s="87">
        <v>0.9</v>
      </c>
      <c r="J34" s="87">
        <v>0.9</v>
      </c>
      <c r="K34" s="87">
        <v>0.5</v>
      </c>
      <c r="L34" s="87">
        <v>0.6</v>
      </c>
      <c r="M34" s="87">
        <v>0.9</v>
      </c>
      <c r="N34" s="87">
        <v>1</v>
      </c>
      <c r="O34" s="87">
        <v>1.5</v>
      </c>
      <c r="P34" s="87">
        <v>0.5</v>
      </c>
      <c r="Q34" s="87">
        <v>0.9</v>
      </c>
      <c r="R34" s="87">
        <v>0.9</v>
      </c>
      <c r="S34" s="87">
        <v>0.5</v>
      </c>
      <c r="T34" s="87">
        <v>0.7</v>
      </c>
      <c r="U34" s="87">
        <v>1</v>
      </c>
      <c r="V34" s="87">
        <v>0.9</v>
      </c>
      <c r="W34" s="87">
        <v>1</v>
      </c>
      <c r="X34" s="87">
        <v>0.5</v>
      </c>
      <c r="Y34" s="87">
        <v>0.8</v>
      </c>
      <c r="Z34" s="87">
        <v>0.5</v>
      </c>
      <c r="AA34" s="87">
        <v>0.9</v>
      </c>
      <c r="AB34" s="87">
        <v>0.8</v>
      </c>
      <c r="AC34" s="87">
        <v>1</v>
      </c>
      <c r="AD34" s="87">
        <v>0.9</v>
      </c>
      <c r="AE34" s="87">
        <v>0.8</v>
      </c>
      <c r="AF34" s="87">
        <v>0.5</v>
      </c>
      <c r="AG34" s="103">
        <f t="shared" si="0"/>
        <v>24.5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/>
      <c r="C36" s="88">
        <v>1.5</v>
      </c>
      <c r="D36" s="88">
        <v>1.2</v>
      </c>
      <c r="E36" s="88">
        <v>2.2000000000000002</v>
      </c>
      <c r="F36" s="88">
        <v>3.1</v>
      </c>
      <c r="G36" s="88">
        <v>1.3</v>
      </c>
      <c r="H36" s="88">
        <v>1</v>
      </c>
      <c r="I36" s="88"/>
      <c r="J36" s="87">
        <v>0.9</v>
      </c>
      <c r="K36" s="87">
        <v>1.2</v>
      </c>
      <c r="L36" s="87">
        <v>1.4</v>
      </c>
      <c r="M36" s="87">
        <v>1.2</v>
      </c>
      <c r="N36" s="87">
        <v>6.9</v>
      </c>
      <c r="O36" s="87">
        <v>1.1000000000000001</v>
      </c>
      <c r="P36" s="87"/>
      <c r="Q36" s="87">
        <v>1</v>
      </c>
      <c r="R36" s="87">
        <v>1.5</v>
      </c>
      <c r="S36" s="87">
        <v>4.7</v>
      </c>
      <c r="T36" s="87">
        <v>2.2000000000000002</v>
      </c>
      <c r="U36" s="87">
        <v>3.1</v>
      </c>
      <c r="V36" s="87">
        <v>1.3</v>
      </c>
      <c r="W36" s="87">
        <v>1.1000000000000001</v>
      </c>
      <c r="X36" s="87">
        <v>1.5</v>
      </c>
      <c r="Y36" s="87">
        <v>1.1000000000000001</v>
      </c>
      <c r="Z36" s="87">
        <v>1.2</v>
      </c>
      <c r="AA36" s="87">
        <v>4.2</v>
      </c>
      <c r="AB36" s="87">
        <v>5.0999999999999996</v>
      </c>
      <c r="AC36" s="87">
        <v>4.0999999999999996</v>
      </c>
      <c r="AD36" s="87">
        <v>6.5</v>
      </c>
      <c r="AE36" s="87">
        <v>4.8</v>
      </c>
      <c r="AF36" s="87">
        <v>5.3</v>
      </c>
      <c r="AG36" s="103">
        <f t="shared" si="0"/>
        <v>71.7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106">
        <f>3.1+2.1+1.9</f>
        <v>7.1</v>
      </c>
      <c r="C38" s="106">
        <f>1.3+1.3+2.2</f>
        <v>4.8000000000000007</v>
      </c>
      <c r="D38" s="88">
        <f>3.1+1.9+3.1</f>
        <v>8.1</v>
      </c>
      <c r="E38" s="88">
        <f>2.2+1.9+1.3</f>
        <v>5.3999999999999995</v>
      </c>
      <c r="F38" s="88">
        <f>1.9+5.6+3.1</f>
        <v>10.6</v>
      </c>
      <c r="G38" s="106">
        <f>1.9+2.3+1.9</f>
        <v>6.1</v>
      </c>
      <c r="H38" s="88">
        <f>2.2+3.1+1.9</f>
        <v>7.2000000000000011</v>
      </c>
      <c r="I38" s="106"/>
      <c r="J38" s="88">
        <f>1.9+1.8+1.9</f>
        <v>5.6</v>
      </c>
      <c r="K38" s="106">
        <f>2+3.1</f>
        <v>5.0999999999999996</v>
      </c>
      <c r="L38" s="88">
        <f>2.6+2.3+9.1</f>
        <v>14</v>
      </c>
      <c r="M38" s="88">
        <f>3.1+2.3+3.1</f>
        <v>8.5</v>
      </c>
      <c r="N38" s="88">
        <f>1.9+2.8+2.5</f>
        <v>7.1999999999999993</v>
      </c>
      <c r="O38" s="88">
        <f>3.1+2.8+3.1</f>
        <v>9</v>
      </c>
      <c r="P38" s="106">
        <f>2.1+2.2+1.9</f>
        <v>6.2000000000000011</v>
      </c>
      <c r="Q38" s="106">
        <f>1.9+2.2+1.9</f>
        <v>6</v>
      </c>
      <c r="R38" s="88">
        <f>2.9+1.9+7.3</f>
        <v>12.1</v>
      </c>
      <c r="S38" s="88">
        <f>1.9+2.8+6.7</f>
        <v>11.399999999999999</v>
      </c>
      <c r="T38" s="88">
        <f>2.2+1.9+3.4</f>
        <v>7.5</v>
      </c>
      <c r="U38" s="106">
        <f>1.3+2.4+7</f>
        <v>10.7</v>
      </c>
      <c r="V38" s="106">
        <f>3.4+5.3+4.1</f>
        <v>12.799999999999999</v>
      </c>
      <c r="W38" s="106">
        <f>3.1+2.2+4.1</f>
        <v>9.4</v>
      </c>
      <c r="X38" s="106">
        <f>4.1+2.5+6.3</f>
        <v>12.899999999999999</v>
      </c>
      <c r="Y38" s="88">
        <f>3.5+4.5+2.2</f>
        <v>10.199999999999999</v>
      </c>
      <c r="Z38" s="106">
        <f>1.8+2.6+3.1</f>
        <v>7.5</v>
      </c>
      <c r="AA38" s="106">
        <f>3.1+2.2+5.1</f>
        <v>10.4</v>
      </c>
      <c r="AB38" s="106">
        <f>3.1+2.2+2.6</f>
        <v>7.9</v>
      </c>
      <c r="AC38" s="106">
        <f>3.1+2.8+3.1</f>
        <v>9</v>
      </c>
      <c r="AD38" s="106">
        <f>2.1+1.9+6</f>
        <v>10</v>
      </c>
      <c r="AE38" s="106">
        <f>3.1+2.2+4.1</f>
        <v>9.4</v>
      </c>
      <c r="AF38" s="88">
        <f>1.9+2.1+4.1</f>
        <v>8.1</v>
      </c>
      <c r="AG38" s="103">
        <f t="shared" si="0"/>
        <v>260.20000000000005</v>
      </c>
      <c r="AH38" s="48"/>
      <c r="AI38" s="48"/>
    </row>
    <row r="39" spans="1:35" s="44" customFormat="1" ht="18.75" customHeight="1" x14ac:dyDescent="0.35">
      <c r="A39" s="60" t="s">
        <v>86</v>
      </c>
      <c r="B39" s="88"/>
      <c r="C39" s="88"/>
      <c r="D39" s="88">
        <v>7.5</v>
      </c>
      <c r="E39" s="88"/>
      <c r="F39" s="88">
        <v>6.3</v>
      </c>
      <c r="G39" s="88"/>
      <c r="H39" s="88"/>
      <c r="I39" s="88">
        <v>4</v>
      </c>
      <c r="J39" s="88"/>
      <c r="K39" s="88">
        <v>3</v>
      </c>
      <c r="L39" s="88">
        <v>9.5</v>
      </c>
      <c r="M39" s="88"/>
      <c r="N39" s="88">
        <v>6.8</v>
      </c>
      <c r="O39" s="88"/>
      <c r="P39" s="88">
        <v>8.1</v>
      </c>
      <c r="Q39" s="88"/>
      <c r="R39" s="88">
        <v>7.2</v>
      </c>
      <c r="S39" s="88">
        <v>2</v>
      </c>
      <c r="T39" s="88">
        <v>7.5</v>
      </c>
      <c r="U39" s="88">
        <v>3</v>
      </c>
      <c r="V39" s="88">
        <v>6.3</v>
      </c>
      <c r="W39" s="88"/>
      <c r="X39" s="88">
        <v>5.8</v>
      </c>
      <c r="Y39" s="88">
        <v>3.5</v>
      </c>
      <c r="Z39" s="88"/>
      <c r="AA39" s="88">
        <v>7.3</v>
      </c>
      <c r="AB39" s="88"/>
      <c r="AC39" s="88">
        <v>5.2</v>
      </c>
      <c r="AD39" s="88"/>
      <c r="AE39" s="88"/>
      <c r="AF39" s="88"/>
      <c r="AG39" s="103">
        <f t="shared" si="0"/>
        <v>93</v>
      </c>
      <c r="AH39" s="48"/>
      <c r="AI39" s="48"/>
    </row>
    <row r="40" spans="1:35" s="44" customFormat="1" ht="18.75" customHeight="1" x14ac:dyDescent="0.35">
      <c r="A40" s="60" t="s">
        <v>82</v>
      </c>
      <c r="B40" s="88">
        <v>5</v>
      </c>
      <c r="C40" s="88">
        <v>4</v>
      </c>
      <c r="D40" s="88">
        <v>4.2</v>
      </c>
      <c r="E40" s="88">
        <v>4.5</v>
      </c>
      <c r="F40" s="88">
        <v>5.2</v>
      </c>
      <c r="G40" s="88">
        <v>6.2</v>
      </c>
      <c r="H40" s="88">
        <v>3.9</v>
      </c>
      <c r="I40" s="88">
        <v>3.8</v>
      </c>
      <c r="J40" s="88">
        <v>4.7</v>
      </c>
      <c r="K40" s="88">
        <v>4</v>
      </c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45.5</v>
      </c>
      <c r="AH40" s="48"/>
      <c r="AI40" s="48"/>
    </row>
    <row r="41" spans="1:35" s="44" customFormat="1" ht="18.75" customHeight="1" x14ac:dyDescent="0.35">
      <c r="A41" s="60" t="s">
        <v>178</v>
      </c>
      <c r="B41" s="88">
        <v>1</v>
      </c>
      <c r="C41" s="88">
        <v>0.1</v>
      </c>
      <c r="D41" s="88">
        <v>2</v>
      </c>
      <c r="E41" s="88">
        <v>0.1</v>
      </c>
      <c r="F41" s="88">
        <v>0.1</v>
      </c>
      <c r="G41" s="88">
        <v>4</v>
      </c>
      <c r="H41" s="88" t="s">
        <v>190</v>
      </c>
      <c r="I41" s="88"/>
      <c r="J41" s="88">
        <v>0.1</v>
      </c>
      <c r="K41" s="88">
        <v>7</v>
      </c>
      <c r="L41" s="88">
        <v>3.8</v>
      </c>
      <c r="M41" s="88">
        <v>3.9</v>
      </c>
      <c r="N41" s="88">
        <v>4</v>
      </c>
      <c r="O41" s="88">
        <v>4.2</v>
      </c>
      <c r="P41" s="88">
        <v>3.9</v>
      </c>
      <c r="Q41" s="88">
        <v>4.5</v>
      </c>
      <c r="R41" s="88">
        <v>5</v>
      </c>
      <c r="S41" s="88">
        <v>5.0999999999999996</v>
      </c>
      <c r="T41" s="88">
        <v>4.8</v>
      </c>
      <c r="U41" s="88">
        <v>3.8</v>
      </c>
      <c r="V41" s="88">
        <v>3.9</v>
      </c>
      <c r="W41" s="88">
        <v>4.2</v>
      </c>
      <c r="X41" s="88">
        <v>5.0999999999999996</v>
      </c>
      <c r="Y41" s="88">
        <v>5.0999999999999996</v>
      </c>
      <c r="Z41" s="88">
        <v>5.0999999999999996</v>
      </c>
      <c r="AA41" s="88">
        <v>4.8</v>
      </c>
      <c r="AB41" s="88">
        <v>4.9000000000000004</v>
      </c>
      <c r="AC41" s="88">
        <v>3.8</v>
      </c>
      <c r="AD41" s="88">
        <v>3.9</v>
      </c>
      <c r="AE41" s="88">
        <v>3.5</v>
      </c>
      <c r="AF41" s="88">
        <v>5.2</v>
      </c>
      <c r="AG41" s="103">
        <f t="shared" si="0"/>
        <v>106.89999999999998</v>
      </c>
      <c r="AH41" s="57"/>
      <c r="AI41" s="57"/>
    </row>
    <row r="42" spans="1:35" s="2" customFormat="1" ht="19.5" x14ac:dyDescent="0.35">
      <c r="A42" s="59" t="s">
        <v>155</v>
      </c>
      <c r="B42" s="87">
        <f>SUM(B4:B41)</f>
        <v>37.799999999999997</v>
      </c>
      <c r="C42" s="87">
        <f t="shared" ref="C42:AF42" si="1">SUM(C4:C41)</f>
        <v>37.800000000000004</v>
      </c>
      <c r="D42" s="87">
        <f t="shared" si="1"/>
        <v>54.20000000000001</v>
      </c>
      <c r="E42" s="87">
        <f t="shared" si="1"/>
        <v>45</v>
      </c>
      <c r="F42" s="87">
        <f t="shared" si="1"/>
        <v>58.5</v>
      </c>
      <c r="G42" s="87">
        <f t="shared" si="1"/>
        <v>50.9</v>
      </c>
      <c r="H42" s="87">
        <f t="shared" si="1"/>
        <v>42.900000000000006</v>
      </c>
      <c r="I42" s="87">
        <f t="shared" si="1"/>
        <v>37.200000000000003</v>
      </c>
      <c r="J42" s="87">
        <f t="shared" si="1"/>
        <v>47.6</v>
      </c>
      <c r="K42" s="87">
        <f t="shared" si="1"/>
        <v>51.500000000000007</v>
      </c>
      <c r="L42" s="87">
        <f t="shared" si="1"/>
        <v>99.3</v>
      </c>
      <c r="M42" s="87">
        <f t="shared" si="1"/>
        <v>47.8</v>
      </c>
      <c r="N42" s="87">
        <f t="shared" si="1"/>
        <v>50.3</v>
      </c>
      <c r="O42" s="87">
        <f t="shared" si="1"/>
        <v>42.600000000000009</v>
      </c>
      <c r="P42" s="87">
        <f t="shared" si="1"/>
        <v>41.9</v>
      </c>
      <c r="Q42" s="87">
        <f t="shared" si="1"/>
        <v>44.499999999999993</v>
      </c>
      <c r="R42" s="87">
        <f t="shared" si="1"/>
        <v>58.6</v>
      </c>
      <c r="S42" s="87">
        <f t="shared" si="1"/>
        <v>58.3</v>
      </c>
      <c r="T42" s="87">
        <f t="shared" si="1"/>
        <v>51.599999999999994</v>
      </c>
      <c r="U42" s="87">
        <f t="shared" si="1"/>
        <v>55.5</v>
      </c>
      <c r="V42" s="87">
        <f t="shared" si="1"/>
        <v>52.599999999999994</v>
      </c>
      <c r="W42" s="87">
        <f t="shared" si="1"/>
        <v>41.800000000000004</v>
      </c>
      <c r="X42" s="87">
        <f t="shared" si="1"/>
        <v>57</v>
      </c>
      <c r="Y42" s="87">
        <f t="shared" si="1"/>
        <v>51.300000000000004</v>
      </c>
      <c r="Z42" s="87">
        <f t="shared" si="1"/>
        <v>40.6</v>
      </c>
      <c r="AA42" s="87">
        <f t="shared" si="1"/>
        <v>65.5</v>
      </c>
      <c r="AB42" s="87">
        <f t="shared" si="1"/>
        <v>52.9</v>
      </c>
      <c r="AC42" s="87">
        <f t="shared" si="1"/>
        <v>48.7</v>
      </c>
      <c r="AD42" s="87">
        <f t="shared" si="1"/>
        <v>45.8</v>
      </c>
      <c r="AE42" s="87">
        <f t="shared" si="1"/>
        <v>46.4</v>
      </c>
      <c r="AF42" s="87">
        <f t="shared" si="1"/>
        <v>43.5</v>
      </c>
      <c r="AG42" s="105">
        <f>SUM(B42:AF42)</f>
        <v>1559.8999999999999</v>
      </c>
    </row>
    <row r="43" spans="1:35" s="2" customFormat="1" x14ac:dyDescent="0.25">
      <c r="AG43" s="24">
        <f>SUM(AG4:AG41)</f>
        <v>1559.9</v>
      </c>
    </row>
    <row r="44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6.28515625" customWidth="1"/>
    <col min="2" max="30" width="10" customWidth="1"/>
    <col min="31" max="32" width="7.85546875" customWidth="1"/>
    <col min="33" max="33" width="14.570312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>
        <v>3.7</v>
      </c>
      <c r="E3" s="49">
        <v>2.9</v>
      </c>
      <c r="F3" s="49">
        <v>3</v>
      </c>
      <c r="G3" s="49">
        <v>4.0999999999999996</v>
      </c>
      <c r="H3" s="49">
        <v>3.5</v>
      </c>
      <c r="I3" s="50"/>
      <c r="J3" s="49"/>
      <c r="K3" s="49">
        <v>2.9</v>
      </c>
      <c r="L3" s="50">
        <v>1</v>
      </c>
      <c r="M3" s="49">
        <v>2.4</v>
      </c>
      <c r="N3" s="50">
        <v>4.2</v>
      </c>
      <c r="O3" s="49">
        <v>1.7</v>
      </c>
      <c r="P3" s="50"/>
      <c r="Q3" s="49"/>
      <c r="R3" s="49">
        <v>3.9</v>
      </c>
      <c r="S3" s="50">
        <v>3.5</v>
      </c>
      <c r="T3" s="50">
        <v>2.9</v>
      </c>
      <c r="U3" s="50">
        <v>2</v>
      </c>
      <c r="V3" s="50">
        <v>3.1</v>
      </c>
      <c r="W3" s="49"/>
      <c r="X3" s="49"/>
      <c r="Y3" s="49">
        <v>3.7</v>
      </c>
      <c r="Z3" s="49">
        <v>2.8</v>
      </c>
      <c r="AA3" s="49">
        <v>2</v>
      </c>
      <c r="AB3" s="49">
        <v>3</v>
      </c>
      <c r="AC3" s="49">
        <v>3.7</v>
      </c>
      <c r="AD3" s="49"/>
      <c r="AE3" s="49"/>
      <c r="AF3" s="49"/>
      <c r="AG3" s="82">
        <f t="shared" ref="AG3:AG32" si="0">SUM(B3:AF3)</f>
        <v>60</v>
      </c>
      <c r="AH3" s="47"/>
      <c r="AI3" s="48"/>
    </row>
    <row r="4" spans="1:35" s="44" customFormat="1" ht="18.75" customHeight="1" x14ac:dyDescent="0.35">
      <c r="A4" s="60" t="s">
        <v>193</v>
      </c>
      <c r="B4" s="51">
        <v>3.7</v>
      </c>
      <c r="C4" s="51">
        <v>2.7</v>
      </c>
      <c r="D4" s="51">
        <v>3.8</v>
      </c>
      <c r="E4" s="51">
        <v>3.2</v>
      </c>
      <c r="F4" s="51">
        <v>3.1</v>
      </c>
      <c r="G4" s="51">
        <v>2.2999999999999998</v>
      </c>
      <c r="H4" s="51">
        <v>2.9</v>
      </c>
      <c r="I4" s="51">
        <v>3.1</v>
      </c>
      <c r="J4" s="51">
        <v>2.8</v>
      </c>
      <c r="K4" s="51">
        <v>3.9</v>
      </c>
      <c r="L4" s="51">
        <v>2.8</v>
      </c>
      <c r="M4" s="51">
        <v>3.3</v>
      </c>
      <c r="N4" s="51">
        <v>3.1</v>
      </c>
      <c r="O4" s="51">
        <v>3.2</v>
      </c>
      <c r="P4" s="51">
        <v>4.0999999999999996</v>
      </c>
      <c r="Q4" s="51">
        <v>2.9</v>
      </c>
      <c r="R4" s="51">
        <v>2.4</v>
      </c>
      <c r="S4" s="51">
        <v>3</v>
      </c>
      <c r="T4" s="51">
        <v>1.5</v>
      </c>
      <c r="U4" s="51">
        <v>2.5</v>
      </c>
      <c r="V4" s="51">
        <v>3.1</v>
      </c>
      <c r="W4" s="51">
        <v>2.4</v>
      </c>
      <c r="X4" s="51">
        <v>1.9</v>
      </c>
      <c r="Y4" s="51">
        <v>2.1</v>
      </c>
      <c r="Z4" s="51">
        <v>3.5</v>
      </c>
      <c r="AA4" s="51">
        <v>2.9</v>
      </c>
      <c r="AB4" s="51">
        <v>2.7</v>
      </c>
      <c r="AC4" s="51">
        <v>3.2</v>
      </c>
      <c r="AD4" s="51">
        <v>2.9</v>
      </c>
      <c r="AE4" s="51"/>
      <c r="AF4" s="51"/>
      <c r="AG4" s="82">
        <f t="shared" si="0"/>
        <v>85.000000000000014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82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82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4.8</v>
      </c>
      <c r="C7" s="51">
        <v>4.5</v>
      </c>
      <c r="D7" s="51">
        <v>4.2</v>
      </c>
      <c r="E7" s="51">
        <v>4.8</v>
      </c>
      <c r="F7" s="51">
        <v>4.5</v>
      </c>
      <c r="G7" s="51">
        <v>4.3</v>
      </c>
      <c r="H7" s="51">
        <v>4</v>
      </c>
      <c r="I7" s="51">
        <v>4.5</v>
      </c>
      <c r="J7" s="51">
        <v>4.8</v>
      </c>
      <c r="K7" s="51">
        <v>4.5</v>
      </c>
      <c r="L7" s="51">
        <v>4.8</v>
      </c>
      <c r="M7" s="51">
        <v>4.5</v>
      </c>
      <c r="N7" s="51">
        <v>4.8</v>
      </c>
      <c r="O7" s="51">
        <v>4.3</v>
      </c>
      <c r="P7" s="51">
        <v>4.5</v>
      </c>
      <c r="Q7" s="51">
        <v>3.5</v>
      </c>
      <c r="R7" s="51">
        <v>4</v>
      </c>
      <c r="S7" s="51">
        <v>4</v>
      </c>
      <c r="T7" s="51">
        <v>3.5</v>
      </c>
      <c r="U7" s="51">
        <v>4</v>
      </c>
      <c r="V7" s="51">
        <v>4</v>
      </c>
      <c r="W7" s="51">
        <v>4</v>
      </c>
      <c r="X7" s="51">
        <v>4</v>
      </c>
      <c r="Y7" s="51">
        <v>3.8</v>
      </c>
      <c r="Z7" s="51">
        <v>4</v>
      </c>
      <c r="AA7" s="51">
        <v>4</v>
      </c>
      <c r="AB7" s="51">
        <v>3.9</v>
      </c>
      <c r="AC7" s="51">
        <v>4</v>
      </c>
      <c r="AD7" s="51">
        <v>3.5</v>
      </c>
      <c r="AE7" s="51"/>
      <c r="AF7" s="51"/>
      <c r="AG7" s="82">
        <f t="shared" si="0"/>
        <v>121.99999999999999</v>
      </c>
      <c r="AH7" s="48"/>
      <c r="AI7" s="48"/>
    </row>
    <row r="8" spans="1:35" s="44" customFormat="1" ht="18.75" customHeight="1" x14ac:dyDescent="0.35">
      <c r="A8" s="60" t="s">
        <v>65</v>
      </c>
      <c r="B8" s="51">
        <v>6.6</v>
      </c>
      <c r="C8" s="51">
        <v>7.1</v>
      </c>
      <c r="D8" s="51">
        <v>5.5</v>
      </c>
      <c r="E8" s="51">
        <v>4.9000000000000004</v>
      </c>
      <c r="F8" s="51">
        <v>5.2</v>
      </c>
      <c r="G8" s="51">
        <v>8.6999999999999993</v>
      </c>
      <c r="H8" s="51">
        <v>6.1</v>
      </c>
      <c r="I8" s="51">
        <v>5</v>
      </c>
      <c r="J8" s="51">
        <v>4.4000000000000004</v>
      </c>
      <c r="K8" s="51">
        <v>3.9</v>
      </c>
      <c r="L8" s="51">
        <v>4.5</v>
      </c>
      <c r="M8" s="51">
        <v>5</v>
      </c>
      <c r="N8" s="51">
        <v>4.9000000000000004</v>
      </c>
      <c r="O8" s="51">
        <v>4</v>
      </c>
      <c r="P8" s="51">
        <v>3.3</v>
      </c>
      <c r="Q8" s="51">
        <v>3</v>
      </c>
      <c r="R8" s="51">
        <v>5.2</v>
      </c>
      <c r="S8" s="51">
        <v>4.9000000000000004</v>
      </c>
      <c r="T8" s="51">
        <v>5</v>
      </c>
      <c r="U8" s="51">
        <v>3.5</v>
      </c>
      <c r="V8" s="51">
        <v>4.9000000000000004</v>
      </c>
      <c r="W8" s="51">
        <v>3.3</v>
      </c>
      <c r="X8" s="51">
        <v>3</v>
      </c>
      <c r="Y8" s="51">
        <v>5</v>
      </c>
      <c r="Z8" s="51">
        <v>5</v>
      </c>
      <c r="AA8" s="51">
        <v>4.9000000000000004</v>
      </c>
      <c r="AB8" s="51">
        <v>3.6</v>
      </c>
      <c r="AC8" s="51">
        <v>4.4000000000000004</v>
      </c>
      <c r="AD8" s="51">
        <v>4.8</v>
      </c>
      <c r="AE8" s="51"/>
      <c r="AF8" s="51"/>
      <c r="AG8" s="82">
        <f t="shared" si="0"/>
        <v>139.60000000000005</v>
      </c>
      <c r="AH8" s="48"/>
      <c r="AI8" s="48"/>
    </row>
    <row r="9" spans="1:35" s="44" customFormat="1" ht="18.75" customHeight="1" x14ac:dyDescent="0.35">
      <c r="A9" s="60" t="s">
        <v>66</v>
      </c>
      <c r="B9" s="52">
        <v>2.9</v>
      </c>
      <c r="C9" s="114">
        <v>3</v>
      </c>
      <c r="D9" s="114">
        <v>2</v>
      </c>
      <c r="E9" s="52">
        <v>3.5</v>
      </c>
      <c r="F9" s="52">
        <v>2.8</v>
      </c>
      <c r="G9" s="52">
        <v>2.5</v>
      </c>
      <c r="H9" s="52">
        <v>1.9</v>
      </c>
      <c r="I9" s="114">
        <v>3</v>
      </c>
      <c r="J9" s="52"/>
      <c r="K9" s="52">
        <v>3.1</v>
      </c>
      <c r="L9" s="52">
        <v>1.9</v>
      </c>
      <c r="M9" s="52">
        <v>3.5</v>
      </c>
      <c r="N9" s="52">
        <v>2.8</v>
      </c>
      <c r="O9" s="114">
        <v>3</v>
      </c>
      <c r="P9" s="52">
        <v>2.9</v>
      </c>
      <c r="Q9" s="52"/>
      <c r="R9" s="114">
        <v>2</v>
      </c>
      <c r="S9" s="52">
        <v>2.9</v>
      </c>
      <c r="T9" s="114">
        <v>2</v>
      </c>
      <c r="U9" s="52">
        <v>3.9</v>
      </c>
      <c r="V9" s="114">
        <v>2</v>
      </c>
      <c r="W9" s="52">
        <v>2.5</v>
      </c>
      <c r="X9" s="52"/>
      <c r="Y9" s="114">
        <v>2</v>
      </c>
      <c r="Z9" s="114">
        <v>3</v>
      </c>
      <c r="AA9" s="114">
        <v>2</v>
      </c>
      <c r="AB9" s="52">
        <v>2.5</v>
      </c>
      <c r="AC9" s="114">
        <v>3</v>
      </c>
      <c r="AD9" s="114">
        <v>2</v>
      </c>
      <c r="AE9" s="52"/>
      <c r="AF9" s="52"/>
      <c r="AG9" s="82">
        <f t="shared" si="0"/>
        <v>68.599999999999994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7.3</v>
      </c>
      <c r="C10" s="51">
        <v>6.9</v>
      </c>
      <c r="D10" s="51">
        <v>8</v>
      </c>
      <c r="E10" s="51">
        <v>8.1</v>
      </c>
      <c r="F10" s="51">
        <v>9</v>
      </c>
      <c r="G10" s="51">
        <v>8</v>
      </c>
      <c r="H10" s="51">
        <v>7.9</v>
      </c>
      <c r="I10" s="51">
        <v>9</v>
      </c>
      <c r="J10" s="51">
        <v>6.9</v>
      </c>
      <c r="K10" s="51">
        <v>7.3</v>
      </c>
      <c r="L10" s="51">
        <v>7</v>
      </c>
      <c r="M10" s="51">
        <v>7.5</v>
      </c>
      <c r="N10" s="51">
        <v>9</v>
      </c>
      <c r="O10" s="51">
        <v>7.9</v>
      </c>
      <c r="P10" s="51">
        <v>8</v>
      </c>
      <c r="Q10" s="51">
        <v>8</v>
      </c>
      <c r="R10" s="51">
        <v>4.5</v>
      </c>
      <c r="S10" s="51">
        <v>5.3</v>
      </c>
      <c r="T10" s="51">
        <v>6</v>
      </c>
      <c r="U10" s="51">
        <v>7</v>
      </c>
      <c r="V10" s="51">
        <v>6.2</v>
      </c>
      <c r="W10" s="51">
        <v>6.8</v>
      </c>
      <c r="X10" s="51">
        <v>7.3</v>
      </c>
      <c r="Y10" s="51">
        <v>7.9</v>
      </c>
      <c r="Z10" s="51">
        <v>6.9</v>
      </c>
      <c r="AA10" s="51">
        <v>8.3000000000000007</v>
      </c>
      <c r="AB10" s="51">
        <v>7.9</v>
      </c>
      <c r="AC10" s="51">
        <v>6.7</v>
      </c>
      <c r="AD10" s="51">
        <v>6.9</v>
      </c>
      <c r="AE10" s="51"/>
      <c r="AF10" s="51"/>
      <c r="AG10" s="82">
        <f t="shared" si="0"/>
        <v>213.50000000000006</v>
      </c>
      <c r="AH10" s="48"/>
      <c r="AI10" s="48"/>
    </row>
    <row r="11" spans="1:35" s="44" customFormat="1" ht="18.75" customHeight="1" x14ac:dyDescent="0.35">
      <c r="A11" s="60" t="s">
        <v>152</v>
      </c>
      <c r="B11" s="51">
        <v>2.8</v>
      </c>
      <c r="C11" s="51"/>
      <c r="D11" s="51">
        <v>2.2999999999999998</v>
      </c>
      <c r="E11" s="51">
        <v>2.6</v>
      </c>
      <c r="F11" s="51">
        <v>2.6</v>
      </c>
      <c r="G11" s="51">
        <v>2.8</v>
      </c>
      <c r="H11" s="51">
        <v>2.2999999999999998</v>
      </c>
      <c r="I11" s="51">
        <v>2.2000000000000002</v>
      </c>
      <c r="J11" s="51"/>
      <c r="K11" s="51">
        <v>2.8</v>
      </c>
      <c r="L11" s="51">
        <v>3.1</v>
      </c>
      <c r="M11" s="51">
        <v>2.4</v>
      </c>
      <c r="N11" s="51">
        <v>2.2999999999999998</v>
      </c>
      <c r="O11" s="51">
        <v>2.5</v>
      </c>
      <c r="P11" s="51">
        <v>2.2999999999999998</v>
      </c>
      <c r="Q11" s="51"/>
      <c r="R11" s="51">
        <v>3</v>
      </c>
      <c r="S11" s="51">
        <v>3.1</v>
      </c>
      <c r="T11" s="51">
        <v>2.9</v>
      </c>
      <c r="U11" s="51">
        <v>3</v>
      </c>
      <c r="V11" s="51">
        <v>4</v>
      </c>
      <c r="W11" s="51">
        <v>2.5</v>
      </c>
      <c r="X11" s="51"/>
      <c r="Y11" s="51">
        <v>2.2999999999999998</v>
      </c>
      <c r="Z11" s="51">
        <v>3</v>
      </c>
      <c r="AA11" s="51">
        <v>2.8</v>
      </c>
      <c r="AB11" s="51">
        <v>2.5</v>
      </c>
      <c r="AC11" s="51">
        <v>2.2999999999999998</v>
      </c>
      <c r="AD11" s="51">
        <v>2.8</v>
      </c>
      <c r="AE11" s="51"/>
      <c r="AF11" s="51"/>
      <c r="AG11" s="82">
        <f t="shared" si="0"/>
        <v>67.199999999999989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4.3</v>
      </c>
      <c r="C12" s="51">
        <v>3.9</v>
      </c>
      <c r="D12" s="51">
        <v>5.3</v>
      </c>
      <c r="E12" s="51">
        <v>3.8</v>
      </c>
      <c r="F12" s="51">
        <v>4.5</v>
      </c>
      <c r="G12" s="51">
        <v>4.7</v>
      </c>
      <c r="H12" s="51">
        <v>3.3</v>
      </c>
      <c r="I12" s="51">
        <v>3.7</v>
      </c>
      <c r="J12" s="51">
        <v>3.7</v>
      </c>
      <c r="K12" s="51">
        <v>3.3</v>
      </c>
      <c r="L12" s="51">
        <v>4.0999999999999996</v>
      </c>
      <c r="M12" s="51">
        <v>4.3</v>
      </c>
      <c r="N12" s="51">
        <v>3.9</v>
      </c>
      <c r="O12" s="51">
        <v>3</v>
      </c>
      <c r="P12" s="51">
        <v>4.7</v>
      </c>
      <c r="Q12" s="51">
        <v>7.3</v>
      </c>
      <c r="R12" s="51">
        <v>2.9</v>
      </c>
      <c r="S12" s="51">
        <v>1.1000000000000001</v>
      </c>
      <c r="T12" s="51">
        <v>2.7</v>
      </c>
      <c r="U12" s="51">
        <v>2.9</v>
      </c>
      <c r="V12" s="51">
        <v>3.8</v>
      </c>
      <c r="W12" s="51">
        <v>4.5</v>
      </c>
      <c r="X12" s="51">
        <v>4.7</v>
      </c>
      <c r="Y12" s="51">
        <v>3.3</v>
      </c>
      <c r="Z12" s="51">
        <v>3.1</v>
      </c>
      <c r="AA12" s="51">
        <v>3.5</v>
      </c>
      <c r="AB12" s="51">
        <v>3.9</v>
      </c>
      <c r="AC12" s="51">
        <v>4.3</v>
      </c>
      <c r="AD12" s="51">
        <v>3.9</v>
      </c>
      <c r="AE12" s="51"/>
      <c r="AF12" s="51"/>
      <c r="AG12" s="82">
        <f t="shared" si="0"/>
        <v>112.4</v>
      </c>
      <c r="AH12" s="48"/>
      <c r="AI12" s="48"/>
    </row>
    <row r="13" spans="1:35" s="44" customFormat="1" ht="18.75" customHeight="1" x14ac:dyDescent="0.35">
      <c r="A13" s="60" t="s">
        <v>69</v>
      </c>
      <c r="B13" s="55">
        <v>3</v>
      </c>
      <c r="C13" s="55"/>
      <c r="D13" s="55">
        <v>3.4</v>
      </c>
      <c r="E13" s="55">
        <v>4</v>
      </c>
      <c r="F13" s="55">
        <v>2.9</v>
      </c>
      <c r="G13" s="55">
        <v>3.6</v>
      </c>
      <c r="H13" s="55">
        <v>1.6</v>
      </c>
      <c r="I13" s="55">
        <v>4.2</v>
      </c>
      <c r="J13" s="55"/>
      <c r="K13" s="55">
        <v>3</v>
      </c>
      <c r="L13" s="55">
        <v>2.6</v>
      </c>
      <c r="M13" s="55">
        <v>2.4</v>
      </c>
      <c r="N13" s="55">
        <v>1.8</v>
      </c>
      <c r="O13" s="55">
        <v>2.6</v>
      </c>
      <c r="P13" s="55">
        <v>3.3</v>
      </c>
      <c r="Q13" s="55"/>
      <c r="R13" s="55">
        <v>2</v>
      </c>
      <c r="S13" s="55">
        <v>4</v>
      </c>
      <c r="T13" s="55">
        <v>3.3</v>
      </c>
      <c r="U13" s="55">
        <v>3.6</v>
      </c>
      <c r="V13" s="55">
        <v>2.9</v>
      </c>
      <c r="W13" s="55">
        <v>2.5</v>
      </c>
      <c r="X13" s="55"/>
      <c r="Y13" s="55">
        <v>3</v>
      </c>
      <c r="Z13" s="55">
        <v>3.3</v>
      </c>
      <c r="AA13" s="55">
        <v>2</v>
      </c>
      <c r="AB13" s="55">
        <v>1.7</v>
      </c>
      <c r="AC13" s="55">
        <v>3.6</v>
      </c>
      <c r="AD13" s="55">
        <v>2.2000000000000002</v>
      </c>
      <c r="AE13" s="55"/>
      <c r="AF13" s="55"/>
      <c r="AG13" s="82">
        <f t="shared" si="0"/>
        <v>72.5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4.2</v>
      </c>
      <c r="C14" s="51">
        <v>6.3</v>
      </c>
      <c r="D14" s="51">
        <v>7.2</v>
      </c>
      <c r="E14" s="51">
        <v>3.1</v>
      </c>
      <c r="F14" s="51">
        <v>8.4</v>
      </c>
      <c r="G14" s="51">
        <v>6.2</v>
      </c>
      <c r="H14" s="51">
        <v>2.1</v>
      </c>
      <c r="I14" s="51">
        <v>5.0999999999999996</v>
      </c>
      <c r="J14" s="51">
        <v>9.3000000000000007</v>
      </c>
      <c r="K14" s="51">
        <v>8.1999999999999993</v>
      </c>
      <c r="L14" s="51">
        <v>6.3</v>
      </c>
      <c r="M14" s="51">
        <v>7.4</v>
      </c>
      <c r="N14" s="51">
        <v>8.1</v>
      </c>
      <c r="O14" s="51">
        <v>9.1999999999999993</v>
      </c>
      <c r="P14" s="51">
        <v>11.4</v>
      </c>
      <c r="Q14" s="51">
        <v>5.3</v>
      </c>
      <c r="R14" s="51">
        <v>12.5</v>
      </c>
      <c r="S14" s="51">
        <v>10.4</v>
      </c>
      <c r="T14" s="51">
        <v>9.3000000000000007</v>
      </c>
      <c r="U14" s="51">
        <v>11.4</v>
      </c>
      <c r="V14" s="51">
        <v>12.4</v>
      </c>
      <c r="W14" s="51">
        <v>8.1999999999999993</v>
      </c>
      <c r="X14" s="51">
        <v>9.3000000000000007</v>
      </c>
      <c r="Y14" s="52">
        <v>11.4</v>
      </c>
      <c r="Z14" s="52">
        <v>10.4</v>
      </c>
      <c r="AA14" s="52">
        <v>12.5</v>
      </c>
      <c r="AB14" s="52">
        <v>7.2</v>
      </c>
      <c r="AC14" s="52">
        <v>8.4</v>
      </c>
      <c r="AD14" s="52">
        <v>11.4</v>
      </c>
      <c r="AE14" s="52"/>
      <c r="AF14" s="52"/>
      <c r="AG14" s="82">
        <f t="shared" si="0"/>
        <v>242.60000000000005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3.8</v>
      </c>
      <c r="C15" s="51">
        <v>3</v>
      </c>
      <c r="D15" s="51">
        <v>4.0999999999999996</v>
      </c>
      <c r="E15" s="51">
        <v>3.5</v>
      </c>
      <c r="F15" s="51">
        <v>3.2</v>
      </c>
      <c r="G15" s="51">
        <v>4.3</v>
      </c>
      <c r="H15" s="51">
        <v>3.9</v>
      </c>
      <c r="I15" s="51">
        <v>3.5</v>
      </c>
      <c r="J15" s="51">
        <v>3.9</v>
      </c>
      <c r="K15" s="51">
        <v>4.0999999999999996</v>
      </c>
      <c r="L15" s="51">
        <v>3.8</v>
      </c>
      <c r="M15" s="51">
        <v>3.5</v>
      </c>
      <c r="N15" s="51">
        <v>3.3</v>
      </c>
      <c r="O15" s="51">
        <v>3</v>
      </c>
      <c r="P15" s="51">
        <v>2.5</v>
      </c>
      <c r="Q15" s="51">
        <v>2.2999999999999998</v>
      </c>
      <c r="R15" s="51">
        <v>2.5</v>
      </c>
      <c r="S15" s="51">
        <v>3.1</v>
      </c>
      <c r="T15" s="51">
        <v>3</v>
      </c>
      <c r="U15" s="51">
        <v>3.1</v>
      </c>
      <c r="V15" s="51">
        <v>2.9</v>
      </c>
      <c r="W15" s="51">
        <v>3.4</v>
      </c>
      <c r="X15" s="51">
        <v>1.5</v>
      </c>
      <c r="Y15" s="51">
        <v>2.5</v>
      </c>
      <c r="Z15" s="51">
        <v>2.8</v>
      </c>
      <c r="AA15" s="51">
        <v>3</v>
      </c>
      <c r="AB15" s="51">
        <v>2.9</v>
      </c>
      <c r="AC15" s="51">
        <v>3</v>
      </c>
      <c r="AD15" s="51">
        <v>3.5</v>
      </c>
      <c r="AE15" s="51"/>
      <c r="AF15" s="51"/>
      <c r="AG15" s="82">
        <f t="shared" si="0"/>
        <v>92.899999999999991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82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51">
        <v>4</v>
      </c>
      <c r="C17" s="51">
        <v>2.2999999999999998</v>
      </c>
      <c r="D17" s="51">
        <v>3.4</v>
      </c>
      <c r="E17" s="51">
        <v>4</v>
      </c>
      <c r="F17" s="51">
        <v>4.5</v>
      </c>
      <c r="G17" s="51">
        <v>4.8</v>
      </c>
      <c r="H17" s="51">
        <v>4.5999999999999996</v>
      </c>
      <c r="I17" s="51">
        <v>3.7</v>
      </c>
      <c r="J17" s="51">
        <v>2.6</v>
      </c>
      <c r="K17" s="51">
        <v>3.4</v>
      </c>
      <c r="L17" s="51">
        <v>4.5</v>
      </c>
      <c r="M17" s="51">
        <v>4</v>
      </c>
      <c r="N17" s="51">
        <v>4.8</v>
      </c>
      <c r="O17" s="51">
        <v>4.5999999999999996</v>
      </c>
      <c r="P17" s="51">
        <v>4</v>
      </c>
      <c r="Q17" s="51">
        <v>3.4</v>
      </c>
      <c r="R17" s="51">
        <v>3.8</v>
      </c>
      <c r="S17" s="51">
        <v>4</v>
      </c>
      <c r="T17" s="51">
        <v>4.5</v>
      </c>
      <c r="U17" s="51">
        <v>4.3</v>
      </c>
      <c r="V17" s="51">
        <v>5.2</v>
      </c>
      <c r="W17" s="51">
        <v>4.8</v>
      </c>
      <c r="X17" s="51">
        <v>3.4</v>
      </c>
      <c r="Y17" s="51">
        <v>4</v>
      </c>
      <c r="Z17" s="51">
        <v>3.8</v>
      </c>
      <c r="AA17" s="51">
        <v>4.8</v>
      </c>
      <c r="AB17" s="51">
        <v>4</v>
      </c>
      <c r="AC17" s="51">
        <v>4.5999999999999996</v>
      </c>
      <c r="AD17" s="51">
        <v>4</v>
      </c>
      <c r="AE17" s="51"/>
      <c r="AF17" s="51"/>
      <c r="AG17" s="82">
        <f t="shared" si="0"/>
        <v>117.79999999999998</v>
      </c>
      <c r="AH17" s="48"/>
      <c r="AI17" s="48"/>
    </row>
    <row r="18" spans="1:35" s="44" customFormat="1" ht="18.75" customHeight="1" x14ac:dyDescent="0.35">
      <c r="A18" s="60" t="s">
        <v>73</v>
      </c>
      <c r="B18" s="51">
        <f>2.9/2</f>
        <v>1.45</v>
      </c>
      <c r="C18" s="51">
        <f>3.2/2</f>
        <v>1.6</v>
      </c>
      <c r="D18" s="51">
        <v>2</v>
      </c>
      <c r="E18" s="51">
        <f>3.9/2</f>
        <v>1.95</v>
      </c>
      <c r="F18" s="51">
        <v>1.5</v>
      </c>
      <c r="G18" s="51">
        <f>4.7/2</f>
        <v>2.35</v>
      </c>
      <c r="H18" s="51">
        <f>2.9/2</f>
        <v>1.45</v>
      </c>
      <c r="I18" s="51">
        <v>1.5</v>
      </c>
      <c r="J18" s="51">
        <f>3.8/2</f>
        <v>1.9</v>
      </c>
      <c r="K18" s="51">
        <f>4.7/2</f>
        <v>2.35</v>
      </c>
      <c r="L18" s="51">
        <f>2.9/2</f>
        <v>1.45</v>
      </c>
      <c r="M18" s="51">
        <f>3.9/2</f>
        <v>1.95</v>
      </c>
      <c r="N18" s="51">
        <f>2.9/2</f>
        <v>1.45</v>
      </c>
      <c r="O18" s="51">
        <f>5.7/2</f>
        <v>2.85</v>
      </c>
      <c r="P18" s="51">
        <f>4.7/2</f>
        <v>2.35</v>
      </c>
      <c r="Q18" s="51">
        <f>3.9/2</f>
        <v>1.95</v>
      </c>
      <c r="R18" s="51">
        <f>3/2</f>
        <v>1.5</v>
      </c>
      <c r="S18" s="51">
        <f>2.9/2</f>
        <v>1.45</v>
      </c>
      <c r="T18" s="51">
        <f>4.7/2</f>
        <v>2.35</v>
      </c>
      <c r="U18" s="51">
        <f>4.7/2</f>
        <v>2.35</v>
      </c>
      <c r="V18" s="51">
        <f>5.7/2</f>
        <v>2.85</v>
      </c>
      <c r="W18" s="51">
        <f>6.5/52</f>
        <v>0.125</v>
      </c>
      <c r="X18" s="51">
        <v>3</v>
      </c>
      <c r="Y18" s="51">
        <v>2.5</v>
      </c>
      <c r="Z18" s="51">
        <f>4.7/2</f>
        <v>2.35</v>
      </c>
      <c r="AA18" s="51">
        <f>3.2/2</f>
        <v>1.6</v>
      </c>
      <c r="AB18" s="51">
        <f>3.8/2</f>
        <v>1.9</v>
      </c>
      <c r="AC18" s="51">
        <f>3.9/2</f>
        <v>1.95</v>
      </c>
      <c r="AD18" s="51">
        <f>2.9/2</f>
        <v>1.45</v>
      </c>
      <c r="AE18" s="51"/>
      <c r="AF18" s="51"/>
      <c r="AG18" s="82">
        <f t="shared" si="0"/>
        <v>55.425000000000011</v>
      </c>
      <c r="AH18" s="48"/>
      <c r="AI18" s="48"/>
    </row>
    <row r="19" spans="1:35" s="44" customFormat="1" ht="18.75" customHeight="1" x14ac:dyDescent="0.35">
      <c r="A19" s="60" t="s">
        <v>92</v>
      </c>
      <c r="B19" s="51">
        <f>2.9/2</f>
        <v>1.45</v>
      </c>
      <c r="C19" s="51">
        <f>3.2/2</f>
        <v>1.6</v>
      </c>
      <c r="D19" s="51">
        <v>2</v>
      </c>
      <c r="E19" s="51">
        <f>3.9/2</f>
        <v>1.95</v>
      </c>
      <c r="F19" s="51">
        <v>1.5</v>
      </c>
      <c r="G19" s="51">
        <f>4.7/2</f>
        <v>2.35</v>
      </c>
      <c r="H19" s="51">
        <f>2.9/2</f>
        <v>1.45</v>
      </c>
      <c r="I19" s="51">
        <v>1.5</v>
      </c>
      <c r="J19" s="51">
        <f>3.8/2</f>
        <v>1.9</v>
      </c>
      <c r="K19" s="51">
        <f>4.7/2</f>
        <v>2.35</v>
      </c>
      <c r="L19" s="51">
        <f>2.9/2</f>
        <v>1.45</v>
      </c>
      <c r="M19" s="51">
        <f>3.9/2</f>
        <v>1.95</v>
      </c>
      <c r="N19" s="51">
        <f>2.9/2</f>
        <v>1.45</v>
      </c>
      <c r="O19" s="51">
        <f>5.7/2</f>
        <v>2.85</v>
      </c>
      <c r="P19" s="51">
        <f>4.7/2</f>
        <v>2.35</v>
      </c>
      <c r="Q19" s="51">
        <f>3.9/2</f>
        <v>1.95</v>
      </c>
      <c r="R19" s="51">
        <f>3/2</f>
        <v>1.5</v>
      </c>
      <c r="S19" s="51">
        <f>2.9/2</f>
        <v>1.45</v>
      </c>
      <c r="T19" s="51">
        <f>4.7/2</f>
        <v>2.35</v>
      </c>
      <c r="U19" s="51">
        <f>4.7/2</f>
        <v>2.35</v>
      </c>
      <c r="V19" s="51">
        <f>5.7/2</f>
        <v>2.85</v>
      </c>
      <c r="W19" s="51">
        <f>6.5/52</f>
        <v>0.125</v>
      </c>
      <c r="X19" s="51">
        <v>3</v>
      </c>
      <c r="Y19" s="51">
        <v>2.5</v>
      </c>
      <c r="Z19" s="51">
        <f>4.7/2</f>
        <v>2.35</v>
      </c>
      <c r="AA19" s="51">
        <f>3.2/2</f>
        <v>1.6</v>
      </c>
      <c r="AB19" s="51">
        <f>3.8/2</f>
        <v>1.9</v>
      </c>
      <c r="AC19" s="51">
        <f>3.9/2</f>
        <v>1.95</v>
      </c>
      <c r="AD19" s="51">
        <f>2.9/2</f>
        <v>1.45</v>
      </c>
      <c r="AE19" s="51"/>
      <c r="AF19" s="51"/>
      <c r="AG19" s="82">
        <f t="shared" si="0"/>
        <v>55.425000000000011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f>4.8+2.7</f>
        <v>7.5</v>
      </c>
      <c r="C20" s="51">
        <f>5+2</f>
        <v>7</v>
      </c>
      <c r="D20" s="51">
        <f>4.6+1.8</f>
        <v>6.3999999999999995</v>
      </c>
      <c r="E20" s="51">
        <f>3.9+2.2</f>
        <v>6.1</v>
      </c>
      <c r="F20" s="51">
        <f>4+2.1</f>
        <v>6.1</v>
      </c>
      <c r="G20" s="51">
        <f>5.1+2.6</f>
        <v>7.6999999999999993</v>
      </c>
      <c r="H20" s="51">
        <f>4.9+3.8</f>
        <v>8.6999999999999993</v>
      </c>
      <c r="I20" s="51">
        <f>5+4.1</f>
        <v>9.1</v>
      </c>
      <c r="J20" s="51">
        <f>4.8+3.2</f>
        <v>8</v>
      </c>
      <c r="K20" s="51">
        <f>4.8+3.2</f>
        <v>8</v>
      </c>
      <c r="L20" s="51">
        <f>5.2+4</f>
        <v>9.1999999999999993</v>
      </c>
      <c r="M20" s="51">
        <f>3.9+1.5</f>
        <v>5.4</v>
      </c>
      <c r="N20" s="51">
        <f>4.9+3.7</f>
        <v>8.6000000000000014</v>
      </c>
      <c r="O20" s="51">
        <f>5.3+4.8</f>
        <v>10.1</v>
      </c>
      <c r="P20" s="51">
        <f>4.9+3.8</f>
        <v>8.6999999999999993</v>
      </c>
      <c r="Q20" s="51">
        <f>5.3+4.2</f>
        <v>9.5</v>
      </c>
      <c r="R20" s="51">
        <f>5.2+4</f>
        <v>9.1999999999999993</v>
      </c>
      <c r="S20" s="51">
        <f>4.8+3.9</f>
        <v>8.6999999999999993</v>
      </c>
      <c r="T20" s="51">
        <f>3.7+2</f>
        <v>5.7</v>
      </c>
      <c r="U20" s="51">
        <f>4+2.5</f>
        <v>6.5</v>
      </c>
      <c r="V20" s="51">
        <f>2.9+3</f>
        <v>5.9</v>
      </c>
      <c r="W20" s="51">
        <f>3.6+4</f>
        <v>7.6</v>
      </c>
      <c r="X20" s="51">
        <f>3.9+3</f>
        <v>6.9</v>
      </c>
      <c r="Y20" s="51">
        <f>4+2</f>
        <v>6</v>
      </c>
      <c r="Z20" s="51">
        <f>4.9+3</f>
        <v>7.9</v>
      </c>
      <c r="AA20" s="51">
        <f>3.7+2.4</f>
        <v>6.1</v>
      </c>
      <c r="AB20" s="51">
        <f>4.3+2.1</f>
        <v>6.4</v>
      </c>
      <c r="AC20" s="51">
        <f>5+2.3</f>
        <v>7.3</v>
      </c>
      <c r="AD20" s="51">
        <f>4.1+2</f>
        <v>6.1</v>
      </c>
      <c r="AE20" s="51"/>
      <c r="AF20" s="51"/>
      <c r="AG20" s="82">
        <f t="shared" si="0"/>
        <v>216.4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82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>
        <v>1.3</v>
      </c>
      <c r="C22" s="51"/>
      <c r="D22" s="51">
        <v>1.5</v>
      </c>
      <c r="E22" s="51">
        <v>2</v>
      </c>
      <c r="F22" s="51">
        <v>2.4</v>
      </c>
      <c r="G22" s="51">
        <v>2.7</v>
      </c>
      <c r="H22" s="51">
        <v>2.9</v>
      </c>
      <c r="I22" s="51">
        <v>3.1</v>
      </c>
      <c r="J22" s="51"/>
      <c r="K22" s="51">
        <v>2</v>
      </c>
      <c r="L22" s="51">
        <v>2</v>
      </c>
      <c r="M22" s="51">
        <v>2.7</v>
      </c>
      <c r="N22" s="51">
        <v>2</v>
      </c>
      <c r="O22" s="51">
        <v>2.9</v>
      </c>
      <c r="P22" s="51">
        <v>2</v>
      </c>
      <c r="Q22" s="51"/>
      <c r="R22" s="51">
        <v>2.5</v>
      </c>
      <c r="S22" s="51">
        <v>2.8</v>
      </c>
      <c r="T22" s="51">
        <v>2.2999999999999998</v>
      </c>
      <c r="U22" s="51">
        <v>2.9</v>
      </c>
      <c r="V22" s="51">
        <v>3.4</v>
      </c>
      <c r="W22" s="51">
        <v>2.2999999999999998</v>
      </c>
      <c r="X22" s="51"/>
      <c r="Y22" s="51">
        <v>2.5</v>
      </c>
      <c r="Z22" s="51">
        <v>2.9</v>
      </c>
      <c r="AA22" s="51">
        <v>2.8</v>
      </c>
      <c r="AB22" s="51">
        <v>2.9</v>
      </c>
      <c r="AC22" s="51">
        <v>2.2999999999999998</v>
      </c>
      <c r="AD22" s="51">
        <v>2.9</v>
      </c>
      <c r="AE22" s="51"/>
      <c r="AF22" s="51"/>
      <c r="AG22" s="82">
        <f t="shared" si="0"/>
        <v>61.999999999999979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>
        <v>1.8</v>
      </c>
      <c r="E23" s="51">
        <v>1</v>
      </c>
      <c r="F23" s="51">
        <v>2</v>
      </c>
      <c r="G23" s="51">
        <v>2.2000000000000002</v>
      </c>
      <c r="H23" s="51">
        <v>1.6</v>
      </c>
      <c r="I23" s="51"/>
      <c r="J23" s="51"/>
      <c r="K23" s="51">
        <v>3</v>
      </c>
      <c r="L23" s="51">
        <v>1.6</v>
      </c>
      <c r="M23" s="51">
        <v>2.2000000000000002</v>
      </c>
      <c r="N23" s="51">
        <v>2.4</v>
      </c>
      <c r="O23" s="51">
        <v>2</v>
      </c>
      <c r="P23" s="51"/>
      <c r="Q23" s="51"/>
      <c r="R23" s="51">
        <v>2.6</v>
      </c>
      <c r="S23" s="51">
        <v>2.8</v>
      </c>
      <c r="T23" s="51">
        <v>2.4</v>
      </c>
      <c r="U23" s="51">
        <v>2</v>
      </c>
      <c r="V23" s="51">
        <v>2.6</v>
      </c>
      <c r="W23" s="51"/>
      <c r="X23" s="51"/>
      <c r="Y23" s="51">
        <v>3.3</v>
      </c>
      <c r="Z23" s="51">
        <v>2.2999999999999998</v>
      </c>
      <c r="AA23" s="51">
        <v>2</v>
      </c>
      <c r="AB23" s="51">
        <v>2.5</v>
      </c>
      <c r="AC23" s="51">
        <v>3</v>
      </c>
      <c r="AD23" s="51"/>
      <c r="AE23" s="51"/>
      <c r="AF23" s="51"/>
      <c r="AG23" s="82">
        <f t="shared" si="0"/>
        <v>45.29999999999999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f>4+3</f>
        <v>7</v>
      </c>
      <c r="C24" s="51">
        <f>5+2</f>
        <v>7</v>
      </c>
      <c r="D24" s="51">
        <f>4+2</f>
        <v>6</v>
      </c>
      <c r="E24" s="51">
        <f>3+3</f>
        <v>6</v>
      </c>
      <c r="F24" s="51">
        <f>4+3</f>
        <v>7</v>
      </c>
      <c r="G24" s="51">
        <f>3+2</f>
        <v>5</v>
      </c>
      <c r="H24" s="51">
        <v>5</v>
      </c>
      <c r="I24" s="51">
        <f>4+3</f>
        <v>7</v>
      </c>
      <c r="J24" s="51">
        <v>7</v>
      </c>
      <c r="K24" s="51">
        <v>8</v>
      </c>
      <c r="L24" s="51">
        <v>7</v>
      </c>
      <c r="M24" s="51">
        <v>8</v>
      </c>
      <c r="N24" s="51">
        <v>9</v>
      </c>
      <c r="O24" s="51">
        <v>7</v>
      </c>
      <c r="P24" s="51">
        <v>5</v>
      </c>
      <c r="Q24" s="51">
        <v>6</v>
      </c>
      <c r="R24" s="51">
        <v>6</v>
      </c>
      <c r="S24" s="51">
        <v>5</v>
      </c>
      <c r="T24" s="51">
        <v>6</v>
      </c>
      <c r="U24" s="51">
        <v>7</v>
      </c>
      <c r="V24" s="51">
        <v>7</v>
      </c>
      <c r="W24" s="51">
        <v>5</v>
      </c>
      <c r="X24" s="51">
        <v>7</v>
      </c>
      <c r="Y24" s="51">
        <v>5</v>
      </c>
      <c r="Z24" s="51">
        <v>5</v>
      </c>
      <c r="AA24" s="51">
        <v>6</v>
      </c>
      <c r="AB24" s="51">
        <v>6</v>
      </c>
      <c r="AC24" s="51">
        <v>5</v>
      </c>
      <c r="AD24" s="51">
        <v>8.1999999999999993</v>
      </c>
      <c r="AE24" s="51"/>
      <c r="AF24" s="51"/>
      <c r="AG24" s="82">
        <f t="shared" si="0"/>
        <v>185.2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82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82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>
        <v>2.5</v>
      </c>
      <c r="C27" s="52"/>
      <c r="D27" s="52">
        <v>4</v>
      </c>
      <c r="E27" s="52">
        <v>3.5</v>
      </c>
      <c r="F27" s="52">
        <v>2.6</v>
      </c>
      <c r="G27" s="52">
        <v>6</v>
      </c>
      <c r="H27" s="52">
        <v>5.7</v>
      </c>
      <c r="I27" s="52">
        <v>7.2</v>
      </c>
      <c r="J27" s="52"/>
      <c r="K27" s="52">
        <v>2.8</v>
      </c>
      <c r="L27" s="52">
        <v>4</v>
      </c>
      <c r="M27" s="52">
        <v>5.6</v>
      </c>
      <c r="N27" s="52">
        <v>6.7</v>
      </c>
      <c r="O27" s="52">
        <v>1.8</v>
      </c>
      <c r="P27" s="52">
        <v>2.9</v>
      </c>
      <c r="Q27" s="52">
        <v>4.8</v>
      </c>
      <c r="R27" s="52">
        <v>63.6</v>
      </c>
      <c r="S27" s="52">
        <v>4.0999999999999996</v>
      </c>
      <c r="T27" s="52">
        <v>1.8</v>
      </c>
      <c r="U27" s="52">
        <v>3.9</v>
      </c>
      <c r="V27" s="52">
        <v>5.0999999999999996</v>
      </c>
      <c r="W27" s="52">
        <v>4.2</v>
      </c>
      <c r="X27" s="52"/>
      <c r="Y27" s="52">
        <v>2.8</v>
      </c>
      <c r="Z27" s="52">
        <v>2.8</v>
      </c>
      <c r="AA27" s="52">
        <v>3.7</v>
      </c>
      <c r="AB27" s="52">
        <v>5</v>
      </c>
      <c r="AC27" s="52">
        <v>4.5999999999999996</v>
      </c>
      <c r="AD27" s="52">
        <v>3.9</v>
      </c>
      <c r="AE27" s="52"/>
      <c r="AF27" s="52"/>
      <c r="AG27" s="82">
        <f t="shared" si="0"/>
        <v>165.6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82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>
        <f>3.4+4.5+6.3</f>
        <v>14.2</v>
      </c>
      <c r="C29" s="52">
        <f>6.8+3.4+5.3</f>
        <v>15.5</v>
      </c>
      <c r="D29" s="52">
        <f>7.3+4.5+6.8</f>
        <v>18.600000000000001</v>
      </c>
      <c r="E29" s="52">
        <f>4.5+2.5+2</f>
        <v>9</v>
      </c>
      <c r="F29" s="52">
        <f>4.5+3.5+2.5</f>
        <v>10.5</v>
      </c>
      <c r="G29" s="52">
        <f>4.5+3+2.5</f>
        <v>10</v>
      </c>
      <c r="H29" s="52">
        <f>3.5+3+1.5</f>
        <v>8</v>
      </c>
      <c r="I29" s="52">
        <f>3.5+4+1.5</f>
        <v>9</v>
      </c>
      <c r="J29" s="52">
        <f>4.1+1.7+2.9</f>
        <v>8.6999999999999993</v>
      </c>
      <c r="K29" s="52">
        <f>6.7+2.6</f>
        <v>9.3000000000000007</v>
      </c>
      <c r="L29" s="52">
        <f>5.4+2.5+1.5</f>
        <v>9.4</v>
      </c>
      <c r="M29" s="52">
        <f>4.5+2.5+1.5</f>
        <v>8.5</v>
      </c>
      <c r="N29" s="52">
        <f>3.5+3+1.5</f>
        <v>8</v>
      </c>
      <c r="O29" s="52">
        <f>7+2.1+3</f>
        <v>12.1</v>
      </c>
      <c r="P29" s="52">
        <f>3.5+1.7+1.9</f>
        <v>7.1</v>
      </c>
      <c r="Q29" s="52">
        <f>4.5+2.5+2</f>
        <v>9</v>
      </c>
      <c r="R29" s="52">
        <f>4.3+5.8+3.2</f>
        <v>13.3</v>
      </c>
      <c r="S29" s="52">
        <f>4.4+3.5+6.1</f>
        <v>14</v>
      </c>
      <c r="T29" s="52">
        <f>6.1+2.3+4.4</f>
        <v>12.799999999999999</v>
      </c>
      <c r="U29" s="52">
        <f>5+4.1+6.7</f>
        <v>15.8</v>
      </c>
      <c r="V29" s="52">
        <f>5.4+3.4+5.2</f>
        <v>14</v>
      </c>
      <c r="W29" s="52">
        <f>4.5+3.5+2.8</f>
        <v>10.8</v>
      </c>
      <c r="X29" s="52">
        <f>3.5+3.1+5.2</f>
        <v>11.8</v>
      </c>
      <c r="Y29" s="52">
        <f>5.4+4.5+4.3</f>
        <v>14.2</v>
      </c>
      <c r="Z29" s="52">
        <f>3.1+2.5+1.9</f>
        <v>7.5</v>
      </c>
      <c r="AA29" s="52">
        <f>3.1+2.5+1.9</f>
        <v>7.5</v>
      </c>
      <c r="AB29" s="52">
        <f>4.1+2.5+1.9</f>
        <v>8.5</v>
      </c>
      <c r="AC29" s="52">
        <f>3.9+2.3+2</f>
        <v>8.1999999999999993</v>
      </c>
      <c r="AD29" s="52">
        <f>3+2.9+2.4</f>
        <v>8.3000000000000007</v>
      </c>
      <c r="AE29" s="52"/>
      <c r="AF29" s="52"/>
      <c r="AG29" s="82">
        <f t="shared" si="0"/>
        <v>313.60000000000002</v>
      </c>
      <c r="AH29" s="48"/>
      <c r="AI29" s="48"/>
    </row>
    <row r="30" spans="1:35" s="44" customFormat="1" ht="18.75" customHeight="1" x14ac:dyDescent="0.35">
      <c r="A30" s="60" t="s">
        <v>86</v>
      </c>
      <c r="B30" s="52">
        <v>18.899999999999999</v>
      </c>
      <c r="C30" s="52">
        <v>10.5</v>
      </c>
      <c r="D30" s="52">
        <v>18.2</v>
      </c>
      <c r="E30" s="52">
        <v>14.5</v>
      </c>
      <c r="F30" s="52">
        <v>18.600000000000001</v>
      </c>
      <c r="G30" s="52">
        <v>18</v>
      </c>
      <c r="H30" s="52">
        <v>13.5</v>
      </c>
      <c r="I30" s="52">
        <v>15.8</v>
      </c>
      <c r="J30" s="52">
        <v>10.8</v>
      </c>
      <c r="K30" s="52">
        <v>11.2</v>
      </c>
      <c r="L30" s="52">
        <v>12.8</v>
      </c>
      <c r="M30" s="52">
        <v>11.5</v>
      </c>
      <c r="N30" s="52">
        <v>14.1</v>
      </c>
      <c r="O30" s="52">
        <v>12.5</v>
      </c>
      <c r="P30" s="52">
        <v>13.2</v>
      </c>
      <c r="Q30" s="52">
        <v>14.4</v>
      </c>
      <c r="R30" s="52">
        <v>8.9</v>
      </c>
      <c r="S30" s="52">
        <v>10.8</v>
      </c>
      <c r="T30" s="52">
        <v>9.8000000000000007</v>
      </c>
      <c r="U30" s="52">
        <v>12.5</v>
      </c>
      <c r="V30" s="52">
        <v>9.9</v>
      </c>
      <c r="W30" s="52">
        <v>9.6999999999999993</v>
      </c>
      <c r="X30" s="52">
        <v>8.5</v>
      </c>
      <c r="Y30" s="52">
        <v>10.5</v>
      </c>
      <c r="Z30" s="52">
        <v>10.4</v>
      </c>
      <c r="AA30" s="52">
        <v>9.8000000000000007</v>
      </c>
      <c r="AB30" s="52">
        <v>9.5</v>
      </c>
      <c r="AC30" s="52">
        <v>10.199999999999999</v>
      </c>
      <c r="AD30" s="52">
        <v>10.8</v>
      </c>
      <c r="AE30" s="52"/>
      <c r="AF30" s="52"/>
      <c r="AG30" s="82">
        <f t="shared" si="0"/>
        <v>359.79999999999995</v>
      </c>
      <c r="AH30" s="48"/>
      <c r="AI30" s="48"/>
    </row>
    <row r="31" spans="1:35" s="44" customFormat="1" ht="18.75" customHeight="1" x14ac:dyDescent="0.35">
      <c r="A31" s="60" t="s">
        <v>82</v>
      </c>
      <c r="B31" s="52">
        <f>7.1+6.8+9.1</f>
        <v>23</v>
      </c>
      <c r="C31" s="52">
        <f>6.8+7.3+6.8</f>
        <v>20.9</v>
      </c>
      <c r="D31" s="52">
        <f>7.1+8.4+6.7</f>
        <v>22.2</v>
      </c>
      <c r="E31" s="52">
        <f>8.5+8.9+7.6</f>
        <v>25</v>
      </c>
      <c r="F31" s="52">
        <f>8.3+7.1+7.3</f>
        <v>22.7</v>
      </c>
      <c r="G31" s="52">
        <f>6.9+8.8+7.7</f>
        <v>23.400000000000002</v>
      </c>
      <c r="H31" s="52">
        <f>7.1+6.9+8.3</f>
        <v>22.3</v>
      </c>
      <c r="I31" s="52">
        <f>7.3+7+8</f>
        <v>22.3</v>
      </c>
      <c r="J31" s="52">
        <f>6.8+6.5+7.2</f>
        <v>20.5</v>
      </c>
      <c r="K31" s="52">
        <f>7.8+8.3+9.2</f>
        <v>25.3</v>
      </c>
      <c r="L31" s="52">
        <f>8.7+6.9+9.3</f>
        <v>24.9</v>
      </c>
      <c r="M31" s="52">
        <f>9.2+8.4+6.9</f>
        <v>24.5</v>
      </c>
      <c r="N31" s="52">
        <f>9.1+6.7+8.5</f>
        <v>24.3</v>
      </c>
      <c r="O31" s="52">
        <f>9.4+8+7.2</f>
        <v>24.599999999999998</v>
      </c>
      <c r="P31" s="52">
        <f>9.4+8.6+7.5</f>
        <v>25.5</v>
      </c>
      <c r="Q31" s="52">
        <f>9.5+8.3+7.1</f>
        <v>24.9</v>
      </c>
      <c r="R31" s="52">
        <f>8.4+7.3+9.2</f>
        <v>24.9</v>
      </c>
      <c r="S31" s="52">
        <f>9+8.6+7.8</f>
        <v>25.400000000000002</v>
      </c>
      <c r="T31" s="52">
        <f>8.3+9.4+6.4</f>
        <v>24.1</v>
      </c>
      <c r="U31" s="52">
        <f>6.7+8.4+9.3</f>
        <v>24.400000000000002</v>
      </c>
      <c r="V31" s="52">
        <f>9.1+8.8+6.4</f>
        <v>24.299999999999997</v>
      </c>
      <c r="W31" s="52">
        <f>8.3+9.1+7.2</f>
        <v>24.599999999999998</v>
      </c>
      <c r="X31" s="52">
        <f>7.5+9.3+8.2</f>
        <v>25</v>
      </c>
      <c r="Y31" s="52">
        <f>6.9+9.1+8.9</f>
        <v>24.9</v>
      </c>
      <c r="Z31" s="52">
        <f>8.9+9.3+7.3</f>
        <v>25.500000000000004</v>
      </c>
      <c r="AA31" s="52">
        <f>6.4+8.3+9.2</f>
        <v>23.9</v>
      </c>
      <c r="AB31" s="52">
        <f>7.7+8.3+9.1</f>
        <v>25.1</v>
      </c>
      <c r="AC31" s="52">
        <f>5.4+9.8+8.5</f>
        <v>23.700000000000003</v>
      </c>
      <c r="AD31" s="52">
        <f>9.2+8.4+9.5</f>
        <v>27.1</v>
      </c>
      <c r="AE31" s="52"/>
      <c r="AF31" s="52"/>
      <c r="AG31" s="82">
        <f t="shared" si="0"/>
        <v>699.2</v>
      </c>
      <c r="AH31" s="48"/>
      <c r="AI31" s="48"/>
    </row>
    <row r="32" spans="1:35" s="44" customFormat="1" ht="18.75" customHeight="1" x14ac:dyDescent="0.35">
      <c r="A32" s="60" t="s">
        <v>179</v>
      </c>
      <c r="B32" s="52">
        <v>1.2</v>
      </c>
      <c r="C32" s="52">
        <v>1</v>
      </c>
      <c r="D32" s="52">
        <v>2</v>
      </c>
      <c r="E32" s="52">
        <v>2</v>
      </c>
      <c r="F32" s="52">
        <v>1.9</v>
      </c>
      <c r="G32" s="52">
        <v>2</v>
      </c>
      <c r="H32" s="52">
        <v>1.9</v>
      </c>
      <c r="I32" s="52">
        <v>2.1</v>
      </c>
      <c r="J32" s="52">
        <v>2</v>
      </c>
      <c r="K32" s="52">
        <v>0.9</v>
      </c>
      <c r="L32" s="52">
        <v>2.2999999999999998</v>
      </c>
      <c r="M32" s="52">
        <v>1.9</v>
      </c>
      <c r="N32" s="52">
        <v>1.3</v>
      </c>
      <c r="O32" s="52">
        <v>1.5</v>
      </c>
      <c r="P32" s="52">
        <v>2</v>
      </c>
      <c r="Q32" s="52">
        <v>2</v>
      </c>
      <c r="R32" s="52">
        <v>1.8</v>
      </c>
      <c r="S32" s="52">
        <v>1.9</v>
      </c>
      <c r="T32" s="52">
        <v>2</v>
      </c>
      <c r="U32" s="52">
        <v>2.2999999999999998</v>
      </c>
      <c r="V32" s="52">
        <v>2</v>
      </c>
      <c r="W32" s="52">
        <v>1.9</v>
      </c>
      <c r="X32" s="52">
        <v>1.9</v>
      </c>
      <c r="Y32" s="52">
        <v>1.8</v>
      </c>
      <c r="Z32" s="52">
        <v>1.9</v>
      </c>
      <c r="AA32" s="52">
        <v>2</v>
      </c>
      <c r="AB32" s="52">
        <v>2.1</v>
      </c>
      <c r="AC32" s="52">
        <v>2</v>
      </c>
      <c r="AD32" s="52">
        <v>2.1</v>
      </c>
      <c r="AE32" s="52"/>
      <c r="AF32" s="52"/>
      <c r="AG32" s="82">
        <f t="shared" si="0"/>
        <v>53.699999999999996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125.89999999999999</v>
      </c>
      <c r="C33" s="51">
        <f t="shared" ref="C33:AF33" si="1">SUM(C3:C32)</f>
        <v>104.80000000000001</v>
      </c>
      <c r="D33" s="51">
        <f t="shared" si="1"/>
        <v>137.6</v>
      </c>
      <c r="E33" s="51">
        <f t="shared" si="1"/>
        <v>121.4</v>
      </c>
      <c r="F33" s="51">
        <f t="shared" si="1"/>
        <v>130.5</v>
      </c>
      <c r="G33" s="51">
        <f t="shared" si="1"/>
        <v>138</v>
      </c>
      <c r="H33" s="51">
        <f t="shared" si="1"/>
        <v>116.60000000000001</v>
      </c>
      <c r="I33" s="51">
        <f t="shared" si="1"/>
        <v>125.60000000000001</v>
      </c>
      <c r="J33" s="51">
        <f t="shared" si="1"/>
        <v>99.199999999999989</v>
      </c>
      <c r="K33" s="51">
        <f t="shared" si="1"/>
        <v>125.60000000000001</v>
      </c>
      <c r="L33" s="51">
        <f t="shared" si="1"/>
        <v>122.49999999999999</v>
      </c>
      <c r="M33" s="51">
        <f t="shared" si="1"/>
        <v>124.4</v>
      </c>
      <c r="N33" s="51">
        <f t="shared" si="1"/>
        <v>132.30000000000001</v>
      </c>
      <c r="O33" s="51">
        <f t="shared" si="1"/>
        <v>129.19999999999999</v>
      </c>
      <c r="P33" s="51">
        <f t="shared" si="1"/>
        <v>122.1</v>
      </c>
      <c r="Q33" s="51">
        <f t="shared" si="1"/>
        <v>110.20000000000002</v>
      </c>
      <c r="R33" s="51">
        <f t="shared" si="1"/>
        <v>184.50000000000003</v>
      </c>
      <c r="S33" s="51">
        <f t="shared" si="1"/>
        <v>127.7</v>
      </c>
      <c r="T33" s="51">
        <f t="shared" si="1"/>
        <v>118.19999999999999</v>
      </c>
      <c r="U33" s="51">
        <f t="shared" si="1"/>
        <v>133.20000000000002</v>
      </c>
      <c r="V33" s="51">
        <f t="shared" si="1"/>
        <v>134.4</v>
      </c>
      <c r="W33" s="51">
        <f t="shared" si="1"/>
        <v>111.25</v>
      </c>
      <c r="X33" s="51">
        <f t="shared" si="1"/>
        <v>102.2</v>
      </c>
      <c r="Y33" s="51">
        <f t="shared" si="1"/>
        <v>126.99999999999999</v>
      </c>
      <c r="Z33" s="51">
        <f t="shared" si="1"/>
        <v>122.50000000000001</v>
      </c>
      <c r="AA33" s="51">
        <f t="shared" si="1"/>
        <v>119.70000000000002</v>
      </c>
      <c r="AB33" s="51">
        <f t="shared" si="1"/>
        <v>117.6</v>
      </c>
      <c r="AC33" s="51">
        <f t="shared" si="1"/>
        <v>121.4</v>
      </c>
      <c r="AD33" s="51">
        <f t="shared" si="1"/>
        <v>120.19999999999999</v>
      </c>
      <c r="AE33" s="51">
        <f t="shared" si="1"/>
        <v>0</v>
      </c>
      <c r="AF33" s="51">
        <f t="shared" si="1"/>
        <v>0</v>
      </c>
      <c r="AG33" s="83">
        <f>SUM(B33:AF33)</f>
        <v>3605.7499999999991</v>
      </c>
      <c r="AH33" s="57"/>
      <c r="AI33" s="57"/>
    </row>
    <row r="34" spans="1:35" s="2" customFormat="1" x14ac:dyDescent="0.25">
      <c r="AG34" s="24">
        <f>SUM(AG3:AG32)</f>
        <v>3605.75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39" priority="2" operator="equal">
      <formula>$AG$34</formula>
    </cfRule>
  </conditionalFormatting>
  <conditionalFormatting sqref="AG34">
    <cfRule type="cellIs" dxfId="38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50" customWidth="1"/>
    <col min="2" max="32" width="6.7109375" customWidth="1"/>
    <col min="33" max="33" width="13.14062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85"/>
      <c r="C3" s="85">
        <v>3.7</v>
      </c>
      <c r="D3" s="85">
        <v>2.8</v>
      </c>
      <c r="E3" s="85">
        <v>3.5</v>
      </c>
      <c r="F3" s="85">
        <v>3</v>
      </c>
      <c r="G3" s="85">
        <v>2.9</v>
      </c>
      <c r="H3" s="85">
        <v>3.7</v>
      </c>
      <c r="I3" s="86"/>
      <c r="J3" s="85">
        <v>1.7</v>
      </c>
      <c r="K3" s="85">
        <v>1.9</v>
      </c>
      <c r="L3" s="86">
        <v>2.1</v>
      </c>
      <c r="M3" s="85">
        <v>3.1</v>
      </c>
      <c r="N3" s="86">
        <v>3.2</v>
      </c>
      <c r="O3" s="85">
        <v>3</v>
      </c>
      <c r="P3" s="86"/>
      <c r="Q3" s="85">
        <v>2.9</v>
      </c>
      <c r="R3" s="85">
        <v>3.9</v>
      </c>
      <c r="S3" s="86">
        <v>3.8</v>
      </c>
      <c r="T3" s="86">
        <v>4.3</v>
      </c>
      <c r="U3" s="86">
        <v>2.4</v>
      </c>
      <c r="V3" s="86">
        <v>3.2</v>
      </c>
      <c r="W3" s="85"/>
      <c r="X3" s="85">
        <v>0.9</v>
      </c>
      <c r="Y3" s="85">
        <v>3.1</v>
      </c>
      <c r="Z3" s="85">
        <v>4.5</v>
      </c>
      <c r="AA3" s="85">
        <v>3.7</v>
      </c>
      <c r="AB3" s="85">
        <v>3.5</v>
      </c>
      <c r="AC3" s="85">
        <v>3.1</v>
      </c>
      <c r="AD3" s="85">
        <v>4.2</v>
      </c>
      <c r="AE3" s="85">
        <v>2.1</v>
      </c>
      <c r="AF3" s="85">
        <v>3.1</v>
      </c>
      <c r="AG3" s="82">
        <f t="shared" ref="AG3:AG32" si="0">SUM(B3:AF3)</f>
        <v>83.299999999999983</v>
      </c>
      <c r="AH3" s="47"/>
      <c r="AI3" s="48"/>
    </row>
    <row r="4" spans="1:35" s="44" customFormat="1" ht="30.75" customHeight="1" x14ac:dyDescent="0.35">
      <c r="A4" s="60" t="s">
        <v>193</v>
      </c>
      <c r="B4" s="87">
        <v>3.1</v>
      </c>
      <c r="C4" s="87">
        <v>3.5</v>
      </c>
      <c r="D4" s="87">
        <v>4.8</v>
      </c>
      <c r="E4" s="87">
        <v>3.5</v>
      </c>
      <c r="F4" s="87">
        <v>3.8</v>
      </c>
      <c r="G4" s="87">
        <v>2.9</v>
      </c>
      <c r="H4" s="87">
        <v>3.8</v>
      </c>
      <c r="I4" s="87">
        <v>3.5</v>
      </c>
      <c r="J4" s="87">
        <v>2.9</v>
      </c>
      <c r="K4" s="87">
        <v>2.7</v>
      </c>
      <c r="L4" s="87">
        <v>3.2</v>
      </c>
      <c r="M4" s="87">
        <v>3.5</v>
      </c>
      <c r="N4" s="87">
        <v>2.7</v>
      </c>
      <c r="O4" s="87">
        <v>3.2</v>
      </c>
      <c r="P4" s="87">
        <v>3.7</v>
      </c>
      <c r="Q4" s="87">
        <v>3.8</v>
      </c>
      <c r="R4" s="87">
        <v>3.2</v>
      </c>
      <c r="S4" s="87">
        <v>3.7</v>
      </c>
      <c r="T4" s="87">
        <v>5.0999999999999996</v>
      </c>
      <c r="U4" s="87">
        <v>4.3</v>
      </c>
      <c r="V4" s="87">
        <v>5.3</v>
      </c>
      <c r="W4" s="87"/>
      <c r="X4" s="87">
        <v>2.9</v>
      </c>
      <c r="Y4" s="87">
        <v>3.9</v>
      </c>
      <c r="Z4" s="87">
        <v>3.9</v>
      </c>
      <c r="AA4" s="87">
        <v>3.3</v>
      </c>
      <c r="AB4" s="87">
        <v>1.9</v>
      </c>
      <c r="AC4" s="87">
        <v>3.9</v>
      </c>
      <c r="AD4" s="87"/>
      <c r="AE4" s="87">
        <v>3.9</v>
      </c>
      <c r="AF4" s="87">
        <v>4.3</v>
      </c>
      <c r="AG4" s="82">
        <f t="shared" si="0"/>
        <v>104.20000000000003</v>
      </c>
      <c r="AH4" s="47"/>
      <c r="AI4" s="48"/>
    </row>
    <row r="5" spans="1:35" s="44" customFormat="1" ht="18.75" customHeight="1" x14ac:dyDescent="0.35">
      <c r="A5" s="60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82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2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87">
        <v>4.5</v>
      </c>
      <c r="C7" s="87">
        <v>4</v>
      </c>
      <c r="D7" s="87">
        <v>4.2</v>
      </c>
      <c r="E7" s="87">
        <v>4.8</v>
      </c>
      <c r="F7" s="87">
        <v>4.2</v>
      </c>
      <c r="G7" s="87">
        <v>4</v>
      </c>
      <c r="H7" s="87">
        <v>3.5</v>
      </c>
      <c r="I7" s="87">
        <v>3.8</v>
      </c>
      <c r="J7" s="87">
        <v>4</v>
      </c>
      <c r="K7" s="87">
        <v>4</v>
      </c>
      <c r="L7" s="87">
        <v>3.5</v>
      </c>
      <c r="M7" s="87">
        <v>4</v>
      </c>
      <c r="N7" s="87">
        <v>3.8</v>
      </c>
      <c r="O7" s="87">
        <v>4</v>
      </c>
      <c r="P7" s="87">
        <v>3</v>
      </c>
      <c r="Q7" s="87">
        <v>4</v>
      </c>
      <c r="R7" s="87">
        <v>4</v>
      </c>
      <c r="S7" s="87">
        <v>4</v>
      </c>
      <c r="T7" s="87">
        <v>3.5</v>
      </c>
      <c r="U7" s="87">
        <v>3.2</v>
      </c>
      <c r="V7" s="87">
        <v>3</v>
      </c>
      <c r="W7" s="87">
        <v>3.8</v>
      </c>
      <c r="X7" s="87">
        <v>4</v>
      </c>
      <c r="Y7" s="87">
        <v>3.8</v>
      </c>
      <c r="Z7" s="87">
        <v>3.5</v>
      </c>
      <c r="AA7" s="87">
        <v>4</v>
      </c>
      <c r="AB7" s="87">
        <v>3.8</v>
      </c>
      <c r="AC7" s="87">
        <v>4</v>
      </c>
      <c r="AD7" s="87">
        <v>3.5</v>
      </c>
      <c r="AE7" s="87">
        <v>3.7</v>
      </c>
      <c r="AF7" s="87">
        <v>3.9</v>
      </c>
      <c r="AG7" s="82">
        <f t="shared" si="0"/>
        <v>119</v>
      </c>
      <c r="AH7" s="48"/>
      <c r="AI7" s="48"/>
    </row>
    <row r="8" spans="1:35" s="44" customFormat="1" ht="18.75" customHeight="1" x14ac:dyDescent="0.35">
      <c r="A8" s="60" t="s">
        <v>65</v>
      </c>
      <c r="B8" s="70">
        <v>5.3</v>
      </c>
      <c r="C8" s="70">
        <v>4.9000000000000004</v>
      </c>
      <c r="D8" s="70">
        <v>3.9</v>
      </c>
      <c r="E8" s="70">
        <v>3</v>
      </c>
      <c r="F8" s="70">
        <v>3.6</v>
      </c>
      <c r="G8" s="70">
        <v>4.3</v>
      </c>
      <c r="H8" s="70">
        <v>5.3</v>
      </c>
      <c r="I8" s="70">
        <v>6</v>
      </c>
      <c r="J8" s="70">
        <v>4.4000000000000004</v>
      </c>
      <c r="K8" s="70">
        <v>4.9000000000000004</v>
      </c>
      <c r="L8" s="70">
        <v>3.7</v>
      </c>
      <c r="M8" s="70">
        <v>5.5</v>
      </c>
      <c r="N8" s="70">
        <v>5.5</v>
      </c>
      <c r="O8" s="70">
        <v>4.4000000000000004</v>
      </c>
      <c r="P8" s="70">
        <v>3.9</v>
      </c>
      <c r="Q8" s="70">
        <v>5.4</v>
      </c>
      <c r="R8" s="70">
        <v>3.8</v>
      </c>
      <c r="S8" s="70">
        <v>3.2</v>
      </c>
      <c r="T8" s="70">
        <v>2.9</v>
      </c>
      <c r="U8" s="70">
        <v>3.7</v>
      </c>
      <c r="V8" s="70">
        <v>3.9</v>
      </c>
      <c r="W8" s="70">
        <v>4.0999999999999996</v>
      </c>
      <c r="X8" s="70">
        <v>4</v>
      </c>
      <c r="Y8" s="70">
        <v>4.3</v>
      </c>
      <c r="Z8" s="70">
        <v>4</v>
      </c>
      <c r="AA8" s="70">
        <v>5.7</v>
      </c>
      <c r="AB8" s="70">
        <v>4.5999999999999996</v>
      </c>
      <c r="AC8" s="70">
        <v>6.5</v>
      </c>
      <c r="AD8" s="70">
        <v>3.9</v>
      </c>
      <c r="AE8" s="70">
        <v>4.5</v>
      </c>
      <c r="AF8" s="70">
        <v>4.2</v>
      </c>
      <c r="AG8" s="82">
        <f t="shared" si="0"/>
        <v>137.30000000000001</v>
      </c>
      <c r="AH8" s="48"/>
      <c r="AI8" s="48"/>
    </row>
    <row r="9" spans="1:35" s="44" customFormat="1" ht="18.75" customHeight="1" x14ac:dyDescent="0.35">
      <c r="A9" s="116" t="s">
        <v>66</v>
      </c>
      <c r="B9" s="70">
        <v>2.9</v>
      </c>
      <c r="C9" s="70">
        <v>3.6</v>
      </c>
      <c r="D9" s="70">
        <v>4</v>
      </c>
      <c r="E9" s="70">
        <v>2.7</v>
      </c>
      <c r="F9" s="70">
        <v>4</v>
      </c>
      <c r="G9" s="70">
        <v>5</v>
      </c>
      <c r="H9" s="70">
        <v>4</v>
      </c>
      <c r="I9" s="70">
        <v>4.8</v>
      </c>
      <c r="J9" s="70">
        <v>4.9000000000000004</v>
      </c>
      <c r="K9" s="70">
        <v>5</v>
      </c>
      <c r="L9" s="70">
        <v>3.8</v>
      </c>
      <c r="M9" s="70">
        <v>4.3</v>
      </c>
      <c r="N9" s="70">
        <v>4.8</v>
      </c>
      <c r="O9" s="70">
        <v>3.5</v>
      </c>
      <c r="P9" s="70">
        <v>5</v>
      </c>
      <c r="Q9" s="70">
        <v>7.4</v>
      </c>
      <c r="R9" s="70">
        <v>4.9000000000000004</v>
      </c>
      <c r="S9" s="70"/>
      <c r="T9" s="70">
        <v>3</v>
      </c>
      <c r="U9" s="70">
        <v>3</v>
      </c>
      <c r="V9" s="70">
        <v>4.9000000000000004</v>
      </c>
      <c r="W9" s="70">
        <v>3.7</v>
      </c>
      <c r="X9" s="70">
        <v>4.0999999999999996</v>
      </c>
      <c r="Y9" s="70">
        <v>3.4</v>
      </c>
      <c r="Z9" s="70">
        <v>3.6</v>
      </c>
      <c r="AA9" s="70">
        <v>4.9000000000000004</v>
      </c>
      <c r="AB9" s="70">
        <v>3.9</v>
      </c>
      <c r="AC9" s="70">
        <v>4.5</v>
      </c>
      <c r="AD9" s="70">
        <v>4</v>
      </c>
      <c r="AE9" s="70">
        <v>4.0999999999999996</v>
      </c>
      <c r="AF9" s="70">
        <v>5</v>
      </c>
      <c r="AG9" s="82">
        <f t="shared" si="0"/>
        <v>126.7</v>
      </c>
      <c r="AH9" s="48"/>
      <c r="AI9" s="48"/>
    </row>
    <row r="10" spans="1:35" s="44" customFormat="1" ht="18.75" customHeight="1" x14ac:dyDescent="0.35">
      <c r="A10" s="60" t="s">
        <v>67</v>
      </c>
      <c r="B10" s="87">
        <v>7.3</v>
      </c>
      <c r="C10" s="87">
        <v>6.9</v>
      </c>
      <c r="D10" s="87">
        <v>6.5</v>
      </c>
      <c r="E10" s="87">
        <v>7.1</v>
      </c>
      <c r="F10" s="87">
        <v>7</v>
      </c>
      <c r="G10" s="87">
        <v>6.9</v>
      </c>
      <c r="H10" s="87">
        <v>6.8</v>
      </c>
      <c r="I10" s="87">
        <v>7.3</v>
      </c>
      <c r="J10" s="87">
        <v>9.4</v>
      </c>
      <c r="K10" s="87">
        <v>8.3000000000000007</v>
      </c>
      <c r="L10" s="87">
        <v>6.5</v>
      </c>
      <c r="M10" s="87">
        <v>7</v>
      </c>
      <c r="N10" s="87">
        <v>6.8</v>
      </c>
      <c r="O10" s="87">
        <v>7.4</v>
      </c>
      <c r="P10" s="87">
        <v>6.9</v>
      </c>
      <c r="Q10" s="87">
        <v>7.3</v>
      </c>
      <c r="R10" s="87">
        <v>9.1</v>
      </c>
      <c r="S10" s="87">
        <v>8.3000000000000007</v>
      </c>
      <c r="T10" s="87">
        <v>7</v>
      </c>
      <c r="U10" s="87">
        <v>7.2</v>
      </c>
      <c r="V10" s="87">
        <v>7.3</v>
      </c>
      <c r="W10" s="87">
        <v>8</v>
      </c>
      <c r="X10" s="87">
        <v>9.3000000000000007</v>
      </c>
      <c r="Y10" s="87">
        <v>7.5</v>
      </c>
      <c r="Z10" s="87">
        <v>6.5</v>
      </c>
      <c r="AA10" s="87">
        <v>8.5</v>
      </c>
      <c r="AB10" s="87">
        <v>7</v>
      </c>
      <c r="AC10" s="87">
        <v>9.3000000000000007</v>
      </c>
      <c r="AD10" s="87">
        <v>8.3000000000000007</v>
      </c>
      <c r="AE10" s="87">
        <v>8.1</v>
      </c>
      <c r="AF10" s="87">
        <v>8.3000000000000007</v>
      </c>
      <c r="AG10" s="82">
        <f t="shared" si="0"/>
        <v>235.10000000000002</v>
      </c>
      <c r="AH10" s="48"/>
      <c r="AI10" s="48"/>
    </row>
    <row r="11" spans="1:35" s="44" customFormat="1" ht="18.75" customHeight="1" x14ac:dyDescent="0.35">
      <c r="A11" s="60" t="s">
        <v>152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2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87">
        <v>3.9</v>
      </c>
      <c r="C12" s="87">
        <v>9.3000000000000007</v>
      </c>
      <c r="D12" s="87">
        <v>5.7</v>
      </c>
      <c r="E12" s="87">
        <v>4.9000000000000004</v>
      </c>
      <c r="F12" s="87">
        <v>8.3000000000000007</v>
      </c>
      <c r="G12" s="87">
        <v>3.5</v>
      </c>
      <c r="H12" s="87">
        <v>4.0999999999999996</v>
      </c>
      <c r="I12" s="87">
        <v>4.3</v>
      </c>
      <c r="J12" s="87">
        <v>3.8</v>
      </c>
      <c r="K12" s="87">
        <v>4.0999999999999996</v>
      </c>
      <c r="L12" s="87">
        <v>4.9000000000000004</v>
      </c>
      <c r="M12" s="87">
        <v>9.3000000000000007</v>
      </c>
      <c r="N12" s="87">
        <v>3.5</v>
      </c>
      <c r="O12" s="87">
        <v>3.9</v>
      </c>
      <c r="P12" s="87">
        <v>3.2</v>
      </c>
      <c r="Q12" s="87">
        <v>0.9</v>
      </c>
      <c r="R12" s="87">
        <v>8.3000000000000007</v>
      </c>
      <c r="S12" s="87">
        <v>3.5</v>
      </c>
      <c r="T12" s="87">
        <v>9.3000000000000007</v>
      </c>
      <c r="U12" s="87">
        <v>8.6999999999999993</v>
      </c>
      <c r="V12" s="87">
        <v>5.3</v>
      </c>
      <c r="W12" s="87">
        <v>4.0999999999999996</v>
      </c>
      <c r="X12" s="87">
        <v>4.3</v>
      </c>
      <c r="Y12" s="87">
        <v>4.3</v>
      </c>
      <c r="Z12" s="87">
        <v>3.5</v>
      </c>
      <c r="AA12" s="87">
        <v>4.9000000000000004</v>
      </c>
      <c r="AB12" s="87">
        <v>3.5</v>
      </c>
      <c r="AC12" s="87">
        <v>3.9</v>
      </c>
      <c r="AD12" s="87">
        <v>3</v>
      </c>
      <c r="AE12" s="87">
        <v>1.9</v>
      </c>
      <c r="AF12" s="87">
        <v>3</v>
      </c>
      <c r="AG12" s="82">
        <f t="shared" si="0"/>
        <v>149.10000000000002</v>
      </c>
    </row>
    <row r="13" spans="1:35" s="44" customFormat="1" ht="21" x14ac:dyDescent="0.35">
      <c r="A13" s="60" t="s">
        <v>69</v>
      </c>
      <c r="B13" s="66"/>
      <c r="C13" s="66">
        <v>2.5</v>
      </c>
      <c r="D13" s="66">
        <v>2</v>
      </c>
      <c r="E13" s="66">
        <v>1.8</v>
      </c>
      <c r="F13" s="66">
        <v>2.1</v>
      </c>
      <c r="G13" s="66">
        <v>2.2999999999999998</v>
      </c>
      <c r="H13" s="66">
        <v>2.7</v>
      </c>
      <c r="I13" s="66"/>
      <c r="J13" s="66">
        <v>2.2999999999999998</v>
      </c>
      <c r="K13" s="66">
        <v>2.4</v>
      </c>
      <c r="L13" s="66">
        <v>2</v>
      </c>
      <c r="M13" s="66">
        <v>2.7</v>
      </c>
      <c r="N13" s="66">
        <v>2.5</v>
      </c>
      <c r="O13" s="66">
        <v>2.1</v>
      </c>
      <c r="P13" s="66"/>
      <c r="Q13" s="66">
        <v>2</v>
      </c>
      <c r="R13" s="66">
        <v>2.5</v>
      </c>
      <c r="S13" s="66">
        <v>2.1</v>
      </c>
      <c r="T13" s="66">
        <v>2.2999999999999998</v>
      </c>
      <c r="U13" s="66">
        <v>2.5</v>
      </c>
      <c r="V13" s="66">
        <v>2</v>
      </c>
      <c r="W13" s="66"/>
      <c r="X13" s="66">
        <v>2.4</v>
      </c>
      <c r="Y13" s="66">
        <v>2</v>
      </c>
      <c r="Z13" s="66">
        <v>2</v>
      </c>
      <c r="AA13" s="66">
        <v>2.2999999999999998</v>
      </c>
      <c r="AB13" s="66">
        <v>1.8</v>
      </c>
      <c r="AC13" s="66">
        <v>2.4</v>
      </c>
      <c r="AD13" s="66"/>
      <c r="AE13" s="66">
        <v>2.2000000000000002</v>
      </c>
      <c r="AF13" s="66">
        <v>2.8</v>
      </c>
      <c r="AG13" s="82">
        <f t="shared" si="0"/>
        <v>58.699999999999989</v>
      </c>
      <c r="AH13" s="48"/>
      <c r="AI13" s="48"/>
    </row>
    <row r="14" spans="1:35" s="44" customFormat="1" ht="18.75" customHeight="1" x14ac:dyDescent="0.35">
      <c r="A14" s="60" t="s">
        <v>71</v>
      </c>
      <c r="B14" s="87">
        <v>7.3</v>
      </c>
      <c r="C14" s="87">
        <v>7.4</v>
      </c>
      <c r="D14" s="87">
        <v>6.8</v>
      </c>
      <c r="E14" s="87">
        <v>8.5</v>
      </c>
      <c r="F14" s="87">
        <v>8.4</v>
      </c>
      <c r="G14" s="87">
        <v>7.6</v>
      </c>
      <c r="H14" s="87">
        <v>7.3</v>
      </c>
      <c r="I14" s="87">
        <v>9.8000000000000007</v>
      </c>
      <c r="J14" s="87">
        <v>11.4</v>
      </c>
      <c r="K14" s="87">
        <v>10.5</v>
      </c>
      <c r="L14" s="87">
        <v>6.5</v>
      </c>
      <c r="M14" s="87">
        <v>7.4</v>
      </c>
      <c r="N14" s="87">
        <v>8.6</v>
      </c>
      <c r="O14" s="87">
        <v>7.3</v>
      </c>
      <c r="P14" s="87">
        <v>5.7</v>
      </c>
      <c r="Q14" s="87">
        <v>8.6</v>
      </c>
      <c r="R14" s="87">
        <v>7.3</v>
      </c>
      <c r="S14" s="87">
        <v>9.5</v>
      </c>
      <c r="T14" s="87">
        <v>12.6</v>
      </c>
      <c r="U14" s="87">
        <v>13.4</v>
      </c>
      <c r="V14" s="87">
        <v>12.3</v>
      </c>
      <c r="W14" s="87">
        <v>14.5</v>
      </c>
      <c r="X14" s="87">
        <v>13.6</v>
      </c>
      <c r="Y14" s="88">
        <v>12.4</v>
      </c>
      <c r="Z14" s="88">
        <v>10.9</v>
      </c>
      <c r="AA14" s="88">
        <v>9.4</v>
      </c>
      <c r="AB14" s="88">
        <v>11.3</v>
      </c>
      <c r="AC14" s="88">
        <v>10.9</v>
      </c>
      <c r="AD14" s="88">
        <v>12.1</v>
      </c>
      <c r="AE14" s="88">
        <v>11.1</v>
      </c>
      <c r="AF14" s="88">
        <v>9.8000000000000007</v>
      </c>
      <c r="AG14" s="82">
        <f t="shared" si="0"/>
        <v>300.20000000000005</v>
      </c>
      <c r="AH14" s="48"/>
      <c r="AI14" s="48"/>
    </row>
    <row r="15" spans="1:35" s="44" customFormat="1" ht="18.75" customHeight="1" x14ac:dyDescent="0.35">
      <c r="A15" s="60" t="s">
        <v>72</v>
      </c>
      <c r="B15" s="87">
        <v>2.1</v>
      </c>
      <c r="C15" s="87">
        <v>3.5</v>
      </c>
      <c r="D15" s="87">
        <v>3</v>
      </c>
      <c r="E15" s="87">
        <v>2.9</v>
      </c>
      <c r="F15" s="87">
        <v>3.1</v>
      </c>
      <c r="G15" s="87">
        <v>2.9</v>
      </c>
      <c r="H15" s="87">
        <v>3</v>
      </c>
      <c r="I15" s="87">
        <v>2.1</v>
      </c>
      <c r="J15" s="87">
        <v>7.2</v>
      </c>
      <c r="K15" s="87">
        <v>6.8</v>
      </c>
      <c r="L15" s="87">
        <v>6.5</v>
      </c>
      <c r="M15" s="87">
        <v>6.5</v>
      </c>
      <c r="N15" s="87">
        <v>7</v>
      </c>
      <c r="O15" s="87">
        <v>3.5</v>
      </c>
      <c r="P15" s="87">
        <v>3.1</v>
      </c>
      <c r="Q15" s="87">
        <v>3</v>
      </c>
      <c r="R15" s="87">
        <v>3.4</v>
      </c>
      <c r="S15" s="87">
        <v>2.5</v>
      </c>
      <c r="T15" s="87">
        <v>2.9</v>
      </c>
      <c r="U15" s="87">
        <v>2.5</v>
      </c>
      <c r="V15" s="87">
        <v>3.1</v>
      </c>
      <c r="W15" s="87">
        <v>3</v>
      </c>
      <c r="X15" s="87">
        <v>2.1</v>
      </c>
      <c r="Y15" s="87">
        <v>3.2</v>
      </c>
      <c r="Z15" s="87">
        <v>2.1</v>
      </c>
      <c r="AA15" s="87">
        <v>3.2</v>
      </c>
      <c r="AB15" s="87" t="s">
        <v>197</v>
      </c>
      <c r="AC15" s="87">
        <v>2.9</v>
      </c>
      <c r="AD15" s="87">
        <v>1.5</v>
      </c>
      <c r="AE15" s="87">
        <v>2.5</v>
      </c>
      <c r="AF15" s="87">
        <v>3.5</v>
      </c>
      <c r="AG15" s="82">
        <f t="shared" si="0"/>
        <v>104.60000000000001</v>
      </c>
      <c r="AH15" s="48"/>
      <c r="AI15" s="48"/>
    </row>
    <row r="16" spans="1:35" s="44" customFormat="1" ht="18.75" customHeight="1" x14ac:dyDescent="0.35">
      <c r="A16" s="60" t="s">
        <v>85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2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87">
        <v>3</v>
      </c>
      <c r="C17" s="87">
        <v>3.2</v>
      </c>
      <c r="D17" s="87">
        <v>4</v>
      </c>
      <c r="E17" s="87">
        <v>4.4000000000000004</v>
      </c>
      <c r="F17" s="87">
        <v>3.6</v>
      </c>
      <c r="G17" s="87">
        <v>3.8</v>
      </c>
      <c r="H17" s="87">
        <v>4.2</v>
      </c>
      <c r="I17" s="87">
        <v>1.4</v>
      </c>
      <c r="J17" s="87">
        <v>3</v>
      </c>
      <c r="K17" s="87">
        <v>3.1</v>
      </c>
      <c r="L17" s="87">
        <v>4.2</v>
      </c>
      <c r="M17" s="87">
        <v>4.0999999999999996</v>
      </c>
      <c r="N17" s="87">
        <v>3.9</v>
      </c>
      <c r="O17" s="87">
        <v>2.2999999999999998</v>
      </c>
      <c r="P17" s="87">
        <v>2</v>
      </c>
      <c r="Q17" s="87">
        <v>3.5</v>
      </c>
      <c r="R17" s="87">
        <v>4</v>
      </c>
      <c r="S17" s="87">
        <v>4.5</v>
      </c>
      <c r="T17" s="87">
        <v>5.3</v>
      </c>
      <c r="U17" s="87">
        <v>3.8</v>
      </c>
      <c r="V17" s="87">
        <v>4.4000000000000004</v>
      </c>
      <c r="W17" s="87">
        <v>2.9</v>
      </c>
      <c r="X17" s="87">
        <v>2.7</v>
      </c>
      <c r="Y17" s="87">
        <v>3.4</v>
      </c>
      <c r="Z17" s="87">
        <v>4.3</v>
      </c>
      <c r="AA17" s="87">
        <v>5.2</v>
      </c>
      <c r="AB17" s="87">
        <v>4.8</v>
      </c>
      <c r="AC17" s="87">
        <v>3.5</v>
      </c>
      <c r="AD17" s="87">
        <v>2.9</v>
      </c>
      <c r="AE17" s="87">
        <v>3</v>
      </c>
      <c r="AF17" s="87">
        <v>3.3</v>
      </c>
      <c r="AG17" s="82">
        <f t="shared" si="0"/>
        <v>111.70000000000002</v>
      </c>
      <c r="AH17" s="48"/>
      <c r="AI17" s="48"/>
    </row>
    <row r="18" spans="1:35" s="44" customFormat="1" ht="18.75" customHeight="1" x14ac:dyDescent="0.35">
      <c r="A18" s="60" t="s">
        <v>73</v>
      </c>
      <c r="B18" s="87">
        <f>3.9/2</f>
        <v>1.95</v>
      </c>
      <c r="C18" s="87">
        <f>3.2/2</f>
        <v>1.6</v>
      </c>
      <c r="D18" s="87">
        <f>4.7/2</f>
        <v>2.35</v>
      </c>
      <c r="E18" s="87">
        <v>1.5</v>
      </c>
      <c r="F18" s="87">
        <f>3.9/2</f>
        <v>1.95</v>
      </c>
      <c r="G18" s="87">
        <f>3.9/2</f>
        <v>1.95</v>
      </c>
      <c r="H18" s="87">
        <f>4.7/2</f>
        <v>2.35</v>
      </c>
      <c r="I18" s="87">
        <f>3.9/2</f>
        <v>1.95</v>
      </c>
      <c r="J18" s="87">
        <v>1.5</v>
      </c>
      <c r="K18" s="87">
        <f>1.7/2</f>
        <v>0.85</v>
      </c>
      <c r="L18" s="87">
        <f>3.9/2</f>
        <v>1.95</v>
      </c>
      <c r="M18" s="87">
        <f>2.7/2</f>
        <v>1.35</v>
      </c>
      <c r="N18" s="87">
        <f>2.9/2</f>
        <v>1.45</v>
      </c>
      <c r="O18" s="87">
        <f>3.9/2</f>
        <v>1.95</v>
      </c>
      <c r="P18" s="87">
        <f>3.9/2</f>
        <v>1.95</v>
      </c>
      <c r="Q18" s="87">
        <f>4.7/2</f>
        <v>2.35</v>
      </c>
      <c r="R18" s="87">
        <f>2.3/2</f>
        <v>1.1499999999999999</v>
      </c>
      <c r="S18" s="87">
        <f>2.7/2</f>
        <v>1.35</v>
      </c>
      <c r="T18" s="87">
        <f>3.9/2</f>
        <v>1.95</v>
      </c>
      <c r="U18" s="87">
        <v>1.5</v>
      </c>
      <c r="V18" s="87">
        <f>3.9/2</f>
        <v>1.95</v>
      </c>
      <c r="W18" s="87">
        <f>3.6/2</f>
        <v>1.8</v>
      </c>
      <c r="X18" s="87">
        <f>4.7/2</f>
        <v>2.35</v>
      </c>
      <c r="Y18" s="87">
        <f>3.9/2</f>
        <v>1.95</v>
      </c>
      <c r="Z18" s="87">
        <f>3.9/2</f>
        <v>1.95</v>
      </c>
      <c r="AA18" s="87">
        <f>2.7/2</f>
        <v>1.35</v>
      </c>
      <c r="AB18" s="87">
        <f>3.9/2</f>
        <v>1.95</v>
      </c>
      <c r="AC18" s="87">
        <v>2</v>
      </c>
      <c r="AD18" s="87">
        <f>3.9/2</f>
        <v>1.95</v>
      </c>
      <c r="AE18" s="87">
        <f>2.9/2</f>
        <v>1.45</v>
      </c>
      <c r="AF18" s="87">
        <f>3.9/2</f>
        <v>1.95</v>
      </c>
      <c r="AG18" s="82">
        <f t="shared" si="0"/>
        <v>55.550000000000018</v>
      </c>
      <c r="AH18" s="48"/>
      <c r="AI18" s="48"/>
    </row>
    <row r="19" spans="1:35" s="44" customFormat="1" ht="18.75" customHeight="1" x14ac:dyDescent="0.35">
      <c r="A19" s="60" t="s">
        <v>92</v>
      </c>
      <c r="B19" s="87">
        <f>3.9/2</f>
        <v>1.95</v>
      </c>
      <c r="C19" s="87">
        <f>3.2/2</f>
        <v>1.6</v>
      </c>
      <c r="D19" s="87">
        <f>4.7/2</f>
        <v>2.35</v>
      </c>
      <c r="E19" s="87">
        <v>1.5</v>
      </c>
      <c r="F19" s="87">
        <f>3.9/2</f>
        <v>1.95</v>
      </c>
      <c r="G19" s="87">
        <f>3.9/2</f>
        <v>1.95</v>
      </c>
      <c r="H19" s="87">
        <f>4.7/2</f>
        <v>2.35</v>
      </c>
      <c r="I19" s="87">
        <f>3.9/2</f>
        <v>1.95</v>
      </c>
      <c r="J19" s="87">
        <v>1.5</v>
      </c>
      <c r="K19" s="87">
        <f>1.7/2</f>
        <v>0.85</v>
      </c>
      <c r="L19" s="87">
        <f>3.9/2</f>
        <v>1.95</v>
      </c>
      <c r="M19" s="87">
        <f>2.7/2</f>
        <v>1.35</v>
      </c>
      <c r="N19" s="87">
        <f>2.9/2</f>
        <v>1.45</v>
      </c>
      <c r="O19" s="87">
        <f>3.9/2</f>
        <v>1.95</v>
      </c>
      <c r="P19" s="87">
        <f>3.9/2</f>
        <v>1.95</v>
      </c>
      <c r="Q19" s="87">
        <f>4.7/2</f>
        <v>2.35</v>
      </c>
      <c r="R19" s="87">
        <f>2.3/2</f>
        <v>1.1499999999999999</v>
      </c>
      <c r="S19" s="87">
        <f>2.7/2</f>
        <v>1.35</v>
      </c>
      <c r="T19" s="87">
        <f>3.9/2</f>
        <v>1.95</v>
      </c>
      <c r="U19" s="87">
        <v>1.5</v>
      </c>
      <c r="V19" s="87">
        <f>3.9/2</f>
        <v>1.95</v>
      </c>
      <c r="W19" s="87">
        <f>3.6/2</f>
        <v>1.8</v>
      </c>
      <c r="X19" s="87">
        <f>4.7/2</f>
        <v>2.35</v>
      </c>
      <c r="Y19" s="87">
        <f>3.9/2</f>
        <v>1.95</v>
      </c>
      <c r="Z19" s="87">
        <f>3.9/2</f>
        <v>1.95</v>
      </c>
      <c r="AA19" s="87">
        <f>2.7/2</f>
        <v>1.35</v>
      </c>
      <c r="AB19" s="87">
        <f>3.9/2</f>
        <v>1.95</v>
      </c>
      <c r="AC19" s="87">
        <v>2</v>
      </c>
      <c r="AD19" s="87">
        <f>3.9/2</f>
        <v>1.95</v>
      </c>
      <c r="AE19" s="87">
        <f>2.9/2</f>
        <v>1.45</v>
      </c>
      <c r="AF19" s="87">
        <f>3.9/2</f>
        <v>1.95</v>
      </c>
      <c r="AG19" s="82">
        <f t="shared" si="0"/>
        <v>55.550000000000018</v>
      </c>
      <c r="AH19" s="48"/>
      <c r="AI19" s="48"/>
    </row>
    <row r="20" spans="1:35" s="44" customFormat="1" ht="18.75" customHeight="1" x14ac:dyDescent="0.35">
      <c r="A20" s="60" t="s">
        <v>89</v>
      </c>
      <c r="B20" s="87">
        <f>4+3.6</f>
        <v>7.6</v>
      </c>
      <c r="C20" s="87">
        <f>4+1+3.8</f>
        <v>8.8000000000000007</v>
      </c>
      <c r="D20" s="87">
        <f>3.9+4.1</f>
        <v>8</v>
      </c>
      <c r="E20" s="87">
        <f>3+3.7</f>
        <v>6.7</v>
      </c>
      <c r="F20" s="87">
        <f>3.9+3.8</f>
        <v>7.6999999999999993</v>
      </c>
      <c r="G20" s="87">
        <f>3+4</f>
        <v>7</v>
      </c>
      <c r="H20" s="87">
        <f>3.6+3.5</f>
        <v>7.1</v>
      </c>
      <c r="I20" s="87">
        <f>3.9+2</f>
        <v>5.9</v>
      </c>
      <c r="J20" s="87">
        <f>3.4+2</f>
        <v>5.4</v>
      </c>
      <c r="K20" s="87">
        <f>3.9+2.1</f>
        <v>6</v>
      </c>
      <c r="L20" s="87">
        <f>3.6+2</f>
        <v>5.6</v>
      </c>
      <c r="M20" s="87">
        <f>3.8+2.5</f>
        <v>6.3</v>
      </c>
      <c r="N20" s="87">
        <f>3.9+2.7</f>
        <v>6.6</v>
      </c>
      <c r="O20" s="87">
        <f>4+3</f>
        <v>7</v>
      </c>
      <c r="P20" s="87">
        <f>4.3+1</f>
        <v>5.3</v>
      </c>
      <c r="Q20" s="87">
        <f>4+2.3</f>
        <v>6.3</v>
      </c>
      <c r="R20" s="87">
        <f>4.3+2.9</f>
        <v>7.1999999999999993</v>
      </c>
      <c r="S20" s="87">
        <f>4.8+2.7</f>
        <v>7.5</v>
      </c>
      <c r="T20" s="87">
        <f>4.8+2.6</f>
        <v>7.4</v>
      </c>
      <c r="U20" s="87">
        <f>4+2.9</f>
        <v>6.9</v>
      </c>
      <c r="V20" s="87">
        <f>4.1+3</f>
        <v>7.1</v>
      </c>
      <c r="W20" s="87">
        <f>4.8+3.6</f>
        <v>8.4</v>
      </c>
      <c r="X20" s="87">
        <f>4.9+4</f>
        <v>8.9</v>
      </c>
      <c r="Y20" s="87">
        <f>5.1+3</f>
        <v>8.1</v>
      </c>
      <c r="Z20" s="87">
        <f>6.6+4</f>
        <v>10.6</v>
      </c>
      <c r="AA20" s="87">
        <f>4+5</f>
        <v>9</v>
      </c>
      <c r="AB20" s="87">
        <f>4.3+4</f>
        <v>8.3000000000000007</v>
      </c>
      <c r="AC20" s="87">
        <f>4.9+3.8</f>
        <v>8.6999999999999993</v>
      </c>
      <c r="AD20" s="87">
        <f>2.6+3.9</f>
        <v>6.5</v>
      </c>
      <c r="AE20" s="87">
        <f>2.9+3.5</f>
        <v>6.4</v>
      </c>
      <c r="AF20" s="87">
        <f>3.4+2.1</f>
        <v>5.5</v>
      </c>
      <c r="AG20" s="82">
        <f t="shared" si="0"/>
        <v>223.79999999999998</v>
      </c>
      <c r="AH20" s="48"/>
      <c r="AI20" s="48"/>
    </row>
    <row r="21" spans="1:35" s="44" customFormat="1" ht="18.75" customHeight="1" x14ac:dyDescent="0.35">
      <c r="A21" s="60" t="s">
        <v>74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2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87"/>
      <c r="C22" s="87">
        <v>1.5</v>
      </c>
      <c r="D22" s="87">
        <v>1.9</v>
      </c>
      <c r="E22" s="87">
        <v>2.4</v>
      </c>
      <c r="F22" s="87">
        <v>2.8</v>
      </c>
      <c r="G22" s="87">
        <v>3.2</v>
      </c>
      <c r="H22" s="87">
        <v>2.5</v>
      </c>
      <c r="I22" s="87"/>
      <c r="J22" s="87">
        <v>1.5</v>
      </c>
      <c r="K22" s="87">
        <v>2.4</v>
      </c>
      <c r="L22" s="87">
        <v>1.5</v>
      </c>
      <c r="M22" s="87">
        <v>2.8</v>
      </c>
      <c r="N22" s="87">
        <v>3.2</v>
      </c>
      <c r="O22" s="87">
        <v>2.8</v>
      </c>
      <c r="P22" s="87"/>
      <c r="Q22" s="87">
        <v>2.4</v>
      </c>
      <c r="R22" s="87">
        <v>3</v>
      </c>
      <c r="S22" s="87">
        <v>2.9</v>
      </c>
      <c r="T22" s="87">
        <v>3.2</v>
      </c>
      <c r="U22" s="87">
        <v>4</v>
      </c>
      <c r="V22" s="87">
        <v>2.7</v>
      </c>
      <c r="W22" s="87"/>
      <c r="X22" s="87"/>
      <c r="Y22" s="87">
        <v>2</v>
      </c>
      <c r="Z22" s="87">
        <v>2.8</v>
      </c>
      <c r="AA22" s="87">
        <v>3</v>
      </c>
      <c r="AB22" s="87">
        <v>3.5</v>
      </c>
      <c r="AC22" s="87">
        <v>3.2</v>
      </c>
      <c r="AD22" s="87"/>
      <c r="AE22" s="87">
        <v>0.4</v>
      </c>
      <c r="AF22" s="87">
        <v>1.4</v>
      </c>
      <c r="AG22" s="82">
        <f t="shared" si="0"/>
        <v>63</v>
      </c>
      <c r="AH22" s="48"/>
      <c r="AI22" s="48"/>
    </row>
    <row r="23" spans="1:35" s="44" customFormat="1" ht="18.75" customHeight="1" x14ac:dyDescent="0.35">
      <c r="A23" s="60" t="s">
        <v>77</v>
      </c>
      <c r="B23" s="87"/>
      <c r="C23" s="87">
        <v>1.5</v>
      </c>
      <c r="D23" s="87">
        <v>2</v>
      </c>
      <c r="E23" s="87">
        <v>1.8</v>
      </c>
      <c r="F23" s="87">
        <v>2.2000000000000002</v>
      </c>
      <c r="G23" s="87">
        <v>2.5</v>
      </c>
      <c r="H23" s="87"/>
      <c r="I23" s="87"/>
      <c r="J23" s="87">
        <v>1.4</v>
      </c>
      <c r="K23" s="87">
        <v>1.6</v>
      </c>
      <c r="L23" s="87">
        <v>2</v>
      </c>
      <c r="M23" s="87">
        <v>2.9</v>
      </c>
      <c r="N23" s="87">
        <v>1.5</v>
      </c>
      <c r="O23" s="87"/>
      <c r="P23" s="87"/>
      <c r="Q23" s="87">
        <v>1</v>
      </c>
      <c r="R23" s="87">
        <v>1.6</v>
      </c>
      <c r="S23" s="87">
        <v>2.4</v>
      </c>
      <c r="T23" s="87">
        <v>2.5</v>
      </c>
      <c r="U23" s="87">
        <v>2</v>
      </c>
      <c r="V23" s="87"/>
      <c r="W23" s="87"/>
      <c r="X23" s="87">
        <v>1.8</v>
      </c>
      <c r="Y23" s="87">
        <v>2</v>
      </c>
      <c r="Z23" s="87">
        <v>1.6</v>
      </c>
      <c r="AA23" s="87">
        <v>1.9</v>
      </c>
      <c r="AB23" s="87">
        <v>2</v>
      </c>
      <c r="AC23" s="87"/>
      <c r="AD23" s="87"/>
      <c r="AE23" s="87">
        <v>1.8</v>
      </c>
      <c r="AF23" s="87">
        <v>1.6</v>
      </c>
      <c r="AG23" s="82">
        <f t="shared" si="0"/>
        <v>41.6</v>
      </c>
      <c r="AH23" s="48"/>
      <c r="AI23" s="48"/>
    </row>
    <row r="24" spans="1:35" s="44" customFormat="1" ht="18.75" customHeight="1" x14ac:dyDescent="0.35">
      <c r="A24" s="60" t="s">
        <v>78</v>
      </c>
      <c r="B24" s="87">
        <f>5+3</f>
        <v>8</v>
      </c>
      <c r="C24" s="87">
        <f>5+4</f>
        <v>9</v>
      </c>
      <c r="D24" s="87">
        <f>4+3</f>
        <v>7</v>
      </c>
      <c r="E24" s="87">
        <f>5+3</f>
        <v>8</v>
      </c>
      <c r="F24" s="87">
        <f>8+4</f>
        <v>12</v>
      </c>
      <c r="G24" s="87">
        <f>3+4</f>
        <v>7</v>
      </c>
      <c r="H24" s="87">
        <f>5+3</f>
        <v>8</v>
      </c>
      <c r="I24" s="87">
        <f>4+2</f>
        <v>6</v>
      </c>
      <c r="J24" s="87">
        <f>5+4</f>
        <v>9</v>
      </c>
      <c r="K24" s="87">
        <f>4+3</f>
        <v>7</v>
      </c>
      <c r="L24" s="87">
        <f>4+2</f>
        <v>6</v>
      </c>
      <c r="M24" s="87">
        <f>4+2</f>
        <v>6</v>
      </c>
      <c r="N24" s="87">
        <f>4+3</f>
        <v>7</v>
      </c>
      <c r="O24" s="87">
        <f>4+3</f>
        <v>7</v>
      </c>
      <c r="P24" s="87">
        <f>3+2</f>
        <v>5</v>
      </c>
      <c r="Q24" s="87">
        <f>3+2</f>
        <v>5</v>
      </c>
      <c r="R24" s="87">
        <f>4+2</f>
        <v>6</v>
      </c>
      <c r="S24" s="87">
        <f>2+4</f>
        <v>6</v>
      </c>
      <c r="T24" s="87">
        <f>4+3</f>
        <v>7</v>
      </c>
      <c r="U24" s="87">
        <f>4+3</f>
        <v>7</v>
      </c>
      <c r="V24" s="87">
        <f>3+2</f>
        <v>5</v>
      </c>
      <c r="W24" s="87">
        <f>3+4</f>
        <v>7</v>
      </c>
      <c r="X24" s="87">
        <f>3+4</f>
        <v>7</v>
      </c>
      <c r="Y24" s="87">
        <f>2+4</f>
        <v>6</v>
      </c>
      <c r="Z24" s="87">
        <f>3+1</f>
        <v>4</v>
      </c>
      <c r="AA24" s="87">
        <f>1+2</f>
        <v>3</v>
      </c>
      <c r="AB24" s="87">
        <f>3+2</f>
        <v>5</v>
      </c>
      <c r="AC24" s="87">
        <f>4+2</f>
        <v>6</v>
      </c>
      <c r="AD24" s="87">
        <f>3+2</f>
        <v>5</v>
      </c>
      <c r="AE24" s="87">
        <f>4+3</f>
        <v>7</v>
      </c>
      <c r="AF24" s="87">
        <f>4+2</f>
        <v>6</v>
      </c>
      <c r="AG24" s="82">
        <f t="shared" si="0"/>
        <v>204</v>
      </c>
      <c r="AH24" s="48"/>
      <c r="AI24" s="48"/>
    </row>
    <row r="25" spans="1:35" s="44" customFormat="1" ht="18.75" customHeight="1" x14ac:dyDescent="0.35">
      <c r="A25" s="116" t="s">
        <v>79</v>
      </c>
      <c r="B25" s="70">
        <v>2.5</v>
      </c>
      <c r="C25" s="70">
        <v>3.2</v>
      </c>
      <c r="D25" s="70">
        <v>1.5</v>
      </c>
      <c r="E25" s="70">
        <v>4.5</v>
      </c>
      <c r="F25" s="70">
        <v>1.3</v>
      </c>
      <c r="G25" s="70">
        <v>0.9</v>
      </c>
      <c r="H25" s="70">
        <v>4</v>
      </c>
      <c r="I25" s="70">
        <v>5</v>
      </c>
      <c r="J25" s="70">
        <v>1.3</v>
      </c>
      <c r="K25" s="70">
        <v>2.2000000000000002</v>
      </c>
      <c r="L25" s="70">
        <v>1.6</v>
      </c>
      <c r="M25" s="70">
        <v>4.3</v>
      </c>
      <c r="N25" s="70">
        <v>2.2000000000000002</v>
      </c>
      <c r="O25" s="70">
        <v>0.8</v>
      </c>
      <c r="P25" s="70">
        <v>1.4</v>
      </c>
      <c r="Q25" s="70">
        <v>4.3</v>
      </c>
      <c r="R25" s="70">
        <v>5</v>
      </c>
      <c r="S25" s="70">
        <v>6.2</v>
      </c>
      <c r="T25" s="70">
        <v>1.5</v>
      </c>
      <c r="U25" s="70">
        <v>4</v>
      </c>
      <c r="V25" s="70">
        <v>3.1</v>
      </c>
      <c r="W25" s="70">
        <v>2.2000000000000002</v>
      </c>
      <c r="X25" s="70">
        <v>1.6</v>
      </c>
      <c r="Y25" s="70">
        <v>1.4</v>
      </c>
      <c r="Z25" s="70">
        <v>2.5</v>
      </c>
      <c r="AA25" s="70">
        <v>1.7</v>
      </c>
      <c r="AB25" s="70">
        <v>0.8</v>
      </c>
      <c r="AC25" s="70">
        <v>4</v>
      </c>
      <c r="AD25" s="70">
        <v>3.1</v>
      </c>
      <c r="AE25" s="70">
        <v>1.9</v>
      </c>
      <c r="AF25" s="70">
        <v>2.5</v>
      </c>
      <c r="AG25" s="82">
        <f t="shared" si="0"/>
        <v>82.5</v>
      </c>
      <c r="AH25" s="48"/>
      <c r="AI25" s="48"/>
    </row>
    <row r="26" spans="1:35" s="44" customFormat="1" ht="18.75" customHeight="1" x14ac:dyDescent="0.35">
      <c r="A26" s="116" t="s">
        <v>154</v>
      </c>
      <c r="B26" s="76">
        <v>0.7</v>
      </c>
      <c r="C26" s="76">
        <v>0.5</v>
      </c>
      <c r="D26" s="76">
        <v>0.6</v>
      </c>
      <c r="E26" s="76"/>
      <c r="F26" s="76">
        <v>1.2</v>
      </c>
      <c r="G26" s="76">
        <v>1.5</v>
      </c>
      <c r="H26" s="76"/>
      <c r="I26" s="76">
        <v>1.3</v>
      </c>
      <c r="J26" s="76">
        <v>2</v>
      </c>
      <c r="K26" s="76">
        <v>2.2999999999999998</v>
      </c>
      <c r="L26" s="76"/>
      <c r="M26" s="76">
        <v>2.2999999999999998</v>
      </c>
      <c r="N26" s="76">
        <v>2.4</v>
      </c>
      <c r="O26" s="76">
        <v>2.2000000000000002</v>
      </c>
      <c r="P26" s="76">
        <v>2.2999999999999998</v>
      </c>
      <c r="Q26" s="76">
        <v>2.2000000000000002</v>
      </c>
      <c r="R26" s="76">
        <v>1.3</v>
      </c>
      <c r="S26" s="76"/>
      <c r="T26" s="76">
        <v>1.5</v>
      </c>
      <c r="U26" s="76">
        <v>2</v>
      </c>
      <c r="V26" s="76">
        <v>1.5</v>
      </c>
      <c r="W26" s="76">
        <v>1.5</v>
      </c>
      <c r="X26" s="76">
        <v>2</v>
      </c>
      <c r="Y26" s="76">
        <v>2</v>
      </c>
      <c r="Z26" s="76"/>
      <c r="AA26" s="76">
        <v>2.1</v>
      </c>
      <c r="AB26" s="76">
        <v>2.1</v>
      </c>
      <c r="AC26" s="76">
        <v>2.1</v>
      </c>
      <c r="AD26" s="76">
        <v>2</v>
      </c>
      <c r="AE26" s="76">
        <v>2</v>
      </c>
      <c r="AF26" s="76">
        <v>2.2999999999999998</v>
      </c>
      <c r="AG26" s="82">
        <f t="shared" si="0"/>
        <v>45.9</v>
      </c>
      <c r="AH26" s="48"/>
      <c r="AI26" s="48"/>
    </row>
    <row r="27" spans="1:35" s="44" customFormat="1" ht="18.75" customHeight="1" x14ac:dyDescent="0.35">
      <c r="A27" s="116" t="s">
        <v>80</v>
      </c>
      <c r="B27" s="76">
        <v>4.5</v>
      </c>
      <c r="C27" s="76">
        <v>3</v>
      </c>
      <c r="D27" s="76">
        <v>2.9</v>
      </c>
      <c r="E27" s="76">
        <v>3.8</v>
      </c>
      <c r="F27" s="76">
        <v>3.1</v>
      </c>
      <c r="G27" s="76">
        <v>5.5</v>
      </c>
      <c r="H27" s="76"/>
      <c r="I27" s="76" t="s">
        <v>174</v>
      </c>
      <c r="J27" s="76">
        <v>3.8</v>
      </c>
      <c r="K27" s="76">
        <v>3.9</v>
      </c>
      <c r="L27" s="76">
        <v>3.6</v>
      </c>
      <c r="M27" s="76">
        <v>3.1</v>
      </c>
      <c r="N27" s="76">
        <v>3.9</v>
      </c>
      <c r="O27" s="76">
        <v>4.8</v>
      </c>
      <c r="P27" s="76"/>
      <c r="Q27" s="76">
        <v>3.7</v>
      </c>
      <c r="R27" s="76">
        <v>3.2</v>
      </c>
      <c r="S27" s="76">
        <v>3.9</v>
      </c>
      <c r="T27" s="76">
        <v>4.7</v>
      </c>
      <c r="U27" s="76">
        <v>5.7</v>
      </c>
      <c r="V27" s="76">
        <v>4.8</v>
      </c>
      <c r="W27" s="76">
        <v>3.7</v>
      </c>
      <c r="X27" s="76"/>
      <c r="Y27" s="76">
        <v>4.2</v>
      </c>
      <c r="Z27" s="76">
        <v>6.2</v>
      </c>
      <c r="AA27" s="76">
        <v>2.9</v>
      </c>
      <c r="AB27" s="76">
        <v>3.8</v>
      </c>
      <c r="AC27" s="76">
        <v>3.1</v>
      </c>
      <c r="AD27" s="76">
        <v>4.8</v>
      </c>
      <c r="AE27" s="76">
        <v>3.7</v>
      </c>
      <c r="AF27" s="76"/>
      <c r="AG27" s="82">
        <f t="shared" si="0"/>
        <v>104.30000000000001</v>
      </c>
      <c r="AH27" s="48"/>
      <c r="AI27" s="48"/>
    </row>
    <row r="28" spans="1:35" s="44" customFormat="1" ht="18.75" customHeight="1" x14ac:dyDescent="0.35">
      <c r="A28" s="60" t="s">
        <v>76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2">
        <f t="shared" si="0"/>
        <v>0</v>
      </c>
      <c r="AH28" s="48"/>
      <c r="AI28" s="48"/>
    </row>
    <row r="29" spans="1:35" s="44" customFormat="1" ht="18.75" customHeight="1" x14ac:dyDescent="0.35">
      <c r="A29" s="116" t="s">
        <v>81</v>
      </c>
      <c r="B29" s="76">
        <f>0.8+1.3+4.1</f>
        <v>6.1999999999999993</v>
      </c>
      <c r="C29" s="76">
        <f>3.3+2.8+4.1</f>
        <v>10.199999999999999</v>
      </c>
      <c r="D29" s="76">
        <f>4.3+2.9+3.1</f>
        <v>10.299999999999999</v>
      </c>
      <c r="E29" s="76">
        <f>3.9+8.3+2.5</f>
        <v>14.700000000000001</v>
      </c>
      <c r="F29" s="76">
        <f>1.9+3.4+4.1</f>
        <v>9.3999999999999986</v>
      </c>
      <c r="G29" s="76">
        <f>3.2+4.3+4.1</f>
        <v>11.6</v>
      </c>
      <c r="H29" s="76">
        <f>4.3+4.2+6.1</f>
        <v>14.6</v>
      </c>
      <c r="I29" s="76">
        <f>4.5+4+3.1</f>
        <v>11.6</v>
      </c>
      <c r="J29" s="76">
        <f>4.2+3.1+2.2</f>
        <v>9.5</v>
      </c>
      <c r="K29" s="76">
        <f>3.8+4.2+2.9</f>
        <v>10.9</v>
      </c>
      <c r="L29" s="76">
        <f>3.1+2.2+3.1</f>
        <v>8.4</v>
      </c>
      <c r="M29" s="76">
        <f>3.9+2.5</f>
        <v>6.4</v>
      </c>
      <c r="N29" s="76">
        <f>3.2+4.5+2.5</f>
        <v>10.199999999999999</v>
      </c>
      <c r="O29" s="76">
        <f>3.2+2.1+2.5</f>
        <v>7.8000000000000007</v>
      </c>
      <c r="P29" s="76">
        <f>3.1+4.6+3.5</f>
        <v>11.2</v>
      </c>
      <c r="Q29" s="76">
        <f>2.5+3+2</f>
        <v>7.5</v>
      </c>
      <c r="R29" s="76">
        <f>6.1+4.3+2.1</f>
        <v>12.499999999999998</v>
      </c>
      <c r="S29" s="76">
        <f>5.4+3.5+8.4</f>
        <v>17.3</v>
      </c>
      <c r="T29" s="76">
        <f>3.8+2.8+4.5</f>
        <v>11.1</v>
      </c>
      <c r="U29" s="76">
        <f>3.5+4.1+3.9</f>
        <v>11.5</v>
      </c>
      <c r="V29" s="76">
        <f>3.5+3+2.5</f>
        <v>9</v>
      </c>
      <c r="W29" s="76">
        <f>4.1+3.5+2.9</f>
        <v>10.5</v>
      </c>
      <c r="X29" s="76">
        <f>5.3+4+3.8</f>
        <v>13.100000000000001</v>
      </c>
      <c r="Y29" s="76">
        <f>3.9+4.3+3.2</f>
        <v>11.399999999999999</v>
      </c>
      <c r="Z29" s="76">
        <f>6.4+4.2+3.5</f>
        <v>14.100000000000001</v>
      </c>
      <c r="AA29" s="76">
        <f>6.3+5.2+4.2</f>
        <v>15.7</v>
      </c>
      <c r="AB29" s="76">
        <f>4.3+2.8+1.9</f>
        <v>9</v>
      </c>
      <c r="AC29" s="76">
        <f>3.1+4.2+3.9</f>
        <v>11.200000000000001</v>
      </c>
      <c r="AD29" s="76">
        <f>2.3+3.5+2.8</f>
        <v>8.6</v>
      </c>
      <c r="AE29" s="76">
        <f>4.2+3.5+2.5</f>
        <v>10.199999999999999</v>
      </c>
      <c r="AF29" s="76">
        <f>2.5+3.5+2.8</f>
        <v>8.8000000000000007</v>
      </c>
      <c r="AG29" s="82">
        <f t="shared" si="0"/>
        <v>334.5</v>
      </c>
      <c r="AH29" s="48"/>
      <c r="AI29" s="48"/>
    </row>
    <row r="30" spans="1:35" s="44" customFormat="1" ht="18.75" customHeight="1" x14ac:dyDescent="0.35">
      <c r="A30" s="60" t="s">
        <v>86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2">
        <f t="shared" si="0"/>
        <v>0</v>
      </c>
      <c r="AH30" s="48"/>
      <c r="AI30" s="48"/>
    </row>
    <row r="31" spans="1:35" s="44" customFormat="1" ht="18.75" customHeight="1" x14ac:dyDescent="0.35">
      <c r="A31" s="116" t="s">
        <v>82</v>
      </c>
      <c r="B31" s="76">
        <v>5.9</v>
      </c>
      <c r="C31" s="76">
        <v>5</v>
      </c>
      <c r="D31" s="76">
        <v>7.7</v>
      </c>
      <c r="E31" s="76">
        <v>6.1</v>
      </c>
      <c r="F31" s="76">
        <v>7</v>
      </c>
      <c r="G31" s="76">
        <v>7.6</v>
      </c>
      <c r="H31" s="76">
        <v>6</v>
      </c>
      <c r="I31" s="76">
        <v>5.9</v>
      </c>
      <c r="J31" s="76">
        <v>6.8</v>
      </c>
      <c r="K31" s="76">
        <v>5.4</v>
      </c>
      <c r="L31" s="76">
        <v>8.9</v>
      </c>
      <c r="M31" s="76">
        <v>7.9</v>
      </c>
      <c r="N31" s="76">
        <f>7</f>
        <v>7</v>
      </c>
      <c r="O31" s="76">
        <v>7.6</v>
      </c>
      <c r="P31" s="76">
        <f>6.8</f>
        <v>6.8</v>
      </c>
      <c r="Q31" s="76">
        <f>5.6</f>
        <v>5.6</v>
      </c>
      <c r="R31" s="76">
        <v>8.6</v>
      </c>
      <c r="S31" s="76">
        <v>7.6</v>
      </c>
      <c r="T31" s="76">
        <v>6.9</v>
      </c>
      <c r="U31" s="76">
        <v>9.6</v>
      </c>
      <c r="V31" s="76">
        <f>9.7+10+7.8</f>
        <v>27.5</v>
      </c>
      <c r="W31" s="76">
        <v>7.8</v>
      </c>
      <c r="X31" s="76">
        <v>7.6</v>
      </c>
      <c r="Y31" s="76">
        <f>7.8</f>
        <v>7.8</v>
      </c>
      <c r="Z31" s="76">
        <v>7.6</v>
      </c>
      <c r="AA31" s="76">
        <v>7.6</v>
      </c>
      <c r="AB31" s="76">
        <v>6.9</v>
      </c>
      <c r="AC31" s="76">
        <v>6.9</v>
      </c>
      <c r="AD31" s="76">
        <v>6.8</v>
      </c>
      <c r="AE31" s="76">
        <v>7.6</v>
      </c>
      <c r="AF31" s="76">
        <f>7.8</f>
        <v>7.8</v>
      </c>
      <c r="AG31" s="82">
        <f t="shared" si="0"/>
        <v>241.8</v>
      </c>
      <c r="AH31" s="48"/>
      <c r="AI31" s="48"/>
    </row>
    <row r="32" spans="1:35" s="44" customFormat="1" ht="18.75" customHeight="1" x14ac:dyDescent="0.35">
      <c r="A32" s="60" t="s">
        <v>179</v>
      </c>
      <c r="B32" s="106">
        <v>2</v>
      </c>
      <c r="C32" s="88">
        <v>1.9</v>
      </c>
      <c r="D32" s="88">
        <v>1.5</v>
      </c>
      <c r="E32" s="88">
        <v>1.2</v>
      </c>
      <c r="F32" s="106">
        <v>2</v>
      </c>
      <c r="G32" s="88">
        <v>1.9</v>
      </c>
      <c r="H32" s="88">
        <v>0.1</v>
      </c>
      <c r="I32" s="106">
        <v>1</v>
      </c>
      <c r="J32" s="88">
        <v>0.8</v>
      </c>
      <c r="K32" s="88">
        <v>0.1</v>
      </c>
      <c r="L32" s="88">
        <v>0.1</v>
      </c>
      <c r="M32" s="106">
        <v>1</v>
      </c>
      <c r="N32" s="88">
        <v>0.1</v>
      </c>
      <c r="O32" s="88">
        <v>0.1</v>
      </c>
      <c r="P32" s="106">
        <v>1</v>
      </c>
      <c r="Q32" s="106">
        <v>1</v>
      </c>
      <c r="R32" s="106">
        <v>1</v>
      </c>
      <c r="S32" s="106">
        <v>1</v>
      </c>
      <c r="T32" s="88">
        <v>0.1</v>
      </c>
      <c r="U32" s="106">
        <v>2</v>
      </c>
      <c r="V32" s="106">
        <v>1</v>
      </c>
      <c r="W32" s="106">
        <v>1</v>
      </c>
      <c r="X32" s="106">
        <v>1</v>
      </c>
      <c r="Y32" s="106">
        <v>1</v>
      </c>
      <c r="Z32" s="88">
        <v>1.9</v>
      </c>
      <c r="AA32" s="88">
        <v>0.1</v>
      </c>
      <c r="AB32" s="115">
        <v>0.1</v>
      </c>
      <c r="AC32" s="106">
        <v>1</v>
      </c>
      <c r="AD32" s="106">
        <v>1</v>
      </c>
      <c r="AE32" s="106">
        <v>1</v>
      </c>
      <c r="AF32" s="106">
        <v>1</v>
      </c>
      <c r="AG32" s="82">
        <f t="shared" si="0"/>
        <v>30.000000000000004</v>
      </c>
      <c r="AH32" s="48"/>
      <c r="AI32" s="48"/>
    </row>
    <row r="33" spans="1:35" s="44" customFormat="1" ht="18.75" customHeight="1" x14ac:dyDescent="0.35">
      <c r="A33" s="59" t="s">
        <v>155</v>
      </c>
      <c r="B33" s="87">
        <f>SUM(B3:B32)</f>
        <v>80.700000000000017</v>
      </c>
      <c r="C33" s="87">
        <f t="shared" ref="C33:AF33" si="1">SUM(C3:C32)</f>
        <v>100.30000000000003</v>
      </c>
      <c r="D33" s="87">
        <f t="shared" si="1"/>
        <v>95.800000000000011</v>
      </c>
      <c r="E33" s="87">
        <f t="shared" si="1"/>
        <v>99.3</v>
      </c>
      <c r="F33" s="87">
        <f t="shared" si="1"/>
        <v>103.70000000000002</v>
      </c>
      <c r="G33" s="87">
        <f t="shared" si="1"/>
        <v>98.7</v>
      </c>
      <c r="H33" s="87">
        <f t="shared" si="1"/>
        <v>95.4</v>
      </c>
      <c r="I33" s="87">
        <f t="shared" si="1"/>
        <v>83.600000000000009</v>
      </c>
      <c r="J33" s="87">
        <f t="shared" si="1"/>
        <v>99.5</v>
      </c>
      <c r="K33" s="87">
        <f t="shared" si="1"/>
        <v>97.2</v>
      </c>
      <c r="L33" s="87">
        <f t="shared" si="1"/>
        <v>88.5</v>
      </c>
      <c r="M33" s="87">
        <f t="shared" si="1"/>
        <v>103.10000000000001</v>
      </c>
      <c r="N33" s="87">
        <f t="shared" si="1"/>
        <v>99.300000000000011</v>
      </c>
      <c r="O33" s="87">
        <f t="shared" si="1"/>
        <v>88.59999999999998</v>
      </c>
      <c r="P33" s="87">
        <f t="shared" si="1"/>
        <v>73.399999999999991</v>
      </c>
      <c r="Q33" s="87">
        <f t="shared" si="1"/>
        <v>92.5</v>
      </c>
      <c r="R33" s="87">
        <f t="shared" si="1"/>
        <v>106.09999999999998</v>
      </c>
      <c r="S33" s="87">
        <f t="shared" si="1"/>
        <v>102.6</v>
      </c>
      <c r="T33" s="87">
        <f t="shared" si="1"/>
        <v>108</v>
      </c>
      <c r="U33" s="87">
        <f t="shared" si="1"/>
        <v>112.39999999999999</v>
      </c>
      <c r="V33" s="87">
        <f t="shared" si="1"/>
        <v>120.3</v>
      </c>
      <c r="W33" s="87">
        <f t="shared" si="1"/>
        <v>89.8</v>
      </c>
      <c r="X33" s="87">
        <f t="shared" si="1"/>
        <v>98</v>
      </c>
      <c r="Y33" s="87">
        <f t="shared" si="1"/>
        <v>101.10000000000001</v>
      </c>
      <c r="Z33" s="87">
        <f t="shared" si="1"/>
        <v>104</v>
      </c>
      <c r="AA33" s="87">
        <f t="shared" si="1"/>
        <v>104.80000000000001</v>
      </c>
      <c r="AB33" s="87">
        <f t="shared" si="1"/>
        <v>91.499999999999986</v>
      </c>
      <c r="AC33" s="87">
        <f t="shared" si="1"/>
        <v>105.1</v>
      </c>
      <c r="AD33" s="87">
        <f t="shared" si="1"/>
        <v>85.1</v>
      </c>
      <c r="AE33" s="87">
        <f t="shared" si="1"/>
        <v>92</v>
      </c>
      <c r="AF33" s="87">
        <f t="shared" si="1"/>
        <v>92</v>
      </c>
      <c r="AG33" s="83">
        <f>SUM(B33:AF33)</f>
        <v>3012.4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3012.4</v>
      </c>
      <c r="AH34" s="48"/>
      <c r="AI34" s="48"/>
    </row>
  </sheetData>
  <mergeCells count="1">
    <mergeCell ref="A1:AG1"/>
  </mergeCells>
  <conditionalFormatting sqref="AG33">
    <cfRule type="cellIs" dxfId="37" priority="2" operator="equal">
      <formula>$AG$34</formula>
    </cfRule>
  </conditionalFormatting>
  <conditionalFormatting sqref="AG34">
    <cfRule type="cellIs" dxfId="36" priority="1" operator="equal">
      <formula>$AG$33</formula>
    </cfRule>
  </conditionalFormatting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48" customWidth="1"/>
    <col min="2" max="32" width="5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85">
        <v>2.1</v>
      </c>
      <c r="C3" s="85">
        <v>1.9</v>
      </c>
      <c r="D3" s="85">
        <v>2.7</v>
      </c>
      <c r="E3" s="85">
        <v>3.3</v>
      </c>
      <c r="F3" s="85"/>
      <c r="G3" s="85">
        <v>1.9</v>
      </c>
      <c r="H3" s="85">
        <v>3.7</v>
      </c>
      <c r="I3" s="86">
        <v>3</v>
      </c>
      <c r="J3" s="85"/>
      <c r="K3" s="85"/>
      <c r="L3" s="86">
        <v>3.7</v>
      </c>
      <c r="M3" s="85"/>
      <c r="N3" s="86">
        <v>3.8</v>
      </c>
      <c r="O3" s="85">
        <v>4</v>
      </c>
      <c r="P3" s="86">
        <v>3.8</v>
      </c>
      <c r="Q3" s="85">
        <v>3.7</v>
      </c>
      <c r="R3" s="85">
        <v>2.9</v>
      </c>
      <c r="S3" s="86">
        <v>3.5</v>
      </c>
      <c r="T3" s="86"/>
      <c r="U3" s="86">
        <v>3.4</v>
      </c>
      <c r="V3" s="86">
        <v>2.9</v>
      </c>
      <c r="W3" s="85">
        <v>2.7</v>
      </c>
      <c r="X3" s="85">
        <v>3.1</v>
      </c>
      <c r="Y3" s="85">
        <v>2.9</v>
      </c>
      <c r="Z3" s="85">
        <v>2.2999999999999998</v>
      </c>
      <c r="AA3" s="85"/>
      <c r="AB3" s="85">
        <v>3.7</v>
      </c>
      <c r="AC3" s="85">
        <v>4.0999999999999996</v>
      </c>
      <c r="AD3" s="85">
        <v>3.8</v>
      </c>
      <c r="AE3" s="85">
        <v>2.1</v>
      </c>
      <c r="AF3" s="85"/>
      <c r="AG3" s="82">
        <f t="shared" ref="AG3:AG32" si="0">SUM(B3:AF3)</f>
        <v>74.999999999999986</v>
      </c>
      <c r="AH3" s="47"/>
      <c r="AI3" s="48"/>
    </row>
    <row r="4" spans="1:35" s="44" customFormat="1" ht="35.25" customHeight="1" x14ac:dyDescent="0.35">
      <c r="A4" s="60" t="s">
        <v>193</v>
      </c>
      <c r="B4" s="87">
        <v>3.1</v>
      </c>
      <c r="C4" s="87">
        <v>2.7</v>
      </c>
      <c r="D4" s="87">
        <v>3.3</v>
      </c>
      <c r="E4" s="87">
        <v>2.9</v>
      </c>
      <c r="F4" s="87">
        <v>2.2999999999999998</v>
      </c>
      <c r="G4" s="87">
        <v>2.4</v>
      </c>
      <c r="H4" s="87">
        <v>3.4</v>
      </c>
      <c r="I4" s="87">
        <v>2.9</v>
      </c>
      <c r="J4" s="87"/>
      <c r="K4" s="87"/>
      <c r="L4" s="87">
        <v>3.7</v>
      </c>
      <c r="M4" s="87">
        <v>3.5</v>
      </c>
      <c r="N4" s="87">
        <v>4.9000000000000004</v>
      </c>
      <c r="O4" s="87">
        <v>4.0999999999999996</v>
      </c>
      <c r="P4" s="87">
        <v>3.7</v>
      </c>
      <c r="Q4" s="87">
        <v>2.7</v>
      </c>
      <c r="R4" s="87">
        <v>3.8</v>
      </c>
      <c r="S4" s="87">
        <v>2.9</v>
      </c>
      <c r="T4" s="87">
        <v>3.1</v>
      </c>
      <c r="U4" s="87">
        <v>3.7</v>
      </c>
      <c r="V4" s="87">
        <v>3</v>
      </c>
      <c r="W4" s="87">
        <v>2.9</v>
      </c>
      <c r="X4" s="87">
        <v>3.8</v>
      </c>
      <c r="Y4" s="87">
        <v>4.0999999999999996</v>
      </c>
      <c r="Z4" s="87">
        <v>3.9</v>
      </c>
      <c r="AA4" s="87">
        <v>4</v>
      </c>
      <c r="AB4" s="87">
        <v>3.7</v>
      </c>
      <c r="AC4" s="87">
        <v>3.2</v>
      </c>
      <c r="AD4" s="87">
        <v>3.9</v>
      </c>
      <c r="AE4" s="87">
        <v>3.7</v>
      </c>
      <c r="AF4" s="87"/>
      <c r="AG4" s="82">
        <f t="shared" si="0"/>
        <v>95.300000000000011</v>
      </c>
      <c r="AH4" s="47"/>
      <c r="AI4" s="48"/>
    </row>
    <row r="5" spans="1:35" s="44" customFormat="1" ht="18.75" customHeight="1" x14ac:dyDescent="0.35">
      <c r="A5" s="60" t="s">
        <v>83</v>
      </c>
      <c r="B5" s="87">
        <v>2.5</v>
      </c>
      <c r="C5" s="87">
        <v>3.4</v>
      </c>
      <c r="D5" s="87">
        <v>4.5</v>
      </c>
      <c r="E5" s="87">
        <v>4.8</v>
      </c>
      <c r="F5" s="87">
        <v>4.3</v>
      </c>
      <c r="G5" s="87">
        <v>5</v>
      </c>
      <c r="H5" s="87">
        <v>4.7</v>
      </c>
      <c r="I5" s="87">
        <v>3.2</v>
      </c>
      <c r="J5" s="87">
        <v>2.5</v>
      </c>
      <c r="K5" s="87">
        <v>3.8</v>
      </c>
      <c r="L5" s="87">
        <v>4</v>
      </c>
      <c r="M5" s="87">
        <v>3.9</v>
      </c>
      <c r="N5" s="87">
        <v>3.9</v>
      </c>
      <c r="O5" s="87"/>
      <c r="P5" s="87">
        <v>2.6</v>
      </c>
      <c r="Q5" s="87">
        <v>1.7</v>
      </c>
      <c r="R5" s="87">
        <v>2.4</v>
      </c>
      <c r="S5" s="87">
        <v>3.6</v>
      </c>
      <c r="T5" s="87">
        <v>3.6</v>
      </c>
      <c r="U5" s="87">
        <v>2.8</v>
      </c>
      <c r="V5" s="87">
        <v>3.9</v>
      </c>
      <c r="W5" s="87">
        <v>4.5999999999999996</v>
      </c>
      <c r="X5" s="87">
        <v>4.5</v>
      </c>
      <c r="Y5" s="87">
        <v>5.2</v>
      </c>
      <c r="Z5" s="87">
        <v>3</v>
      </c>
      <c r="AA5" s="87">
        <v>2</v>
      </c>
      <c r="AB5" s="87">
        <v>3</v>
      </c>
      <c r="AC5" s="87">
        <v>2.9</v>
      </c>
      <c r="AD5" s="87">
        <v>2.8</v>
      </c>
      <c r="AE5" s="87">
        <v>3.6</v>
      </c>
      <c r="AF5" s="87"/>
      <c r="AG5" s="82">
        <f t="shared" si="0"/>
        <v>102.69999999999999</v>
      </c>
      <c r="AH5" s="48"/>
      <c r="AI5" s="48"/>
    </row>
    <row r="6" spans="1:35" s="44" customFormat="1" ht="18.75" customHeight="1" x14ac:dyDescent="0.35">
      <c r="A6" s="60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2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87">
        <v>3.9</v>
      </c>
      <c r="C7" s="87">
        <v>4</v>
      </c>
      <c r="D7" s="87">
        <v>3.5</v>
      </c>
      <c r="E7" s="87">
        <v>3.8</v>
      </c>
      <c r="F7" s="87">
        <v>3.9</v>
      </c>
      <c r="G7" s="87">
        <v>3.5</v>
      </c>
      <c r="H7" s="87">
        <v>3.8</v>
      </c>
      <c r="I7" s="87">
        <v>4</v>
      </c>
      <c r="J7" s="87">
        <v>4</v>
      </c>
      <c r="K7" s="87">
        <v>3.8</v>
      </c>
      <c r="L7" s="87">
        <v>4</v>
      </c>
      <c r="M7" s="87">
        <v>3.2</v>
      </c>
      <c r="N7" s="87">
        <v>4</v>
      </c>
      <c r="O7" s="87">
        <v>3.5</v>
      </c>
      <c r="P7" s="87">
        <v>3</v>
      </c>
      <c r="Q7" s="87">
        <v>4</v>
      </c>
      <c r="R7" s="87">
        <v>3.5</v>
      </c>
      <c r="S7" s="87">
        <v>3.5</v>
      </c>
      <c r="T7" s="87">
        <v>3.8</v>
      </c>
      <c r="U7" s="87">
        <v>3.6</v>
      </c>
      <c r="V7" s="87">
        <v>3.8</v>
      </c>
      <c r="W7" s="87">
        <v>2.8</v>
      </c>
      <c r="X7" s="87">
        <v>3</v>
      </c>
      <c r="Y7" s="87"/>
      <c r="Z7" s="87">
        <v>3.5</v>
      </c>
      <c r="AA7" s="87">
        <v>3.5</v>
      </c>
      <c r="AB7" s="87">
        <v>3</v>
      </c>
      <c r="AC7" s="87">
        <v>3.2</v>
      </c>
      <c r="AD7" s="87">
        <v>2.8</v>
      </c>
      <c r="AE7" s="87">
        <v>2.8</v>
      </c>
      <c r="AF7" s="87"/>
      <c r="AG7" s="82">
        <f t="shared" si="0"/>
        <v>102.69999999999999</v>
      </c>
      <c r="AH7" s="48"/>
      <c r="AI7" s="48"/>
    </row>
    <row r="8" spans="1:35" s="44" customFormat="1" ht="18.75" customHeight="1" x14ac:dyDescent="0.35">
      <c r="A8" s="60" t="s">
        <v>65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82">
        <f t="shared" si="0"/>
        <v>0</v>
      </c>
      <c r="AH8" s="48"/>
      <c r="AI8" s="48"/>
    </row>
    <row r="9" spans="1:35" s="44" customFormat="1" ht="18.75" customHeight="1" x14ac:dyDescent="0.35">
      <c r="A9" s="116" t="s">
        <v>66</v>
      </c>
      <c r="B9" s="87">
        <v>4.9000000000000004</v>
      </c>
      <c r="C9" s="87">
        <v>5.7</v>
      </c>
      <c r="D9" s="87">
        <v>4.3</v>
      </c>
      <c r="E9" s="87">
        <v>4.7</v>
      </c>
      <c r="F9" s="87">
        <v>4.0999999999999996</v>
      </c>
      <c r="G9" s="87">
        <v>5.0999999999999996</v>
      </c>
      <c r="H9" s="87">
        <v>4.3</v>
      </c>
      <c r="I9" s="87">
        <v>3.9</v>
      </c>
      <c r="J9" s="87">
        <v>4.9000000000000004</v>
      </c>
      <c r="K9" s="87">
        <v>6.1</v>
      </c>
      <c r="L9" s="87">
        <v>7.4</v>
      </c>
      <c r="M9" s="87">
        <v>4.7</v>
      </c>
      <c r="N9" s="87">
        <v>5.2</v>
      </c>
      <c r="O9" s="87">
        <v>4.2</v>
      </c>
      <c r="P9" s="87">
        <v>4.9000000000000004</v>
      </c>
      <c r="Q9" s="87">
        <v>4.8</v>
      </c>
      <c r="R9" s="87">
        <v>4.3</v>
      </c>
      <c r="S9" s="87">
        <v>4.7</v>
      </c>
      <c r="T9" s="87">
        <v>4.0999999999999996</v>
      </c>
      <c r="U9" s="87">
        <v>5.0999999999999996</v>
      </c>
      <c r="V9" s="87">
        <v>5.0999999999999996</v>
      </c>
      <c r="W9" s="87">
        <v>4</v>
      </c>
      <c r="X9" s="87">
        <v>3.8</v>
      </c>
      <c r="Y9" s="87">
        <v>4.5</v>
      </c>
      <c r="Z9" s="87">
        <v>4.0999999999999996</v>
      </c>
      <c r="AA9" s="87">
        <v>3.9</v>
      </c>
      <c r="AB9" s="87">
        <v>5.7</v>
      </c>
      <c r="AC9" s="87">
        <v>3.9</v>
      </c>
      <c r="AD9" s="87">
        <v>5.6</v>
      </c>
      <c r="AE9" s="87">
        <v>7.1</v>
      </c>
      <c r="AF9" s="70"/>
      <c r="AG9" s="82">
        <f t="shared" si="0"/>
        <v>145.09999999999997</v>
      </c>
      <c r="AH9" s="48"/>
      <c r="AI9" s="48"/>
    </row>
    <row r="10" spans="1:35" s="44" customFormat="1" ht="18.75" customHeight="1" x14ac:dyDescent="0.35">
      <c r="A10" s="60" t="s">
        <v>67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2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2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87">
        <v>4</v>
      </c>
      <c r="C12" s="87">
        <v>4</v>
      </c>
      <c r="D12" s="87">
        <v>3</v>
      </c>
      <c r="E12" s="87">
        <v>5</v>
      </c>
      <c r="F12" s="87">
        <v>3</v>
      </c>
      <c r="G12" s="87">
        <v>4</v>
      </c>
      <c r="H12" s="87">
        <v>4</v>
      </c>
      <c r="I12" s="87">
        <v>3</v>
      </c>
      <c r="J12" s="87">
        <v>4</v>
      </c>
      <c r="K12" s="87">
        <v>3</v>
      </c>
      <c r="L12" s="87">
        <v>4</v>
      </c>
      <c r="M12" s="87">
        <v>3</v>
      </c>
      <c r="N12" s="87">
        <v>4</v>
      </c>
      <c r="O12" s="87">
        <v>3</v>
      </c>
      <c r="P12" s="87">
        <v>4</v>
      </c>
      <c r="Q12" s="87">
        <v>4</v>
      </c>
      <c r="R12" s="87">
        <v>3</v>
      </c>
      <c r="S12" s="87">
        <v>3</v>
      </c>
      <c r="T12" s="87">
        <v>5</v>
      </c>
      <c r="U12" s="87">
        <v>4</v>
      </c>
      <c r="V12" s="87">
        <v>4</v>
      </c>
      <c r="W12" s="87">
        <v>4</v>
      </c>
      <c r="X12" s="87">
        <v>3</v>
      </c>
      <c r="Y12" s="87">
        <v>3</v>
      </c>
      <c r="Z12" s="87">
        <v>3</v>
      </c>
      <c r="AA12" s="87">
        <v>4</v>
      </c>
      <c r="AB12" s="87">
        <v>4</v>
      </c>
      <c r="AC12" s="87">
        <v>3</v>
      </c>
      <c r="AD12" s="87">
        <v>3</v>
      </c>
      <c r="AE12" s="87">
        <v>4</v>
      </c>
      <c r="AF12" s="87"/>
      <c r="AG12" s="82">
        <f t="shared" si="0"/>
        <v>109</v>
      </c>
    </row>
    <row r="13" spans="1:35" s="44" customFormat="1" ht="21" x14ac:dyDescent="0.35">
      <c r="A13" s="60" t="s">
        <v>69</v>
      </c>
      <c r="B13" s="66">
        <v>6</v>
      </c>
      <c r="C13" s="66">
        <v>4.7</v>
      </c>
      <c r="D13" s="66">
        <v>3.5</v>
      </c>
      <c r="E13" s="66">
        <v>3</v>
      </c>
      <c r="F13" s="66">
        <v>4.0999999999999996</v>
      </c>
      <c r="G13" s="66">
        <v>5.0999999999999996</v>
      </c>
      <c r="H13" s="66">
        <v>3.2</v>
      </c>
      <c r="I13" s="66">
        <v>3.5</v>
      </c>
      <c r="J13" s="66">
        <v>3.2</v>
      </c>
      <c r="K13" s="66">
        <v>4.5</v>
      </c>
      <c r="L13" s="66">
        <v>5</v>
      </c>
      <c r="M13" s="66"/>
      <c r="N13" s="66">
        <v>4</v>
      </c>
      <c r="O13" s="66">
        <v>5.2</v>
      </c>
      <c r="P13" s="66">
        <v>3</v>
      </c>
      <c r="Q13" s="66">
        <v>2.5</v>
      </c>
      <c r="R13" s="66">
        <v>4.7</v>
      </c>
      <c r="S13" s="66">
        <v>5</v>
      </c>
      <c r="T13" s="66"/>
      <c r="U13" s="66">
        <v>3</v>
      </c>
      <c r="V13" s="66">
        <v>2.8</v>
      </c>
      <c r="W13" s="66">
        <v>3.5</v>
      </c>
      <c r="X13" s="66">
        <v>4.0999999999999996</v>
      </c>
      <c r="Y13" s="66">
        <v>3.2</v>
      </c>
      <c r="Z13" s="66">
        <v>3.7</v>
      </c>
      <c r="AA13" s="66"/>
      <c r="AB13" s="66">
        <v>4</v>
      </c>
      <c r="AC13" s="66">
        <v>6</v>
      </c>
      <c r="AD13" s="66">
        <v>5.8</v>
      </c>
      <c r="AE13" s="66">
        <v>4.3</v>
      </c>
      <c r="AF13" s="66"/>
      <c r="AG13" s="82">
        <f t="shared" si="0"/>
        <v>110.6</v>
      </c>
      <c r="AH13" s="48"/>
      <c r="AI13" s="48"/>
    </row>
    <row r="14" spans="1:35" s="44" customFormat="1" ht="18.75" customHeight="1" x14ac:dyDescent="0.35">
      <c r="A14" s="60" t="s">
        <v>71</v>
      </c>
      <c r="B14" s="87">
        <v>8.6</v>
      </c>
      <c r="C14" s="87">
        <v>5.7</v>
      </c>
      <c r="D14" s="87">
        <v>5.4</v>
      </c>
      <c r="E14" s="87">
        <v>5.8</v>
      </c>
      <c r="F14" s="87">
        <v>3.6</v>
      </c>
      <c r="G14" s="87">
        <v>8.6999999999999993</v>
      </c>
      <c r="H14" s="87">
        <v>7.5</v>
      </c>
      <c r="I14" s="87">
        <v>5.4</v>
      </c>
      <c r="J14" s="87">
        <v>3.8</v>
      </c>
      <c r="K14" s="87">
        <v>4.5999999999999996</v>
      </c>
      <c r="L14" s="87">
        <v>8.6999999999999993</v>
      </c>
      <c r="M14" s="87">
        <v>9.4</v>
      </c>
      <c r="N14" s="87">
        <v>7.5</v>
      </c>
      <c r="O14" s="87">
        <v>7.9</v>
      </c>
      <c r="P14" s="87">
        <v>8.6</v>
      </c>
      <c r="Q14" s="87">
        <v>6.4</v>
      </c>
      <c r="R14" s="87">
        <v>8.1</v>
      </c>
      <c r="S14" s="87">
        <v>4.9000000000000004</v>
      </c>
      <c r="T14" s="87">
        <v>5.0999999999999996</v>
      </c>
      <c r="U14" s="87">
        <v>8.8000000000000007</v>
      </c>
      <c r="V14" s="87">
        <v>7.9</v>
      </c>
      <c r="W14" s="87">
        <v>7.7</v>
      </c>
      <c r="X14" s="87">
        <v>8.9</v>
      </c>
      <c r="Y14" s="88">
        <v>6.4</v>
      </c>
      <c r="Z14" s="88">
        <v>8.1999999999999993</v>
      </c>
      <c r="AA14" s="88">
        <v>6.2</v>
      </c>
      <c r="AB14" s="88">
        <v>4.2</v>
      </c>
      <c r="AC14" s="88">
        <v>8.4</v>
      </c>
      <c r="AD14" s="88">
        <v>10.6</v>
      </c>
      <c r="AE14" s="88">
        <v>11.3</v>
      </c>
      <c r="AF14" s="88"/>
      <c r="AG14" s="82">
        <f t="shared" si="0"/>
        <v>214.29999999999998</v>
      </c>
      <c r="AH14" s="48"/>
      <c r="AI14" s="48"/>
    </row>
    <row r="15" spans="1:35" s="44" customFormat="1" ht="18.75" customHeight="1" x14ac:dyDescent="0.35">
      <c r="A15" s="60" t="s">
        <v>72</v>
      </c>
      <c r="B15" s="76">
        <v>2.9</v>
      </c>
      <c r="C15" s="76">
        <v>2.4</v>
      </c>
      <c r="D15" s="76">
        <v>2.5</v>
      </c>
      <c r="E15" s="76">
        <v>3</v>
      </c>
      <c r="F15" s="76">
        <v>2.5</v>
      </c>
      <c r="G15" s="76">
        <v>2.5</v>
      </c>
      <c r="H15" s="76">
        <v>3.1</v>
      </c>
      <c r="I15" s="76">
        <v>2.5</v>
      </c>
      <c r="J15" s="76">
        <v>2.9</v>
      </c>
      <c r="K15" s="76"/>
      <c r="L15" s="76">
        <v>3.1</v>
      </c>
      <c r="M15" s="76">
        <v>2.5</v>
      </c>
      <c r="N15" s="76">
        <v>2.4</v>
      </c>
      <c r="O15" s="76">
        <v>2.1</v>
      </c>
      <c r="P15" s="76">
        <v>2</v>
      </c>
      <c r="Q15" s="76">
        <v>2.1</v>
      </c>
      <c r="R15" s="76">
        <v>2.5</v>
      </c>
      <c r="S15" s="76"/>
      <c r="T15" s="76">
        <v>4.8</v>
      </c>
      <c r="U15" s="76">
        <v>1.3</v>
      </c>
      <c r="V15" s="76">
        <v>1</v>
      </c>
      <c r="W15" s="76">
        <v>1.5</v>
      </c>
      <c r="X15" s="76">
        <v>2.9</v>
      </c>
      <c r="Y15" s="76">
        <v>5.2</v>
      </c>
      <c r="Z15" s="76">
        <v>3</v>
      </c>
      <c r="AA15" s="76">
        <v>2.8</v>
      </c>
      <c r="AB15" s="76">
        <v>3</v>
      </c>
      <c r="AC15" s="76">
        <v>3.1</v>
      </c>
      <c r="AD15" s="76">
        <v>3.1</v>
      </c>
      <c r="AE15" s="76">
        <v>3</v>
      </c>
      <c r="AF15" s="87"/>
      <c r="AG15" s="82">
        <f t="shared" si="0"/>
        <v>75.699999999999989</v>
      </c>
      <c r="AH15" s="48"/>
      <c r="AI15" s="48"/>
    </row>
    <row r="16" spans="1:35" s="44" customFormat="1" ht="18.75" customHeight="1" x14ac:dyDescent="0.35">
      <c r="A16" s="60" t="s">
        <v>85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2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87">
        <v>2.5</v>
      </c>
      <c r="C17" s="87">
        <v>3</v>
      </c>
      <c r="D17" s="87">
        <v>3.5</v>
      </c>
      <c r="E17" s="87">
        <v>4</v>
      </c>
      <c r="F17" s="87">
        <v>2.7</v>
      </c>
      <c r="G17" s="87">
        <v>2.9</v>
      </c>
      <c r="H17" s="87">
        <v>4.5999999999999996</v>
      </c>
      <c r="I17" s="87">
        <v>3.4</v>
      </c>
      <c r="J17" s="87">
        <v>2.2999999999999998</v>
      </c>
      <c r="K17" s="87">
        <v>2.4</v>
      </c>
      <c r="L17" s="87">
        <v>2.6</v>
      </c>
      <c r="M17" s="87">
        <v>2</v>
      </c>
      <c r="N17" s="87">
        <v>3</v>
      </c>
      <c r="O17" s="87">
        <v>2.9</v>
      </c>
      <c r="P17" s="87">
        <v>4.5999999999999996</v>
      </c>
      <c r="Q17" s="87">
        <v>3.4</v>
      </c>
      <c r="R17" s="87">
        <v>4</v>
      </c>
      <c r="S17" s="87">
        <v>2.4</v>
      </c>
      <c r="T17" s="87">
        <v>3.5</v>
      </c>
      <c r="U17" s="87">
        <v>3.2</v>
      </c>
      <c r="V17" s="87">
        <v>3.6</v>
      </c>
      <c r="W17" s="87">
        <v>3.9</v>
      </c>
      <c r="X17" s="87">
        <v>4</v>
      </c>
      <c r="Y17" s="87">
        <v>5.2</v>
      </c>
      <c r="Z17" s="87">
        <v>4.9000000000000004</v>
      </c>
      <c r="AA17" s="87">
        <v>2.5</v>
      </c>
      <c r="AB17" s="87">
        <v>2.63</v>
      </c>
      <c r="AC17" s="87">
        <v>2.9</v>
      </c>
      <c r="AD17" s="87">
        <v>4.5999999999999996</v>
      </c>
      <c r="AE17" s="87">
        <v>3</v>
      </c>
      <c r="AF17" s="87"/>
      <c r="AG17" s="82">
        <f t="shared" si="0"/>
        <v>100.13</v>
      </c>
      <c r="AH17" s="48"/>
      <c r="AI17" s="48"/>
    </row>
    <row r="18" spans="1:35" s="44" customFormat="1" ht="18.75" customHeight="1" x14ac:dyDescent="0.35">
      <c r="A18" s="60" t="s">
        <v>73</v>
      </c>
      <c r="B18" s="87">
        <v>2.2000000000000002</v>
      </c>
      <c r="C18" s="87">
        <v>5.2</v>
      </c>
      <c r="D18" s="87">
        <v>1.3</v>
      </c>
      <c r="E18" s="87">
        <v>1.6</v>
      </c>
      <c r="F18" s="87">
        <v>4</v>
      </c>
      <c r="G18" s="87">
        <v>1.5</v>
      </c>
      <c r="H18" s="87">
        <v>1.9</v>
      </c>
      <c r="I18" s="87">
        <v>2</v>
      </c>
      <c r="J18" s="87">
        <v>1</v>
      </c>
      <c r="K18" s="87">
        <v>1.6</v>
      </c>
      <c r="L18" s="87">
        <v>1.4</v>
      </c>
      <c r="M18" s="87">
        <v>2</v>
      </c>
      <c r="N18" s="87">
        <v>1.9</v>
      </c>
      <c r="O18" s="87">
        <v>0.9</v>
      </c>
      <c r="P18" s="87">
        <v>3.2</v>
      </c>
      <c r="Q18" s="87">
        <v>1.4</v>
      </c>
      <c r="R18" s="87">
        <v>1.1000000000000001</v>
      </c>
      <c r="S18" s="87">
        <v>1</v>
      </c>
      <c r="T18" s="87">
        <v>1.1000000000000001</v>
      </c>
      <c r="U18" s="87">
        <v>1.5</v>
      </c>
      <c r="V18" s="87">
        <v>2</v>
      </c>
      <c r="W18" s="87">
        <v>1.3</v>
      </c>
      <c r="X18" s="87">
        <v>1.6</v>
      </c>
      <c r="Y18" s="87">
        <v>1</v>
      </c>
      <c r="Z18" s="87">
        <v>3</v>
      </c>
      <c r="AA18" s="87">
        <v>3.1</v>
      </c>
      <c r="AB18" s="87">
        <v>1.5</v>
      </c>
      <c r="AC18" s="87">
        <v>1.4</v>
      </c>
      <c r="AD18" s="87">
        <v>2</v>
      </c>
      <c r="AE18" s="87">
        <v>1</v>
      </c>
      <c r="AF18" s="87"/>
      <c r="AG18" s="82">
        <f t="shared" si="0"/>
        <v>55.699999999999996</v>
      </c>
      <c r="AH18" s="48"/>
      <c r="AI18" s="48"/>
    </row>
    <row r="19" spans="1:35" s="44" customFormat="1" ht="18.75" customHeight="1" x14ac:dyDescent="0.35">
      <c r="A19" s="60" t="s">
        <v>92</v>
      </c>
      <c r="B19" s="87">
        <v>2.5</v>
      </c>
      <c r="C19" s="87">
        <v>1.5</v>
      </c>
      <c r="D19" s="87">
        <v>2.4</v>
      </c>
      <c r="E19" s="87"/>
      <c r="F19" s="87"/>
      <c r="G19" s="87">
        <v>4.3</v>
      </c>
      <c r="H19" s="87">
        <v>1.2</v>
      </c>
      <c r="I19" s="87">
        <v>1.7</v>
      </c>
      <c r="J19" s="87">
        <v>2.1</v>
      </c>
      <c r="K19" s="87">
        <v>2.2999999999999998</v>
      </c>
      <c r="L19" s="87"/>
      <c r="M19" s="87"/>
      <c r="N19" s="87">
        <v>6</v>
      </c>
      <c r="O19" s="87">
        <v>2.4</v>
      </c>
      <c r="P19" s="87">
        <v>5</v>
      </c>
      <c r="Q19" s="87">
        <v>2.4</v>
      </c>
      <c r="R19" s="87">
        <v>2.1</v>
      </c>
      <c r="S19" s="87"/>
      <c r="T19" s="87"/>
      <c r="U19" s="87">
        <v>4.3</v>
      </c>
      <c r="V19" s="87">
        <v>1.6</v>
      </c>
      <c r="W19" s="87">
        <v>2</v>
      </c>
      <c r="X19" s="87">
        <v>2.5</v>
      </c>
      <c r="Y19" s="87">
        <v>1.3</v>
      </c>
      <c r="Z19" s="87"/>
      <c r="AA19" s="87"/>
      <c r="AB19" s="87">
        <v>2.4</v>
      </c>
      <c r="AC19" s="87">
        <v>4.3</v>
      </c>
      <c r="AD19" s="87">
        <v>1.3</v>
      </c>
      <c r="AE19" s="87">
        <v>2</v>
      </c>
      <c r="AF19" s="87"/>
      <c r="AG19" s="82">
        <f t="shared" si="0"/>
        <v>57.599999999999987</v>
      </c>
      <c r="AH19" s="48"/>
      <c r="AI19" s="48"/>
    </row>
    <row r="20" spans="1:35" s="44" customFormat="1" ht="18.75" customHeight="1" x14ac:dyDescent="0.35">
      <c r="A20" s="60" t="s">
        <v>89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2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2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87">
        <v>1.8</v>
      </c>
      <c r="C22" s="87">
        <v>2.2999999999999998</v>
      </c>
      <c r="D22" s="87">
        <v>2.9</v>
      </c>
      <c r="E22" s="87">
        <v>3</v>
      </c>
      <c r="F22" s="87"/>
      <c r="G22" s="87">
        <v>2.1</v>
      </c>
      <c r="H22" s="87">
        <v>2.6</v>
      </c>
      <c r="I22" s="87">
        <v>3.2</v>
      </c>
      <c r="J22" s="87"/>
      <c r="K22" s="87"/>
      <c r="L22" s="87">
        <v>1.5</v>
      </c>
      <c r="M22" s="87"/>
      <c r="N22" s="87">
        <v>2.2999999999999998</v>
      </c>
      <c r="O22" s="87">
        <v>2.9</v>
      </c>
      <c r="P22" s="87">
        <v>3.1</v>
      </c>
      <c r="Q22" s="87">
        <v>1.7</v>
      </c>
      <c r="R22" s="87">
        <v>3.9</v>
      </c>
      <c r="S22" s="87">
        <v>3.1</v>
      </c>
      <c r="T22" s="87"/>
      <c r="U22" s="87">
        <v>2</v>
      </c>
      <c r="V22" s="87">
        <v>2.5</v>
      </c>
      <c r="W22" s="87">
        <v>2.7</v>
      </c>
      <c r="X22" s="87">
        <v>2.2000000000000002</v>
      </c>
      <c r="Y22" s="87">
        <v>2.5</v>
      </c>
      <c r="Z22" s="87">
        <v>1.2</v>
      </c>
      <c r="AA22" s="87"/>
      <c r="AB22" s="87">
        <v>1.3</v>
      </c>
      <c r="AC22" s="87">
        <v>4.3</v>
      </c>
      <c r="AD22" s="87">
        <v>1.7</v>
      </c>
      <c r="AE22" s="87">
        <v>2.9</v>
      </c>
      <c r="AF22" s="87"/>
      <c r="AG22" s="82">
        <f t="shared" si="0"/>
        <v>59.7</v>
      </c>
      <c r="AH22" s="48"/>
      <c r="AI22" s="48"/>
    </row>
    <row r="23" spans="1:35" s="44" customFormat="1" ht="18.75" customHeight="1" x14ac:dyDescent="0.35">
      <c r="A23" s="60" t="s">
        <v>77</v>
      </c>
      <c r="B23" s="87">
        <v>2</v>
      </c>
      <c r="C23" s="87">
        <v>1.5</v>
      </c>
      <c r="D23" s="87">
        <v>2.1</v>
      </c>
      <c r="E23" s="87"/>
      <c r="F23" s="87"/>
      <c r="G23" s="87">
        <v>2</v>
      </c>
      <c r="H23" s="87">
        <v>1.4</v>
      </c>
      <c r="I23" s="87">
        <v>1.7</v>
      </c>
      <c r="J23" s="87">
        <v>2</v>
      </c>
      <c r="K23" s="87">
        <v>1.5</v>
      </c>
      <c r="L23" s="87"/>
      <c r="M23" s="87"/>
      <c r="N23" s="87">
        <v>1.8</v>
      </c>
      <c r="O23" s="87">
        <v>2.1</v>
      </c>
      <c r="P23" s="87">
        <v>2.4</v>
      </c>
      <c r="Q23" s="87">
        <v>2</v>
      </c>
      <c r="R23" s="87">
        <v>1</v>
      </c>
      <c r="S23" s="87"/>
      <c r="T23" s="87"/>
      <c r="U23" s="87">
        <v>2</v>
      </c>
      <c r="V23" s="87">
        <v>1.2</v>
      </c>
      <c r="W23" s="87">
        <v>1</v>
      </c>
      <c r="X23" s="87">
        <v>2.4</v>
      </c>
      <c r="Y23" s="87">
        <v>1.8</v>
      </c>
      <c r="Z23" s="87"/>
      <c r="AA23" s="87"/>
      <c r="AB23" s="87">
        <v>2.1</v>
      </c>
      <c r="AC23" s="87">
        <v>3</v>
      </c>
      <c r="AD23" s="87">
        <v>2</v>
      </c>
      <c r="AE23" s="87">
        <v>3.7</v>
      </c>
      <c r="AF23" s="87"/>
      <c r="AG23" s="82">
        <f t="shared" si="0"/>
        <v>42.7</v>
      </c>
      <c r="AH23" s="48"/>
      <c r="AI23" s="48"/>
    </row>
    <row r="24" spans="1:35" s="44" customFormat="1" ht="18.75" customHeight="1" x14ac:dyDescent="0.35">
      <c r="A24" s="60" t="s">
        <v>78</v>
      </c>
      <c r="B24" s="87">
        <v>4</v>
      </c>
      <c r="C24" s="87">
        <v>6</v>
      </c>
      <c r="D24" s="87">
        <v>5</v>
      </c>
      <c r="E24" s="87">
        <v>7</v>
      </c>
      <c r="F24" s="87">
        <v>5</v>
      </c>
      <c r="G24" s="87">
        <v>7</v>
      </c>
      <c r="H24" s="87">
        <v>7</v>
      </c>
      <c r="I24" s="87">
        <v>7</v>
      </c>
      <c r="J24" s="87">
        <v>7</v>
      </c>
      <c r="K24" s="87">
        <v>5</v>
      </c>
      <c r="L24" s="87">
        <v>7</v>
      </c>
      <c r="M24" s="87">
        <v>5</v>
      </c>
      <c r="N24" s="87">
        <v>6</v>
      </c>
      <c r="O24" s="87">
        <v>5</v>
      </c>
      <c r="P24" s="87">
        <v>6</v>
      </c>
      <c r="Q24" s="87">
        <v>6</v>
      </c>
      <c r="R24" s="87">
        <v>5</v>
      </c>
      <c r="S24" s="87">
        <v>6</v>
      </c>
      <c r="T24" s="87">
        <v>6</v>
      </c>
      <c r="U24" s="87">
        <v>5</v>
      </c>
      <c r="V24" s="87">
        <v>7</v>
      </c>
      <c r="W24" s="87">
        <v>7</v>
      </c>
      <c r="X24" s="87">
        <v>7</v>
      </c>
      <c r="Y24" s="87">
        <v>7</v>
      </c>
      <c r="Z24" s="87">
        <v>5</v>
      </c>
      <c r="AA24" s="87">
        <v>7</v>
      </c>
      <c r="AB24" s="87">
        <v>6</v>
      </c>
      <c r="AC24" s="87">
        <v>6</v>
      </c>
      <c r="AD24" s="87">
        <v>5</v>
      </c>
      <c r="AE24" s="87">
        <v>6</v>
      </c>
      <c r="AF24" s="87"/>
      <c r="AG24" s="82">
        <f t="shared" si="0"/>
        <v>180</v>
      </c>
      <c r="AH24" s="48"/>
      <c r="AI24" s="48"/>
    </row>
    <row r="25" spans="1:35" s="44" customFormat="1" ht="18.75" customHeight="1" x14ac:dyDescent="0.35">
      <c r="A25" s="116" t="s">
        <v>79</v>
      </c>
      <c r="B25" s="87">
        <v>3</v>
      </c>
      <c r="C25" s="87">
        <v>4.2</v>
      </c>
      <c r="D25" s="87">
        <v>5</v>
      </c>
      <c r="E25" s="87">
        <v>3.8</v>
      </c>
      <c r="F25" s="87">
        <v>5</v>
      </c>
      <c r="G25" s="87">
        <f>4+1</f>
        <v>5</v>
      </c>
      <c r="H25" s="87">
        <v>5</v>
      </c>
      <c r="I25" s="87">
        <v>7</v>
      </c>
      <c r="J25" s="87">
        <v>5</v>
      </c>
      <c r="K25" s="87">
        <v>6</v>
      </c>
      <c r="L25" s="87">
        <v>6</v>
      </c>
      <c r="M25" s="87">
        <v>6</v>
      </c>
      <c r="N25" s="87">
        <v>5</v>
      </c>
      <c r="O25" s="87">
        <v>4.3</v>
      </c>
      <c r="P25" s="87">
        <v>5</v>
      </c>
      <c r="Q25" s="87">
        <v>4.2</v>
      </c>
      <c r="R25" s="87">
        <v>6</v>
      </c>
      <c r="S25" s="87">
        <v>5</v>
      </c>
      <c r="T25" s="87">
        <v>6.2</v>
      </c>
      <c r="U25" s="87">
        <v>5</v>
      </c>
      <c r="V25" s="87">
        <v>4.2</v>
      </c>
      <c r="W25" s="87">
        <v>6</v>
      </c>
      <c r="X25" s="87">
        <v>3.4</v>
      </c>
      <c r="Y25" s="87">
        <v>6</v>
      </c>
      <c r="Z25" s="87">
        <v>6</v>
      </c>
      <c r="AA25" s="87">
        <v>4.2</v>
      </c>
      <c r="AB25" s="87">
        <v>5</v>
      </c>
      <c r="AC25" s="87">
        <v>5.0999999999999996</v>
      </c>
      <c r="AD25" s="87">
        <v>5</v>
      </c>
      <c r="AE25" s="87">
        <v>2.9</v>
      </c>
      <c r="AF25" s="70"/>
      <c r="AG25" s="82">
        <f t="shared" si="0"/>
        <v>149.5</v>
      </c>
      <c r="AH25" s="48"/>
      <c r="AI25" s="48"/>
    </row>
    <row r="26" spans="1:35" s="44" customFormat="1" ht="18.75" customHeight="1" x14ac:dyDescent="0.35">
      <c r="A26" s="116" t="s">
        <v>154</v>
      </c>
      <c r="B26" s="87">
        <v>2</v>
      </c>
      <c r="C26" s="87">
        <v>2</v>
      </c>
      <c r="D26" s="87">
        <v>1.8</v>
      </c>
      <c r="E26" s="87">
        <v>1.5</v>
      </c>
      <c r="F26" s="87">
        <v>1.6</v>
      </c>
      <c r="G26" s="87">
        <v>1.7</v>
      </c>
      <c r="H26" s="87">
        <v>1.9</v>
      </c>
      <c r="I26" s="87">
        <v>2.1</v>
      </c>
      <c r="J26" s="87">
        <v>2</v>
      </c>
      <c r="K26" s="87">
        <v>2.1</v>
      </c>
      <c r="L26" s="87">
        <v>3</v>
      </c>
      <c r="M26" s="87">
        <v>2</v>
      </c>
      <c r="N26" s="87">
        <v>2</v>
      </c>
      <c r="O26" s="87">
        <v>2.1</v>
      </c>
      <c r="P26" s="87">
        <v>1.4</v>
      </c>
      <c r="Q26" s="87">
        <v>2.2999999999999998</v>
      </c>
      <c r="R26" s="87">
        <v>2.1</v>
      </c>
      <c r="S26" s="87">
        <v>2.4</v>
      </c>
      <c r="T26" s="87">
        <v>2.2999999999999998</v>
      </c>
      <c r="U26" s="87">
        <v>1.7</v>
      </c>
      <c r="V26" s="87">
        <v>2.1</v>
      </c>
      <c r="W26" s="87">
        <v>3.1</v>
      </c>
      <c r="X26" s="87">
        <v>2</v>
      </c>
      <c r="Y26" s="87">
        <v>1.9</v>
      </c>
      <c r="Z26" s="87">
        <v>2</v>
      </c>
      <c r="AA26" s="87">
        <v>1.8</v>
      </c>
      <c r="AB26" s="87">
        <v>2</v>
      </c>
      <c r="AC26" s="87">
        <v>1.9</v>
      </c>
      <c r="AD26" s="87">
        <v>2.1</v>
      </c>
      <c r="AE26" s="87">
        <v>1.7</v>
      </c>
      <c r="AF26" s="76"/>
      <c r="AG26" s="82">
        <f t="shared" si="0"/>
        <v>60.6</v>
      </c>
      <c r="AH26" s="48"/>
      <c r="AI26" s="48"/>
    </row>
    <row r="27" spans="1:35" s="44" customFormat="1" ht="18.75" customHeight="1" x14ac:dyDescent="0.35">
      <c r="A27" s="116" t="s">
        <v>80</v>
      </c>
      <c r="B27" s="66">
        <v>6</v>
      </c>
      <c r="C27" s="66">
        <v>4.7</v>
      </c>
      <c r="D27" s="66">
        <v>3.5</v>
      </c>
      <c r="E27" s="66">
        <v>3</v>
      </c>
      <c r="F27" s="66">
        <v>4.0999999999999996</v>
      </c>
      <c r="G27" s="66">
        <v>5.0999999999999996</v>
      </c>
      <c r="H27" s="66">
        <v>3.2</v>
      </c>
      <c r="I27" s="66">
        <v>3.5</v>
      </c>
      <c r="J27" s="66">
        <v>3.2</v>
      </c>
      <c r="K27" s="66">
        <v>4.5</v>
      </c>
      <c r="L27" s="66">
        <v>5</v>
      </c>
      <c r="M27" s="66">
        <v>1.9</v>
      </c>
      <c r="N27" s="66">
        <v>4</v>
      </c>
      <c r="O27" s="66">
        <v>5.2</v>
      </c>
      <c r="P27" s="66">
        <v>3</v>
      </c>
      <c r="Q27" s="66">
        <v>2.5</v>
      </c>
      <c r="R27" s="66">
        <v>4.7</v>
      </c>
      <c r="S27" s="66">
        <v>5</v>
      </c>
      <c r="T27" s="66">
        <v>1.9</v>
      </c>
      <c r="U27" s="66">
        <v>3</v>
      </c>
      <c r="V27" s="66">
        <v>2.8</v>
      </c>
      <c r="W27" s="66">
        <v>3.5</v>
      </c>
      <c r="X27" s="66">
        <v>4.0999999999999996</v>
      </c>
      <c r="Y27" s="66">
        <v>3.2</v>
      </c>
      <c r="Z27" s="66">
        <v>3.7</v>
      </c>
      <c r="AA27" s="66">
        <v>2.1</v>
      </c>
      <c r="AB27" s="66">
        <v>4</v>
      </c>
      <c r="AC27" s="66">
        <v>6</v>
      </c>
      <c r="AD27" s="66">
        <v>5.8</v>
      </c>
      <c r="AE27" s="66">
        <v>4.3</v>
      </c>
      <c r="AF27" s="76"/>
      <c r="AG27" s="82">
        <f t="shared" si="0"/>
        <v>116.49999999999999</v>
      </c>
      <c r="AH27" s="48"/>
      <c r="AI27" s="48"/>
    </row>
    <row r="28" spans="1:35" s="44" customFormat="1" ht="18.75" customHeight="1" x14ac:dyDescent="0.35">
      <c r="A28" s="60" t="s">
        <v>76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2">
        <f t="shared" si="0"/>
        <v>0</v>
      </c>
      <c r="AH28" s="48"/>
      <c r="AI28" s="48"/>
    </row>
    <row r="29" spans="1:35" s="44" customFormat="1" ht="18.75" customHeight="1" x14ac:dyDescent="0.35">
      <c r="A29" s="116" t="s">
        <v>81</v>
      </c>
      <c r="B29" s="76">
        <f>3.9+2.3+1.9</f>
        <v>8.1</v>
      </c>
      <c r="C29" s="76">
        <f>2.6+1.8+2.3</f>
        <v>6.7</v>
      </c>
      <c r="D29" s="76">
        <f>3+2+1.9</f>
        <v>6.9</v>
      </c>
      <c r="E29" s="76">
        <f>3.2+2.4+1.9</f>
        <v>7.5</v>
      </c>
      <c r="F29" s="76">
        <f>2.8+2.4+2</f>
        <v>7.1999999999999993</v>
      </c>
      <c r="G29" s="76">
        <f>2.4+1.9+2.5</f>
        <v>6.8</v>
      </c>
      <c r="H29" s="76">
        <f>2.9+3.6+1.9</f>
        <v>8.4</v>
      </c>
      <c r="I29" s="76">
        <f>3.6+2.4+1.9</f>
        <v>7.9</v>
      </c>
      <c r="J29" s="76">
        <f>3.4+2.4+1.9</f>
        <v>7.6999999999999993</v>
      </c>
      <c r="K29" s="76">
        <f>2.7+2+1.7</f>
        <v>6.4</v>
      </c>
      <c r="L29" s="76">
        <f>3+1.4+2</f>
        <v>6.4</v>
      </c>
      <c r="M29" s="76">
        <f>3.6+2.7+1.9</f>
        <v>8.2000000000000011</v>
      </c>
      <c r="N29" s="76">
        <f>2+2.7+1.9</f>
        <v>6.6</v>
      </c>
      <c r="O29" s="76">
        <f>3.2+2.7+1</f>
        <v>6.9</v>
      </c>
      <c r="P29" s="76">
        <f>3.7+2.9+1.3</f>
        <v>7.8999999999999995</v>
      </c>
      <c r="Q29" s="76">
        <f>2.9+1.7+2.9</f>
        <v>7.5</v>
      </c>
      <c r="R29" s="76">
        <f>1.9+2.7+2.4</f>
        <v>7</v>
      </c>
      <c r="S29" s="76">
        <f>2.9+4.1+2</f>
        <v>9</v>
      </c>
      <c r="T29" s="76">
        <f>2.8+3.1+2.9</f>
        <v>8.8000000000000007</v>
      </c>
      <c r="U29" s="76">
        <f>0.2+2.4+3.2</f>
        <v>5.8000000000000007</v>
      </c>
      <c r="V29" s="76">
        <f>3.1+2.3+2.2</f>
        <v>7.6000000000000005</v>
      </c>
      <c r="W29" s="76">
        <f>4.1+2.9+3.5</f>
        <v>10.5</v>
      </c>
      <c r="X29" s="76">
        <f>4.1+2.3+3.1</f>
        <v>9.5</v>
      </c>
      <c r="Y29" s="76">
        <f>3.4+2.1+4.1</f>
        <v>9.6</v>
      </c>
      <c r="Z29" s="76">
        <f>3+2.1+1.5</f>
        <v>6.6</v>
      </c>
      <c r="AA29" s="76">
        <f>2.5+3+1.5</f>
        <v>7</v>
      </c>
      <c r="AB29" s="76">
        <f>2.9+1.7+2.3</f>
        <v>6.8999999999999995</v>
      </c>
      <c r="AC29" s="76">
        <f>2.6+2.1+1.5</f>
        <v>6.2</v>
      </c>
      <c r="AD29" s="76">
        <f>3.2+1.5+2</f>
        <v>6.7</v>
      </c>
      <c r="AE29" s="76">
        <f>2.9+3.6+1.56</f>
        <v>8.06</v>
      </c>
      <c r="AF29" s="76"/>
      <c r="AG29" s="82">
        <f t="shared" si="0"/>
        <v>226.36</v>
      </c>
      <c r="AH29" s="48"/>
      <c r="AI29" s="48"/>
    </row>
    <row r="30" spans="1:35" s="44" customFormat="1" ht="18.75" customHeight="1" x14ac:dyDescent="0.35">
      <c r="A30" s="60" t="s">
        <v>86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2">
        <f t="shared" si="0"/>
        <v>0</v>
      </c>
      <c r="AH30" s="48"/>
      <c r="AI30" s="48"/>
    </row>
    <row r="31" spans="1:35" s="44" customFormat="1" ht="18.75" customHeight="1" x14ac:dyDescent="0.35">
      <c r="A31" s="116" t="s">
        <v>82</v>
      </c>
      <c r="B31" s="76">
        <v>6</v>
      </c>
      <c r="C31" s="76">
        <v>8</v>
      </c>
      <c r="D31" s="76">
        <v>6</v>
      </c>
      <c r="E31" s="76">
        <v>5</v>
      </c>
      <c r="F31" s="76">
        <v>5.6</v>
      </c>
      <c r="G31" s="76">
        <v>7.8</v>
      </c>
      <c r="H31" s="76">
        <v>4.2</v>
      </c>
      <c r="I31" s="76">
        <v>6</v>
      </c>
      <c r="J31" s="76">
        <v>7.9</v>
      </c>
      <c r="K31" s="76">
        <v>8</v>
      </c>
      <c r="L31" s="76">
        <v>7.9</v>
      </c>
      <c r="M31" s="76">
        <v>9</v>
      </c>
      <c r="N31" s="76">
        <v>7.9</v>
      </c>
      <c r="O31" s="76">
        <v>7.9</v>
      </c>
      <c r="P31" s="76">
        <v>6</v>
      </c>
      <c r="Q31" s="76">
        <v>0.6</v>
      </c>
      <c r="R31" s="76">
        <v>8.1</v>
      </c>
      <c r="S31" s="76">
        <v>9.1999999999999993</v>
      </c>
      <c r="T31" s="76">
        <v>6.9</v>
      </c>
      <c r="U31" s="76">
        <v>9</v>
      </c>
      <c r="V31" s="76">
        <v>5.9</v>
      </c>
      <c r="W31" s="76">
        <v>9</v>
      </c>
      <c r="X31" s="76">
        <v>9.1999999999999993</v>
      </c>
      <c r="Y31" s="76">
        <v>9</v>
      </c>
      <c r="Z31" s="76">
        <v>8</v>
      </c>
      <c r="AA31" s="76">
        <v>7.5</v>
      </c>
      <c r="AB31" s="76">
        <v>7.8</v>
      </c>
      <c r="AC31" s="76">
        <v>7.9</v>
      </c>
      <c r="AD31" s="76">
        <v>8.3000000000000007</v>
      </c>
      <c r="AE31" s="76">
        <v>8</v>
      </c>
      <c r="AF31" s="76"/>
      <c r="AG31" s="82">
        <f t="shared" si="0"/>
        <v>217.60000000000002</v>
      </c>
      <c r="AH31" s="48"/>
      <c r="AI31" s="48"/>
    </row>
    <row r="32" spans="1:35" s="44" customFormat="1" ht="18.75" customHeight="1" x14ac:dyDescent="0.35">
      <c r="A32" s="60" t="s">
        <v>179</v>
      </c>
      <c r="B32" s="106"/>
      <c r="C32" s="88"/>
      <c r="D32" s="88"/>
      <c r="E32" s="88"/>
      <c r="F32" s="106"/>
      <c r="G32" s="88"/>
      <c r="H32" s="88"/>
      <c r="I32" s="106"/>
      <c r="J32" s="88"/>
      <c r="K32" s="88"/>
      <c r="L32" s="88"/>
      <c r="M32" s="106"/>
      <c r="N32" s="88"/>
      <c r="O32" s="88"/>
      <c r="P32" s="106"/>
      <c r="Q32" s="106"/>
      <c r="R32" s="106"/>
      <c r="S32" s="106"/>
      <c r="T32" s="88"/>
      <c r="U32" s="106"/>
      <c r="V32" s="106"/>
      <c r="W32" s="106"/>
      <c r="X32" s="106"/>
      <c r="Y32" s="106"/>
      <c r="Z32" s="88"/>
      <c r="AA32" s="88"/>
      <c r="AB32" s="115"/>
      <c r="AC32" s="106"/>
      <c r="AD32" s="106"/>
      <c r="AE32" s="106"/>
      <c r="AF32" s="106"/>
      <c r="AG32" s="82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87">
        <f>SUM(B3:B32)</f>
        <v>78.099999999999994</v>
      </c>
      <c r="C33" s="87">
        <f t="shared" ref="C33:AF33" si="1">SUM(C3:C32)</f>
        <v>79.600000000000009</v>
      </c>
      <c r="D33" s="87">
        <f t="shared" si="1"/>
        <v>73.099999999999994</v>
      </c>
      <c r="E33" s="87">
        <f t="shared" si="1"/>
        <v>72.699999999999989</v>
      </c>
      <c r="F33" s="87">
        <f t="shared" si="1"/>
        <v>63.000000000000007</v>
      </c>
      <c r="G33" s="87">
        <f t="shared" si="1"/>
        <v>84.399999999999991</v>
      </c>
      <c r="H33" s="87">
        <f t="shared" si="1"/>
        <v>79.100000000000009</v>
      </c>
      <c r="I33" s="87">
        <f t="shared" si="1"/>
        <v>76.900000000000006</v>
      </c>
      <c r="J33" s="87">
        <f t="shared" si="1"/>
        <v>65.500000000000014</v>
      </c>
      <c r="K33" s="87">
        <f t="shared" si="1"/>
        <v>65.599999999999994</v>
      </c>
      <c r="L33" s="87">
        <f t="shared" si="1"/>
        <v>84.4</v>
      </c>
      <c r="M33" s="87">
        <f t="shared" si="1"/>
        <v>66.300000000000011</v>
      </c>
      <c r="N33" s="87">
        <f t="shared" si="1"/>
        <v>86.199999999999989</v>
      </c>
      <c r="O33" s="87">
        <f t="shared" si="1"/>
        <v>76.600000000000009</v>
      </c>
      <c r="P33" s="87">
        <f t="shared" si="1"/>
        <v>83.200000000000017</v>
      </c>
      <c r="Q33" s="87">
        <f t="shared" si="1"/>
        <v>65.899999999999991</v>
      </c>
      <c r="R33" s="87">
        <f t="shared" si="1"/>
        <v>80.199999999999989</v>
      </c>
      <c r="S33" s="87">
        <f t="shared" si="1"/>
        <v>74.2</v>
      </c>
      <c r="T33" s="87">
        <f t="shared" si="1"/>
        <v>66.2</v>
      </c>
      <c r="U33" s="87">
        <f t="shared" si="1"/>
        <v>78.2</v>
      </c>
      <c r="V33" s="87">
        <f t="shared" si="1"/>
        <v>74.90000000000002</v>
      </c>
      <c r="W33" s="87">
        <f t="shared" si="1"/>
        <v>83.7</v>
      </c>
      <c r="X33" s="87">
        <f t="shared" si="1"/>
        <v>85</v>
      </c>
      <c r="Y33" s="87">
        <f t="shared" si="1"/>
        <v>82.999999999999986</v>
      </c>
      <c r="Z33" s="87">
        <f t="shared" si="1"/>
        <v>75.099999999999994</v>
      </c>
      <c r="AA33" s="87">
        <f t="shared" si="1"/>
        <v>61.6</v>
      </c>
      <c r="AB33" s="87">
        <f t="shared" si="1"/>
        <v>75.929999999999993</v>
      </c>
      <c r="AC33" s="87">
        <f t="shared" si="1"/>
        <v>86.8</v>
      </c>
      <c r="AD33" s="87">
        <f t="shared" si="1"/>
        <v>85.899999999999991</v>
      </c>
      <c r="AE33" s="87">
        <f t="shared" si="1"/>
        <v>85.46</v>
      </c>
      <c r="AF33" s="87">
        <f t="shared" si="1"/>
        <v>0</v>
      </c>
      <c r="AG33" s="83">
        <f>SUM(B33:AF33)</f>
        <v>2296.7900000000004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2296.7899999999995</v>
      </c>
      <c r="AH34" s="48"/>
      <c r="AI34" s="48"/>
    </row>
  </sheetData>
  <mergeCells count="1">
    <mergeCell ref="A1:AG1"/>
  </mergeCells>
  <conditionalFormatting sqref="AG33">
    <cfRule type="cellIs" dxfId="35" priority="2" operator="equal">
      <formula>$AG$34</formula>
    </cfRule>
  </conditionalFormatting>
  <conditionalFormatting sqref="AG34">
    <cfRule type="cellIs" dxfId="34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48" customWidth="1"/>
    <col min="2" max="32" width="5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85"/>
      <c r="C3" s="85">
        <v>1.9</v>
      </c>
      <c r="D3" s="85"/>
      <c r="E3" s="85">
        <v>3.1</v>
      </c>
      <c r="F3" s="85">
        <v>2.9</v>
      </c>
      <c r="G3" s="85">
        <v>2.7</v>
      </c>
      <c r="H3" s="85">
        <v>3.1</v>
      </c>
      <c r="I3" s="86">
        <v>3.2</v>
      </c>
      <c r="J3" s="85">
        <v>3.7</v>
      </c>
      <c r="K3" s="85"/>
      <c r="L3" s="86">
        <v>2.9</v>
      </c>
      <c r="M3" s="85">
        <v>3.1</v>
      </c>
      <c r="N3" s="86">
        <v>2.7</v>
      </c>
      <c r="O3" s="85">
        <v>2.9</v>
      </c>
      <c r="P3" s="86">
        <v>2.9</v>
      </c>
      <c r="Q3" s="85">
        <v>3.1</v>
      </c>
      <c r="R3" s="85"/>
      <c r="S3" s="86">
        <v>3.1</v>
      </c>
      <c r="T3" s="86">
        <v>2.9</v>
      </c>
      <c r="U3" s="86">
        <v>2.9</v>
      </c>
      <c r="V3" s="86">
        <v>3.1</v>
      </c>
      <c r="W3" s="85">
        <v>2.9</v>
      </c>
      <c r="X3" s="85">
        <v>2.9</v>
      </c>
      <c r="Y3" s="85"/>
      <c r="Z3" s="85"/>
      <c r="AA3" s="85">
        <v>3.3</v>
      </c>
      <c r="AB3" s="85">
        <v>2.7</v>
      </c>
      <c r="AC3" s="85">
        <v>3.4</v>
      </c>
      <c r="AD3" s="85">
        <v>3.2</v>
      </c>
      <c r="AE3" s="85">
        <v>3.7</v>
      </c>
      <c r="AF3" s="85"/>
      <c r="AG3" s="82">
        <f t="shared" ref="AG3:AG32" si="0">SUM(B3:AF3)</f>
        <v>72.300000000000011</v>
      </c>
      <c r="AH3" s="47"/>
      <c r="AI3" s="48"/>
    </row>
    <row r="4" spans="1:35" s="44" customFormat="1" ht="35.25" customHeight="1" x14ac:dyDescent="0.35">
      <c r="A4" s="60" t="s">
        <v>193</v>
      </c>
      <c r="B4" s="87">
        <v>2.5</v>
      </c>
      <c r="C4" s="87">
        <v>3.1</v>
      </c>
      <c r="D4" s="87">
        <v>3.3</v>
      </c>
      <c r="E4" s="87">
        <v>3.7</v>
      </c>
      <c r="F4" s="87">
        <v>3.7</v>
      </c>
      <c r="G4" s="87">
        <v>3</v>
      </c>
      <c r="H4" s="87">
        <v>2.7</v>
      </c>
      <c r="I4" s="87">
        <v>3.5</v>
      </c>
      <c r="J4" s="87">
        <v>3.1</v>
      </c>
      <c r="K4" s="87">
        <v>3</v>
      </c>
      <c r="L4" s="87">
        <v>2.5</v>
      </c>
      <c r="M4" s="87">
        <v>3.8</v>
      </c>
      <c r="N4" s="87">
        <v>2.2000000000000002</v>
      </c>
      <c r="O4" s="87">
        <v>3.7</v>
      </c>
      <c r="P4" s="87">
        <v>3</v>
      </c>
      <c r="Q4" s="87">
        <v>2.1</v>
      </c>
      <c r="R4" s="87">
        <v>2.9</v>
      </c>
      <c r="S4" s="87">
        <v>2.2999999999999998</v>
      </c>
      <c r="T4" s="87">
        <v>3.1</v>
      </c>
      <c r="U4" s="87">
        <v>2.9</v>
      </c>
      <c r="V4" s="87">
        <v>3.1</v>
      </c>
      <c r="W4" s="87">
        <v>3.3</v>
      </c>
      <c r="X4" s="87">
        <v>3.5</v>
      </c>
      <c r="Y4" s="87">
        <v>2.4</v>
      </c>
      <c r="Z4" s="87">
        <v>2.2999999999999998</v>
      </c>
      <c r="AA4" s="87">
        <v>2.9</v>
      </c>
      <c r="AB4" s="87">
        <v>2.7</v>
      </c>
      <c r="AC4" s="87">
        <v>2.9</v>
      </c>
      <c r="AD4" s="87">
        <v>3.5</v>
      </c>
      <c r="AE4" s="87">
        <v>3.1</v>
      </c>
      <c r="AF4" s="87">
        <v>3.5</v>
      </c>
      <c r="AG4" s="82">
        <f t="shared" si="0"/>
        <v>93.300000000000011</v>
      </c>
      <c r="AH4" s="47"/>
      <c r="AI4" s="48"/>
    </row>
    <row r="5" spans="1:35" s="44" customFormat="1" ht="18.75" customHeight="1" x14ac:dyDescent="0.35">
      <c r="A5" s="60" t="s">
        <v>83</v>
      </c>
      <c r="B5" s="87">
        <v>0.5</v>
      </c>
      <c r="C5" s="87">
        <v>0.6</v>
      </c>
      <c r="D5" s="87">
        <v>1</v>
      </c>
      <c r="E5" s="87">
        <v>1.2</v>
      </c>
      <c r="F5" s="87">
        <v>2</v>
      </c>
      <c r="G5" s="87">
        <v>2</v>
      </c>
      <c r="H5" s="87">
        <v>2</v>
      </c>
      <c r="I5" s="87">
        <v>2</v>
      </c>
      <c r="J5" s="87">
        <v>0.4</v>
      </c>
      <c r="K5" s="87">
        <v>0.5</v>
      </c>
      <c r="L5" s="87">
        <v>2</v>
      </c>
      <c r="M5" s="87">
        <v>2</v>
      </c>
      <c r="N5" s="87">
        <v>2</v>
      </c>
      <c r="O5" s="87">
        <v>1.9</v>
      </c>
      <c r="P5" s="87">
        <v>1.9</v>
      </c>
      <c r="Q5" s="87">
        <v>0.5</v>
      </c>
      <c r="R5" s="87">
        <v>0.1</v>
      </c>
      <c r="S5" s="87">
        <v>0.1</v>
      </c>
      <c r="T5" s="87">
        <v>2</v>
      </c>
      <c r="U5" s="87">
        <v>2</v>
      </c>
      <c r="V5" s="87">
        <v>2</v>
      </c>
      <c r="W5" s="87">
        <v>2</v>
      </c>
      <c r="X5" s="87">
        <v>2</v>
      </c>
      <c r="Y5" s="87">
        <v>2</v>
      </c>
      <c r="Z5" s="87">
        <v>1</v>
      </c>
      <c r="AA5" s="87">
        <v>0.1</v>
      </c>
      <c r="AB5" s="87">
        <v>0.5</v>
      </c>
      <c r="AC5" s="87">
        <v>2</v>
      </c>
      <c r="AD5" s="87">
        <v>2</v>
      </c>
      <c r="AE5" s="87">
        <v>2</v>
      </c>
      <c r="AF5" s="87">
        <v>2</v>
      </c>
      <c r="AG5" s="82">
        <f t="shared" si="0"/>
        <v>44.300000000000004</v>
      </c>
      <c r="AH5" s="48"/>
      <c r="AI5" s="48"/>
    </row>
    <row r="6" spans="1:35" s="44" customFormat="1" ht="18.75" customHeight="1" x14ac:dyDescent="0.35">
      <c r="A6" s="60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2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87">
        <v>4</v>
      </c>
      <c r="C7" s="87">
        <v>3.5</v>
      </c>
      <c r="D7" s="87">
        <v>3.9</v>
      </c>
      <c r="E7" s="87">
        <v>3.5</v>
      </c>
      <c r="F7" s="87">
        <v>3.8</v>
      </c>
      <c r="G7" s="87">
        <v>3</v>
      </c>
      <c r="H7" s="87">
        <v>3.5</v>
      </c>
      <c r="I7" s="87">
        <v>3.5</v>
      </c>
      <c r="J7" s="87">
        <v>2.9</v>
      </c>
      <c r="K7" s="87">
        <v>2.8</v>
      </c>
      <c r="L7" s="87">
        <v>2.8</v>
      </c>
      <c r="M7" s="87">
        <v>3</v>
      </c>
      <c r="N7" s="87">
        <v>2.9</v>
      </c>
      <c r="O7" s="87">
        <v>3</v>
      </c>
      <c r="P7" s="87">
        <v>2.8</v>
      </c>
      <c r="Q7" s="87">
        <v>3</v>
      </c>
      <c r="R7" s="87">
        <v>4</v>
      </c>
      <c r="S7" s="87">
        <v>2.5</v>
      </c>
      <c r="T7" s="87">
        <v>3</v>
      </c>
      <c r="U7" s="87">
        <v>2.8</v>
      </c>
      <c r="V7" s="87">
        <v>3.5</v>
      </c>
      <c r="W7" s="87">
        <v>3.2</v>
      </c>
      <c r="X7" s="87">
        <v>3.8</v>
      </c>
      <c r="Y7" s="87">
        <v>3</v>
      </c>
      <c r="Z7" s="87">
        <v>4</v>
      </c>
      <c r="AA7" s="87">
        <v>3.8</v>
      </c>
      <c r="AB7" s="87">
        <v>3</v>
      </c>
      <c r="AC7" s="87">
        <v>3</v>
      </c>
      <c r="AD7" s="87">
        <v>2.8</v>
      </c>
      <c r="AE7" s="87">
        <v>2.5</v>
      </c>
      <c r="AF7" s="87">
        <v>3</v>
      </c>
      <c r="AG7" s="82">
        <f t="shared" si="0"/>
        <v>99.799999999999983</v>
      </c>
      <c r="AH7" s="48"/>
      <c r="AI7" s="48"/>
    </row>
    <row r="8" spans="1:35" s="44" customFormat="1" ht="18.75" customHeight="1" x14ac:dyDescent="0.35">
      <c r="A8" s="60" t="s">
        <v>65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82">
        <f t="shared" si="0"/>
        <v>0</v>
      </c>
      <c r="AH8" s="48"/>
      <c r="AI8" s="48"/>
    </row>
    <row r="9" spans="1:35" s="44" customFormat="1" ht="18.75" customHeight="1" x14ac:dyDescent="0.35">
      <c r="A9" s="116" t="s">
        <v>66</v>
      </c>
      <c r="B9" s="87">
        <f>5.5+4.8+6.2</f>
        <v>16.5</v>
      </c>
      <c r="C9" s="87">
        <f>5.3+4.2+3.8</f>
        <v>13.3</v>
      </c>
      <c r="D9" s="87">
        <f>5+4.7+6.1</f>
        <v>15.799999999999999</v>
      </c>
      <c r="E9" s="87">
        <f>4.8+6.4+5.6</f>
        <v>16.799999999999997</v>
      </c>
      <c r="F9" s="87">
        <f>4.9+4.8+5</f>
        <v>14.7</v>
      </c>
      <c r="G9" s="87">
        <f>5+5.7+6.1</f>
        <v>16.799999999999997</v>
      </c>
      <c r="H9" s="87">
        <f>6.3+5.4+5.1</f>
        <v>16.799999999999997</v>
      </c>
      <c r="I9" s="87">
        <f>6+8.5+2.1</f>
        <v>16.600000000000001</v>
      </c>
      <c r="J9" s="87">
        <f>0.1+5.2+5.9</f>
        <v>11.2</v>
      </c>
      <c r="K9" s="87">
        <f>4.8+6+5.3</f>
        <v>16.100000000000001</v>
      </c>
      <c r="L9" s="87">
        <f>6+7+3.5</f>
        <v>16.5</v>
      </c>
      <c r="M9" s="87">
        <f>5.4+4.8+3</f>
        <v>13.2</v>
      </c>
      <c r="N9" s="87">
        <f>2.8+4.9+5.7</f>
        <v>13.4</v>
      </c>
      <c r="O9" s="87">
        <f>3.6+4+4.3</f>
        <v>11.899999999999999</v>
      </c>
      <c r="P9" s="87">
        <f>5.4+3.2+1.6</f>
        <v>10.200000000000001</v>
      </c>
      <c r="Q9" s="87">
        <f>4.9+3.7+2</f>
        <v>10.600000000000001</v>
      </c>
      <c r="R9" s="87">
        <f>3.8+6+2.3</f>
        <v>12.100000000000001</v>
      </c>
      <c r="S9" s="87">
        <f>4+3.5+2</f>
        <v>9.5</v>
      </c>
      <c r="T9" s="87">
        <f>4.5+3.8+2.9</f>
        <v>11.200000000000001</v>
      </c>
      <c r="U9" s="87">
        <f>5+3.9+2</f>
        <v>10.9</v>
      </c>
      <c r="V9" s="87">
        <f>3.6+2.4+1.6</f>
        <v>7.6</v>
      </c>
      <c r="W9" s="87">
        <f>5.9+6+4.8</f>
        <v>16.7</v>
      </c>
      <c r="X9" s="87">
        <f>4.6+5+5.5</f>
        <v>15.1</v>
      </c>
      <c r="Y9" s="87">
        <f>5.6+4.8+4.5</f>
        <v>14.899999999999999</v>
      </c>
      <c r="Z9" s="87">
        <f>5.1+4.8+6</f>
        <v>15.899999999999999</v>
      </c>
      <c r="AA9" s="87">
        <f>6.3+5.8+4.7</f>
        <v>16.8</v>
      </c>
      <c r="AB9" s="87">
        <f>6.2+4.3+5.1</f>
        <v>15.6</v>
      </c>
      <c r="AC9" s="87">
        <f>7+6.5+5.1</f>
        <v>18.600000000000001</v>
      </c>
      <c r="AD9" s="87">
        <f>7.1+6+5.3</f>
        <v>18.399999999999999</v>
      </c>
      <c r="AE9" s="87">
        <f>6.2+3.8+4.2</f>
        <v>14.2</v>
      </c>
      <c r="AF9" s="87">
        <v>15.9</v>
      </c>
      <c r="AG9" s="82">
        <f t="shared" si="0"/>
        <v>443.7999999999999</v>
      </c>
      <c r="AH9" s="48"/>
      <c r="AI9" s="48"/>
    </row>
    <row r="10" spans="1:35" s="44" customFormat="1" ht="18.75" customHeight="1" x14ac:dyDescent="0.35">
      <c r="A10" s="60" t="s">
        <v>67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82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2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2">
        <f t="shared" si="0"/>
        <v>0</v>
      </c>
    </row>
    <row r="13" spans="1:35" s="44" customFormat="1" ht="21" x14ac:dyDescent="0.35">
      <c r="A13" s="60" t="s">
        <v>69</v>
      </c>
      <c r="B13" s="66">
        <v>4.0999999999999996</v>
      </c>
      <c r="C13" s="66">
        <v>5.3</v>
      </c>
      <c r="D13" s="66"/>
      <c r="E13" s="66">
        <v>3.5</v>
      </c>
      <c r="F13" s="66">
        <v>3</v>
      </c>
      <c r="G13" s="66">
        <v>5</v>
      </c>
      <c r="H13" s="66">
        <v>4.2</v>
      </c>
      <c r="I13" s="66">
        <v>3</v>
      </c>
      <c r="J13" s="66">
        <v>4.2</v>
      </c>
      <c r="K13" s="66"/>
      <c r="L13" s="66">
        <v>3</v>
      </c>
      <c r="M13" s="66">
        <v>4.7</v>
      </c>
      <c r="N13" s="66">
        <v>5.3</v>
      </c>
      <c r="O13" s="66">
        <v>3.7</v>
      </c>
      <c r="P13" s="66">
        <v>4.2</v>
      </c>
      <c r="Q13" s="66">
        <v>3.5</v>
      </c>
      <c r="R13" s="66"/>
      <c r="S13" s="66">
        <v>5.4</v>
      </c>
      <c r="T13" s="66">
        <v>3.7</v>
      </c>
      <c r="U13" s="66">
        <v>5.0999999999999996</v>
      </c>
      <c r="V13" s="66">
        <v>2.9</v>
      </c>
      <c r="W13" s="66">
        <v>3.7</v>
      </c>
      <c r="X13" s="66">
        <v>5.0999999999999996</v>
      </c>
      <c r="Y13" s="66"/>
      <c r="Z13" s="66">
        <v>3</v>
      </c>
      <c r="AA13" s="66">
        <v>4.7</v>
      </c>
      <c r="AB13" s="66">
        <v>5.7</v>
      </c>
      <c r="AC13" s="66">
        <v>3</v>
      </c>
      <c r="AD13" s="66">
        <v>3.4</v>
      </c>
      <c r="AE13" s="66">
        <v>3.2</v>
      </c>
      <c r="AF13" s="66"/>
      <c r="AG13" s="82">
        <f t="shared" si="0"/>
        <v>105.60000000000001</v>
      </c>
      <c r="AH13" s="48"/>
      <c r="AI13" s="48"/>
    </row>
    <row r="14" spans="1:35" s="44" customFormat="1" ht="18.75" customHeight="1" x14ac:dyDescent="0.35">
      <c r="A14" s="60" t="s">
        <v>71</v>
      </c>
      <c r="B14" s="87">
        <v>6.4</v>
      </c>
      <c r="C14" s="87">
        <v>7.2</v>
      </c>
      <c r="D14" s="87">
        <v>6.3</v>
      </c>
      <c r="E14" s="87">
        <v>3.6</v>
      </c>
      <c r="F14" s="87">
        <v>6.4</v>
      </c>
      <c r="G14" s="87">
        <v>4.5999999999999996</v>
      </c>
      <c r="H14" s="87">
        <v>7.4</v>
      </c>
      <c r="I14" s="87">
        <v>7.3</v>
      </c>
      <c r="J14" s="87">
        <v>5.7</v>
      </c>
      <c r="K14" s="87">
        <v>3.8</v>
      </c>
      <c r="L14" s="87">
        <v>2.5</v>
      </c>
      <c r="M14" s="87">
        <v>6.3</v>
      </c>
      <c r="N14" s="87">
        <v>7.6</v>
      </c>
      <c r="O14" s="87">
        <v>2.7</v>
      </c>
      <c r="P14" s="87">
        <v>6.5</v>
      </c>
      <c r="Q14" s="87">
        <v>6.8</v>
      </c>
      <c r="R14" s="87">
        <v>1.4</v>
      </c>
      <c r="S14" s="87" t="s">
        <v>202</v>
      </c>
      <c r="T14" s="87">
        <v>2.8</v>
      </c>
      <c r="U14" s="87">
        <v>5.9</v>
      </c>
      <c r="V14" s="87">
        <v>3.6</v>
      </c>
      <c r="W14" s="87">
        <v>7.6</v>
      </c>
      <c r="X14" s="87">
        <v>6.5</v>
      </c>
      <c r="Y14" s="88">
        <v>1.4</v>
      </c>
      <c r="Z14" s="88">
        <v>4.5999999999999996</v>
      </c>
      <c r="AA14" s="88">
        <v>1.4</v>
      </c>
      <c r="AB14" s="88">
        <v>3.7</v>
      </c>
      <c r="AC14" s="88">
        <v>6.4</v>
      </c>
      <c r="AD14" s="88">
        <v>7.7</v>
      </c>
      <c r="AE14" s="88">
        <v>5.6</v>
      </c>
      <c r="AF14" s="88">
        <v>1.8</v>
      </c>
      <c r="AG14" s="82">
        <f t="shared" si="0"/>
        <v>151.5</v>
      </c>
      <c r="AH14" s="48"/>
      <c r="AI14" s="48"/>
    </row>
    <row r="15" spans="1:35" s="44" customFormat="1" ht="18.75" customHeight="1" x14ac:dyDescent="0.35">
      <c r="A15" s="60" t="s">
        <v>72</v>
      </c>
      <c r="B15" s="88">
        <v>1.5</v>
      </c>
      <c r="C15" s="88"/>
      <c r="D15" s="88">
        <v>4.3</v>
      </c>
      <c r="E15" s="88">
        <v>2.5</v>
      </c>
      <c r="F15" s="88">
        <v>2.2999999999999998</v>
      </c>
      <c r="G15" s="88">
        <v>1.9</v>
      </c>
      <c r="H15" s="88">
        <v>2.1</v>
      </c>
      <c r="I15" s="88">
        <v>2.5</v>
      </c>
      <c r="J15" s="88">
        <v>4.8</v>
      </c>
      <c r="K15" s="88">
        <v>2.9</v>
      </c>
      <c r="L15" s="88">
        <v>2.1</v>
      </c>
      <c r="M15" s="88">
        <v>2.5</v>
      </c>
      <c r="N15" s="88">
        <v>3.1</v>
      </c>
      <c r="O15" s="88">
        <v>2.1</v>
      </c>
      <c r="P15" s="88">
        <v>3.1</v>
      </c>
      <c r="Q15" s="88"/>
      <c r="R15" s="88">
        <v>3.9</v>
      </c>
      <c r="S15" s="88">
        <v>3.5</v>
      </c>
      <c r="T15" s="88">
        <v>3.1</v>
      </c>
      <c r="U15" s="88">
        <v>2.5</v>
      </c>
      <c r="V15" s="88">
        <v>1.5</v>
      </c>
      <c r="W15" s="88">
        <v>2.9</v>
      </c>
      <c r="X15" s="88">
        <v>2.5</v>
      </c>
      <c r="Y15" s="88"/>
      <c r="Z15" s="88">
        <v>2.5</v>
      </c>
      <c r="AA15" s="88"/>
      <c r="AB15" s="88">
        <v>3</v>
      </c>
      <c r="AC15" s="88">
        <v>3.2</v>
      </c>
      <c r="AD15" s="88">
        <v>2.9</v>
      </c>
      <c r="AE15" s="88"/>
      <c r="AF15" s="87">
        <v>4.5</v>
      </c>
      <c r="AG15" s="82">
        <f t="shared" si="0"/>
        <v>73.7</v>
      </c>
      <c r="AH15" s="48"/>
      <c r="AI15" s="48"/>
    </row>
    <row r="16" spans="1:35" s="44" customFormat="1" ht="18.75" customHeight="1" x14ac:dyDescent="0.35">
      <c r="A16" s="60" t="s">
        <v>85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2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87">
        <v>3</v>
      </c>
      <c r="C17" s="87">
        <v>2.6</v>
      </c>
      <c r="D17" s="87">
        <v>2.8</v>
      </c>
      <c r="E17" s="87">
        <v>3.5</v>
      </c>
      <c r="F17" s="87">
        <v>3.8</v>
      </c>
      <c r="G17" s="87">
        <v>4</v>
      </c>
      <c r="H17" s="87">
        <v>4.3</v>
      </c>
      <c r="I17" s="87">
        <v>4.5</v>
      </c>
      <c r="J17" s="87">
        <v>3.7</v>
      </c>
      <c r="K17" s="87">
        <v>2.9</v>
      </c>
      <c r="L17" s="87">
        <v>3.2</v>
      </c>
      <c r="M17" s="87">
        <v>3.9</v>
      </c>
      <c r="N17" s="87">
        <v>4.3</v>
      </c>
      <c r="O17" s="87">
        <v>5.2</v>
      </c>
      <c r="P17" s="87">
        <v>4.5</v>
      </c>
      <c r="Q17" s="87">
        <v>5</v>
      </c>
      <c r="R17" s="87">
        <v>3.5</v>
      </c>
      <c r="S17" s="87">
        <v>3.9</v>
      </c>
      <c r="T17" s="87">
        <v>4.2</v>
      </c>
      <c r="U17" s="87">
        <v>4.7</v>
      </c>
      <c r="V17" s="87">
        <v>4.9000000000000004</v>
      </c>
      <c r="W17" s="87">
        <v>5.2</v>
      </c>
      <c r="X17" s="87">
        <v>3.9</v>
      </c>
      <c r="Y17" s="87">
        <v>2.9</v>
      </c>
      <c r="Z17" s="87">
        <v>3.5</v>
      </c>
      <c r="AA17" s="87">
        <v>4.3</v>
      </c>
      <c r="AB17" s="87">
        <v>2.9</v>
      </c>
      <c r="AC17" s="87">
        <v>3.7</v>
      </c>
      <c r="AD17" s="87">
        <v>4.5999999999999996</v>
      </c>
      <c r="AE17" s="87">
        <v>5.2</v>
      </c>
      <c r="AF17" s="87">
        <v>4.9000000000000004</v>
      </c>
      <c r="AG17" s="82">
        <f t="shared" si="0"/>
        <v>123.50000000000004</v>
      </c>
      <c r="AH17" s="48"/>
      <c r="AI17" s="48"/>
    </row>
    <row r="18" spans="1:35" s="44" customFormat="1" ht="18.75" customHeight="1" x14ac:dyDescent="0.35">
      <c r="A18" s="60" t="s">
        <v>73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2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2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87">
        <v>4.5999999999999996</v>
      </c>
      <c r="C20" s="87">
        <v>3.8</v>
      </c>
      <c r="D20" s="87">
        <v>5.6</v>
      </c>
      <c r="E20" s="87">
        <v>4.8</v>
      </c>
      <c r="F20" s="87">
        <v>4.5999999999999996</v>
      </c>
      <c r="G20" s="87">
        <v>5.8</v>
      </c>
      <c r="H20" s="87">
        <v>4.9000000000000004</v>
      </c>
      <c r="I20" s="87">
        <v>5</v>
      </c>
      <c r="J20" s="87">
        <v>4.9000000000000004</v>
      </c>
      <c r="K20" s="87">
        <v>4.8</v>
      </c>
      <c r="L20" s="87">
        <v>4.4000000000000004</v>
      </c>
      <c r="M20" s="87">
        <v>5.0999999999999996</v>
      </c>
      <c r="N20" s="87">
        <v>5</v>
      </c>
      <c r="O20" s="87">
        <v>4.5999999999999996</v>
      </c>
      <c r="P20" s="87">
        <v>3.8</v>
      </c>
      <c r="Q20" s="87">
        <v>4.2</v>
      </c>
      <c r="R20" s="87">
        <v>3.8</v>
      </c>
      <c r="S20" s="87">
        <v>3.9</v>
      </c>
      <c r="T20" s="87">
        <v>4.2</v>
      </c>
      <c r="U20" s="87">
        <v>3.9</v>
      </c>
      <c r="V20" s="87">
        <v>3.6</v>
      </c>
      <c r="W20" s="87">
        <v>4.5</v>
      </c>
      <c r="X20" s="87">
        <v>4.3</v>
      </c>
      <c r="Y20" s="87">
        <v>3.9</v>
      </c>
      <c r="Z20" s="87">
        <v>3.1</v>
      </c>
      <c r="AA20" s="87">
        <v>3.8</v>
      </c>
      <c r="AB20" s="87">
        <v>3.6</v>
      </c>
      <c r="AC20" s="87">
        <v>2.8</v>
      </c>
      <c r="AD20" s="87">
        <v>3.4</v>
      </c>
      <c r="AE20" s="87">
        <v>3</v>
      </c>
      <c r="AF20" s="87"/>
      <c r="AG20" s="82">
        <f t="shared" si="0"/>
        <v>127.69999999999999</v>
      </c>
      <c r="AH20" s="48"/>
      <c r="AI20" s="48"/>
    </row>
    <row r="21" spans="1:35" s="44" customFormat="1" ht="18.75" customHeight="1" x14ac:dyDescent="0.35">
      <c r="A21" s="60" t="s">
        <v>74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2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87"/>
      <c r="C22" s="87">
        <v>2.6</v>
      </c>
      <c r="D22" s="87"/>
      <c r="E22" s="87">
        <v>2</v>
      </c>
      <c r="F22" s="87">
        <v>3.5</v>
      </c>
      <c r="G22" s="87">
        <v>2.8</v>
      </c>
      <c r="H22" s="87">
        <v>3.2</v>
      </c>
      <c r="I22" s="87">
        <v>3</v>
      </c>
      <c r="J22" s="87">
        <v>1</v>
      </c>
      <c r="K22" s="87"/>
      <c r="L22" s="87"/>
      <c r="M22" s="87">
        <v>2</v>
      </c>
      <c r="N22" s="87">
        <v>3.5</v>
      </c>
      <c r="O22" s="87">
        <v>2.8</v>
      </c>
      <c r="P22" s="87">
        <v>3.2</v>
      </c>
      <c r="Q22" s="87">
        <v>3</v>
      </c>
      <c r="R22" s="87"/>
      <c r="S22" s="87">
        <v>2.6</v>
      </c>
      <c r="T22" s="87">
        <v>3.2</v>
      </c>
      <c r="U22" s="87">
        <v>3.7</v>
      </c>
      <c r="V22" s="87">
        <v>4</v>
      </c>
      <c r="W22" s="87">
        <v>3.7</v>
      </c>
      <c r="X22" s="87">
        <v>1.3</v>
      </c>
      <c r="Y22" s="87"/>
      <c r="Z22" s="87"/>
      <c r="AA22" s="87">
        <v>2.4</v>
      </c>
      <c r="AB22" s="87">
        <v>3.5</v>
      </c>
      <c r="AC22" s="87">
        <v>4</v>
      </c>
      <c r="AD22" s="87">
        <v>2.9</v>
      </c>
      <c r="AE22" s="87">
        <v>3.8</v>
      </c>
      <c r="AF22" s="87"/>
      <c r="AG22" s="82">
        <f t="shared" si="0"/>
        <v>67.7</v>
      </c>
      <c r="AH22" s="48"/>
      <c r="AI22" s="48"/>
    </row>
    <row r="23" spans="1:35" s="44" customFormat="1" ht="18.75" customHeight="1" x14ac:dyDescent="0.35">
      <c r="A23" s="60" t="s">
        <v>77</v>
      </c>
      <c r="B23" s="87">
        <v>3</v>
      </c>
      <c r="C23" s="87">
        <v>2.8</v>
      </c>
      <c r="D23" s="87">
        <v>3</v>
      </c>
      <c r="E23" s="87">
        <v>2</v>
      </c>
      <c r="F23" s="87">
        <v>1.5</v>
      </c>
      <c r="G23" s="87">
        <v>1</v>
      </c>
      <c r="H23" s="87">
        <v>1.5</v>
      </c>
      <c r="I23" s="87">
        <v>1.2</v>
      </c>
      <c r="J23" s="87"/>
      <c r="K23" s="87"/>
      <c r="L23" s="87">
        <v>2</v>
      </c>
      <c r="M23" s="87">
        <v>1.7</v>
      </c>
      <c r="N23" s="87">
        <v>2</v>
      </c>
      <c r="O23" s="87">
        <v>1</v>
      </c>
      <c r="P23" s="87">
        <v>2.5</v>
      </c>
      <c r="Q23" s="87"/>
      <c r="R23" s="87"/>
      <c r="S23" s="87">
        <v>1.8</v>
      </c>
      <c r="T23" s="87">
        <v>2.5</v>
      </c>
      <c r="U23" s="87">
        <v>1.8</v>
      </c>
      <c r="V23" s="87">
        <v>2.2000000000000002</v>
      </c>
      <c r="W23" s="87">
        <v>1</v>
      </c>
      <c r="X23" s="87"/>
      <c r="Y23" s="87"/>
      <c r="Z23" s="87">
        <v>2.1</v>
      </c>
      <c r="AA23" s="87">
        <v>1.7</v>
      </c>
      <c r="AB23" s="87">
        <v>2.2999999999999998</v>
      </c>
      <c r="AC23" s="87">
        <v>1</v>
      </c>
      <c r="AD23" s="87">
        <v>2.7</v>
      </c>
      <c r="AE23" s="87"/>
      <c r="AF23" s="87"/>
      <c r="AG23" s="82">
        <f t="shared" si="0"/>
        <v>44.300000000000004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7</v>
      </c>
      <c r="C24" s="51">
        <v>5</v>
      </c>
      <c r="D24" s="51">
        <v>6</v>
      </c>
      <c r="E24" s="51">
        <v>6</v>
      </c>
      <c r="F24" s="51">
        <v>7</v>
      </c>
      <c r="G24" s="51">
        <v>7</v>
      </c>
      <c r="H24" s="51">
        <v>6</v>
      </c>
      <c r="I24" s="51">
        <v>6</v>
      </c>
      <c r="J24" s="51">
        <v>6</v>
      </c>
      <c r="K24" s="51">
        <v>8</v>
      </c>
      <c r="L24" s="51">
        <v>7</v>
      </c>
      <c r="M24" s="51">
        <v>5</v>
      </c>
      <c r="N24" s="51">
        <v>7</v>
      </c>
      <c r="O24" s="51">
        <v>5</v>
      </c>
      <c r="P24" s="51">
        <v>7</v>
      </c>
      <c r="Q24" s="51">
        <v>7</v>
      </c>
      <c r="R24" s="51">
        <v>4</v>
      </c>
      <c r="S24" s="51">
        <v>7</v>
      </c>
      <c r="T24" s="51">
        <v>7</v>
      </c>
      <c r="U24" s="51">
        <v>6</v>
      </c>
      <c r="V24" s="51">
        <v>5</v>
      </c>
      <c r="W24" s="51">
        <v>5</v>
      </c>
      <c r="X24" s="51">
        <v>5</v>
      </c>
      <c r="Y24" s="51">
        <v>4</v>
      </c>
      <c r="Z24" s="51">
        <v>7</v>
      </c>
      <c r="AA24" s="51">
        <v>5</v>
      </c>
      <c r="AB24" s="51">
        <v>6</v>
      </c>
      <c r="AC24" s="51">
        <v>5</v>
      </c>
      <c r="AD24" s="51">
        <v>5</v>
      </c>
      <c r="AE24" s="51">
        <v>4</v>
      </c>
      <c r="AF24" s="51">
        <v>6</v>
      </c>
      <c r="AG24" s="82">
        <f t="shared" si="0"/>
        <v>183</v>
      </c>
      <c r="AH24" s="48"/>
      <c r="AI24" s="48"/>
    </row>
    <row r="25" spans="1:35" s="44" customFormat="1" ht="18.75" customHeight="1" x14ac:dyDescent="0.35">
      <c r="A25" s="116" t="s">
        <v>79</v>
      </c>
      <c r="B25" s="51">
        <v>1</v>
      </c>
      <c r="C25" s="51">
        <v>1.1000000000000001</v>
      </c>
      <c r="D25" s="51">
        <v>0.9</v>
      </c>
      <c r="E25" s="51">
        <v>1</v>
      </c>
      <c r="F25" s="51">
        <v>1.2</v>
      </c>
      <c r="G25" s="51">
        <v>1.1000000000000001</v>
      </c>
      <c r="H25" s="51">
        <v>1</v>
      </c>
      <c r="I25" s="51">
        <v>1.1000000000000001</v>
      </c>
      <c r="J25" s="51">
        <v>2.2999999999999998</v>
      </c>
      <c r="K25" s="51">
        <v>1.3</v>
      </c>
      <c r="L25" s="51">
        <v>1.2</v>
      </c>
      <c r="M25" s="51">
        <v>1</v>
      </c>
      <c r="N25" s="51">
        <v>1.3</v>
      </c>
      <c r="O25" s="51">
        <v>1.1000000000000001</v>
      </c>
      <c r="P25" s="51">
        <v>0.9</v>
      </c>
      <c r="Q25" s="51">
        <v>0.8</v>
      </c>
      <c r="R25" s="51">
        <v>1.7</v>
      </c>
      <c r="S25" s="51">
        <v>1.3</v>
      </c>
      <c r="T25" s="51">
        <v>1.4</v>
      </c>
      <c r="U25" s="51">
        <v>1.1000000000000001</v>
      </c>
      <c r="V25" s="51">
        <v>1</v>
      </c>
      <c r="W25" s="51">
        <v>0.9</v>
      </c>
      <c r="X25" s="51">
        <v>1</v>
      </c>
      <c r="Y25" s="51">
        <v>1.1000000000000001</v>
      </c>
      <c r="Z25" s="51">
        <v>1.2</v>
      </c>
      <c r="AA25" s="51">
        <v>1</v>
      </c>
      <c r="AB25" s="51">
        <v>0.9</v>
      </c>
      <c r="AC25" s="51">
        <v>1.2</v>
      </c>
      <c r="AD25" s="51">
        <v>1.1000000000000001</v>
      </c>
      <c r="AE25" s="51">
        <v>1.3</v>
      </c>
      <c r="AF25" s="51">
        <v>1</v>
      </c>
      <c r="AG25" s="82">
        <f t="shared" si="0"/>
        <v>35.5</v>
      </c>
      <c r="AH25" s="48"/>
      <c r="AI25" s="48"/>
    </row>
    <row r="26" spans="1:35" s="44" customFormat="1" ht="18.75" customHeight="1" x14ac:dyDescent="0.35">
      <c r="A26" s="60" t="s">
        <v>154</v>
      </c>
      <c r="B26" s="76">
        <v>2.1</v>
      </c>
      <c r="C26" s="122">
        <v>2</v>
      </c>
      <c r="D26" s="122">
        <v>2</v>
      </c>
      <c r="E26" s="76">
        <v>1.9</v>
      </c>
      <c r="F26" s="122">
        <v>2</v>
      </c>
      <c r="G26" s="122">
        <v>2</v>
      </c>
      <c r="H26" s="76">
        <v>1.9</v>
      </c>
      <c r="I26" s="76">
        <v>1.9</v>
      </c>
      <c r="J26" s="76">
        <v>1.9</v>
      </c>
      <c r="K26" s="122">
        <v>2</v>
      </c>
      <c r="L26" s="122">
        <v>2</v>
      </c>
      <c r="M26" s="76">
        <v>1.8</v>
      </c>
      <c r="N26" s="76">
        <v>1.8</v>
      </c>
      <c r="O26" s="122">
        <v>2</v>
      </c>
      <c r="P26" s="122">
        <v>2</v>
      </c>
      <c r="Q26" s="122">
        <v>2</v>
      </c>
      <c r="R26" s="122">
        <v>2</v>
      </c>
      <c r="S26" s="76">
        <v>1.9</v>
      </c>
      <c r="T26" s="76">
        <v>1.9</v>
      </c>
      <c r="U26" s="122">
        <v>2</v>
      </c>
      <c r="V26" s="122">
        <v>2</v>
      </c>
      <c r="W26" s="122">
        <v>2</v>
      </c>
      <c r="X26" s="122">
        <v>2</v>
      </c>
      <c r="Y26" s="122">
        <v>2</v>
      </c>
      <c r="Z26" s="76">
        <v>1.5</v>
      </c>
      <c r="AA26" s="76">
        <v>1.9</v>
      </c>
      <c r="AB26" s="76">
        <v>1.9</v>
      </c>
      <c r="AC26" s="122">
        <v>2</v>
      </c>
      <c r="AD26" s="122">
        <v>2</v>
      </c>
      <c r="AE26" s="122">
        <v>2</v>
      </c>
      <c r="AF26" s="76">
        <v>1.2</v>
      </c>
      <c r="AG26" s="82">
        <f t="shared" si="0"/>
        <v>59.599999999999994</v>
      </c>
      <c r="AH26" s="48"/>
      <c r="AI26" s="48"/>
    </row>
    <row r="27" spans="1:35" s="44" customFormat="1" ht="18.75" customHeight="1" x14ac:dyDescent="0.35">
      <c r="A27" s="60" t="s">
        <v>80</v>
      </c>
      <c r="B27" s="76">
        <v>4</v>
      </c>
      <c r="C27" s="76">
        <v>3.7</v>
      </c>
      <c r="D27" s="76"/>
      <c r="E27" s="76">
        <v>4</v>
      </c>
      <c r="F27" s="76">
        <v>3.8</v>
      </c>
      <c r="G27" s="76">
        <v>4.3</v>
      </c>
      <c r="H27" s="76">
        <v>3</v>
      </c>
      <c r="I27" s="76">
        <v>4.2</v>
      </c>
      <c r="J27" s="76">
        <v>3.3</v>
      </c>
      <c r="K27" s="76"/>
      <c r="L27" s="76">
        <v>2.7</v>
      </c>
      <c r="M27" s="76">
        <v>3.8</v>
      </c>
      <c r="N27" s="76">
        <v>4.2</v>
      </c>
      <c r="O27" s="76">
        <v>3.5</v>
      </c>
      <c r="P27" s="76">
        <v>4.2</v>
      </c>
      <c r="Q27" s="76">
        <v>3</v>
      </c>
      <c r="R27" s="76">
        <v>5.4</v>
      </c>
      <c r="S27" s="76">
        <v>4.3</v>
      </c>
      <c r="T27" s="76">
        <v>3</v>
      </c>
      <c r="U27" s="76">
        <v>3.8</v>
      </c>
      <c r="V27" s="76">
        <v>4.7</v>
      </c>
      <c r="W27" s="76">
        <v>5</v>
      </c>
      <c r="X27" s="76">
        <v>3.7</v>
      </c>
      <c r="Y27" s="76"/>
      <c r="Z27" s="76">
        <v>3</v>
      </c>
      <c r="AA27" s="76">
        <v>4.2</v>
      </c>
      <c r="AB27" s="76">
        <v>3</v>
      </c>
      <c r="AC27" s="76">
        <v>3.8</v>
      </c>
      <c r="AD27" s="76">
        <v>4.2</v>
      </c>
      <c r="AE27" s="76">
        <v>4</v>
      </c>
      <c r="AF27" s="76"/>
      <c r="AG27" s="82">
        <f t="shared" si="0"/>
        <v>103.80000000000001</v>
      </c>
      <c r="AH27" s="48"/>
      <c r="AI27" s="48"/>
    </row>
    <row r="28" spans="1:35" s="44" customFormat="1" ht="18.75" customHeight="1" x14ac:dyDescent="0.35">
      <c r="A28" s="60" t="s">
        <v>76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2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6">
        <f>3.5+1.5+2.1</f>
        <v>7.1</v>
      </c>
      <c r="C29" s="76">
        <f>2.1+3+1.5</f>
        <v>6.6</v>
      </c>
      <c r="D29" s="76">
        <f>2.9+2.5+1.5</f>
        <v>6.9</v>
      </c>
      <c r="E29" s="76">
        <f>3.1+2.5+1.9</f>
        <v>7.5</v>
      </c>
      <c r="F29" s="76">
        <f>3+2.5+1.9</f>
        <v>7.4</v>
      </c>
      <c r="G29" s="76">
        <f>2.5+1.5+1.5</f>
        <v>5.5</v>
      </c>
      <c r="H29" s="76">
        <f>2.1+3+1.5</f>
        <v>6.6</v>
      </c>
      <c r="I29" s="76">
        <f>2.1+1.5+0.9</f>
        <v>4.5</v>
      </c>
      <c r="J29" s="76">
        <f>3.5+2.5+1.5</f>
        <v>7.5</v>
      </c>
      <c r="K29" s="76">
        <f>3.5+1.9+2.5</f>
        <v>7.9</v>
      </c>
      <c r="L29" s="76">
        <f>3+1.5+1.5</f>
        <v>6</v>
      </c>
      <c r="M29" s="76">
        <f>3.1+2+1.5</f>
        <v>6.6</v>
      </c>
      <c r="N29" s="76">
        <f>4.5+3.1+3.3</f>
        <v>10.899999999999999</v>
      </c>
      <c r="O29" s="76">
        <f>3.8+4.5+6.3</f>
        <v>14.600000000000001</v>
      </c>
      <c r="P29" s="76">
        <f>4.5+3.8+4.9</f>
        <v>13.200000000000001</v>
      </c>
      <c r="Q29" s="76">
        <f>2.1+2.9+3.6</f>
        <v>8.6</v>
      </c>
      <c r="R29" s="76">
        <f>3.3+2.3+2.5</f>
        <v>8.1</v>
      </c>
      <c r="S29" s="76">
        <f>3.8+4.3+2.2</f>
        <v>10.3</v>
      </c>
      <c r="T29" s="76">
        <f>2.8+3.1+4.2</f>
        <v>10.100000000000001</v>
      </c>
      <c r="U29" s="76">
        <f>2.5+1.9+2.5</f>
        <v>6.9</v>
      </c>
      <c r="V29" s="76">
        <f>3.8+4.1+2.1</f>
        <v>10</v>
      </c>
      <c r="W29" s="76">
        <f>3.5+2.1+1.5</f>
        <v>7.1</v>
      </c>
      <c r="X29" s="76">
        <f>3+2.5+1.8</f>
        <v>7.3</v>
      </c>
      <c r="Y29" s="76">
        <f>3+2.1+1.5</f>
        <v>6.6</v>
      </c>
      <c r="Z29" s="76">
        <f>3+2.9+1.7</f>
        <v>7.6000000000000005</v>
      </c>
      <c r="AA29" s="76">
        <f>2.9+2+1.9</f>
        <v>6.8000000000000007</v>
      </c>
      <c r="AB29" s="76">
        <f>2.8+1.9+3</f>
        <v>7.6999999999999993</v>
      </c>
      <c r="AC29" s="76">
        <f>2.6+1.9+2</f>
        <v>6.5</v>
      </c>
      <c r="AD29" s="76">
        <f>2.4+1.7+3</f>
        <v>7.1</v>
      </c>
      <c r="AE29" s="76">
        <f>2.9+1.9+3.6</f>
        <v>8.4</v>
      </c>
      <c r="AF29" s="76">
        <f>2.8+1.9+3.6</f>
        <v>8.2999999999999989</v>
      </c>
      <c r="AG29" s="82">
        <f t="shared" si="0"/>
        <v>246.20000000000002</v>
      </c>
      <c r="AH29" s="48"/>
      <c r="AI29" s="48"/>
    </row>
    <row r="30" spans="1:35" s="44" customFormat="1" ht="18.75" customHeight="1" x14ac:dyDescent="0.35">
      <c r="A30" s="60" t="s">
        <v>86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2">
        <f t="shared" si="0"/>
        <v>0</v>
      </c>
      <c r="AH30" s="48"/>
      <c r="AI30" s="48"/>
    </row>
    <row r="31" spans="1:35" s="44" customFormat="1" ht="18.75" customHeight="1" x14ac:dyDescent="0.35">
      <c r="A31" s="116" t="s">
        <v>82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82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106"/>
      <c r="C32" s="88"/>
      <c r="D32" s="88"/>
      <c r="E32" s="88"/>
      <c r="F32" s="106"/>
      <c r="G32" s="88"/>
      <c r="H32" s="88"/>
      <c r="I32" s="106"/>
      <c r="J32" s="88"/>
      <c r="K32" s="88"/>
      <c r="L32" s="88"/>
      <c r="M32" s="106"/>
      <c r="N32" s="88"/>
      <c r="O32" s="88"/>
      <c r="P32" s="106"/>
      <c r="Q32" s="106"/>
      <c r="R32" s="106"/>
      <c r="S32" s="106"/>
      <c r="T32" s="88"/>
      <c r="U32" s="106"/>
      <c r="V32" s="106"/>
      <c r="W32" s="106"/>
      <c r="X32" s="106"/>
      <c r="Y32" s="106"/>
      <c r="Z32" s="88"/>
      <c r="AA32" s="88"/>
      <c r="AB32" s="115"/>
      <c r="AC32" s="106"/>
      <c r="AD32" s="106"/>
      <c r="AE32" s="106"/>
      <c r="AF32" s="106"/>
      <c r="AG32" s="82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87">
        <f>SUM(B3:B32)</f>
        <v>67.3</v>
      </c>
      <c r="C33" s="87">
        <f t="shared" ref="C33:AF33" si="1">SUM(C3:C32)</f>
        <v>65.099999999999994</v>
      </c>
      <c r="D33" s="87">
        <f t="shared" si="1"/>
        <v>61.8</v>
      </c>
      <c r="E33" s="87">
        <f t="shared" si="1"/>
        <v>70.599999999999994</v>
      </c>
      <c r="F33" s="87">
        <f t="shared" si="1"/>
        <v>73.600000000000009</v>
      </c>
      <c r="G33" s="87">
        <f t="shared" si="1"/>
        <v>72.5</v>
      </c>
      <c r="H33" s="87">
        <f t="shared" si="1"/>
        <v>74.199999999999989</v>
      </c>
      <c r="I33" s="87">
        <f t="shared" si="1"/>
        <v>73.000000000000014</v>
      </c>
      <c r="J33" s="87">
        <f t="shared" si="1"/>
        <v>66.599999999999994</v>
      </c>
      <c r="K33" s="87">
        <f t="shared" si="1"/>
        <v>55.999999999999993</v>
      </c>
      <c r="L33" s="87">
        <f t="shared" si="1"/>
        <v>62.800000000000011</v>
      </c>
      <c r="M33" s="87">
        <f t="shared" si="1"/>
        <v>69.5</v>
      </c>
      <c r="N33" s="87">
        <f t="shared" si="1"/>
        <v>79.199999999999989</v>
      </c>
      <c r="O33" s="87">
        <f t="shared" si="1"/>
        <v>71.7</v>
      </c>
      <c r="P33" s="87">
        <f t="shared" si="1"/>
        <v>75.900000000000006</v>
      </c>
      <c r="Q33" s="87">
        <f t="shared" si="1"/>
        <v>63.2</v>
      </c>
      <c r="R33" s="87">
        <f t="shared" si="1"/>
        <v>52.900000000000006</v>
      </c>
      <c r="S33" s="87">
        <f t="shared" si="1"/>
        <v>63.399999999999991</v>
      </c>
      <c r="T33" s="87">
        <f t="shared" si="1"/>
        <v>69.300000000000011</v>
      </c>
      <c r="U33" s="87">
        <f t="shared" si="1"/>
        <v>68.900000000000006</v>
      </c>
      <c r="V33" s="87">
        <f t="shared" si="1"/>
        <v>64.7</v>
      </c>
      <c r="W33" s="87">
        <f t="shared" si="1"/>
        <v>76.699999999999989</v>
      </c>
      <c r="X33" s="87">
        <f t="shared" si="1"/>
        <v>69.899999999999991</v>
      </c>
      <c r="Y33" s="87">
        <f t="shared" si="1"/>
        <v>44.199999999999996</v>
      </c>
      <c r="Z33" s="87">
        <f t="shared" si="1"/>
        <v>62.300000000000004</v>
      </c>
      <c r="AA33" s="87">
        <f t="shared" si="1"/>
        <v>64.099999999999994</v>
      </c>
      <c r="AB33" s="87">
        <f t="shared" si="1"/>
        <v>68.699999999999989</v>
      </c>
      <c r="AC33" s="87">
        <f t="shared" si="1"/>
        <v>72.500000000000014</v>
      </c>
      <c r="AD33" s="87">
        <f t="shared" si="1"/>
        <v>76.899999999999991</v>
      </c>
      <c r="AE33" s="87">
        <f t="shared" si="1"/>
        <v>66</v>
      </c>
      <c r="AF33" s="87">
        <f t="shared" si="1"/>
        <v>52.1</v>
      </c>
      <c r="AG33" s="83">
        <f>SUM(B33:AF33)</f>
        <v>2075.6000000000008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2075.6</v>
      </c>
      <c r="AH34" s="48"/>
      <c r="AI34" s="48"/>
    </row>
  </sheetData>
  <mergeCells count="1">
    <mergeCell ref="A1:AG1"/>
  </mergeCells>
  <conditionalFormatting sqref="AG33">
    <cfRule type="cellIs" dxfId="33" priority="2" operator="equal">
      <formula>$AG$34</formula>
    </cfRule>
  </conditionalFormatting>
  <conditionalFormatting sqref="AG34">
    <cfRule type="cellIs" dxfId="32" priority="1" operator="equal">
      <formula>$AG$33</formula>
    </cfRule>
  </conditionalFormatting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48" customWidth="1"/>
    <col min="2" max="32" width="5.85546875" customWidth="1"/>
    <col min="33" max="33" width="13.2851562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85">
        <v>2.1</v>
      </c>
      <c r="C3" s="85">
        <v>3.5</v>
      </c>
      <c r="D3" s="85">
        <v>3.3</v>
      </c>
      <c r="E3" s="85">
        <v>3.2</v>
      </c>
      <c r="F3" s="85">
        <v>3.7</v>
      </c>
      <c r="G3" s="85">
        <v>3.4</v>
      </c>
      <c r="H3" s="85"/>
      <c r="I3" s="86">
        <v>3.7</v>
      </c>
      <c r="J3" s="85">
        <v>3.4</v>
      </c>
      <c r="K3" s="85">
        <v>3.7</v>
      </c>
      <c r="L3" s="86">
        <v>3.3</v>
      </c>
      <c r="M3" s="85">
        <v>3.2</v>
      </c>
      <c r="N3" s="86">
        <v>3.5</v>
      </c>
      <c r="O3" s="85"/>
      <c r="P3" s="86"/>
      <c r="Q3" s="85">
        <v>3.5</v>
      </c>
      <c r="R3" s="85">
        <v>0.3</v>
      </c>
      <c r="S3" s="86">
        <v>3.6</v>
      </c>
      <c r="T3" s="86">
        <v>3.2</v>
      </c>
      <c r="U3" s="86">
        <v>3.7</v>
      </c>
      <c r="V3" s="86"/>
      <c r="W3" s="85"/>
      <c r="X3" s="85">
        <v>3.3</v>
      </c>
      <c r="Y3" s="85">
        <v>3.6</v>
      </c>
      <c r="Z3" s="85">
        <v>2.1</v>
      </c>
      <c r="AA3" s="85">
        <v>3.5</v>
      </c>
      <c r="AB3" s="85">
        <v>2.9</v>
      </c>
      <c r="AC3" s="85"/>
      <c r="AD3" s="85"/>
      <c r="AE3" s="85">
        <v>3.1</v>
      </c>
      <c r="AF3" s="85"/>
      <c r="AG3" s="82">
        <f t="shared" ref="AG3:AG32" si="0">SUM(B3:AF3)</f>
        <v>72.8</v>
      </c>
      <c r="AH3" s="47"/>
      <c r="AI3" s="48"/>
    </row>
    <row r="4" spans="1:35" s="44" customFormat="1" ht="35.25" customHeight="1" x14ac:dyDescent="0.35">
      <c r="A4" s="60" t="s">
        <v>193</v>
      </c>
      <c r="B4" s="87">
        <v>3.9</v>
      </c>
      <c r="C4" s="87">
        <v>3.7</v>
      </c>
      <c r="D4" s="87">
        <v>3.1</v>
      </c>
      <c r="E4" s="87">
        <v>3.5</v>
      </c>
      <c r="F4" s="87">
        <v>3.2</v>
      </c>
      <c r="G4" s="87">
        <v>3.1</v>
      </c>
      <c r="H4" s="87">
        <v>1.9</v>
      </c>
      <c r="I4" s="87">
        <v>3.3</v>
      </c>
      <c r="J4" s="87">
        <v>3.7</v>
      </c>
      <c r="K4" s="87">
        <v>3.3</v>
      </c>
      <c r="L4" s="87">
        <v>3.1</v>
      </c>
      <c r="M4" s="87">
        <v>3.5</v>
      </c>
      <c r="N4" s="87">
        <v>2.9</v>
      </c>
      <c r="O4" s="87">
        <v>2.7</v>
      </c>
      <c r="P4" s="87">
        <v>2.1</v>
      </c>
      <c r="Q4" s="87">
        <v>3.5</v>
      </c>
      <c r="R4" s="87">
        <v>3.5</v>
      </c>
      <c r="S4" s="87">
        <v>3.1</v>
      </c>
      <c r="T4" s="87">
        <v>3.7</v>
      </c>
      <c r="U4" s="87">
        <v>3.2</v>
      </c>
      <c r="V4" s="87"/>
      <c r="W4" s="87">
        <v>3.2</v>
      </c>
      <c r="X4" s="87">
        <v>3.5</v>
      </c>
      <c r="Y4" s="87">
        <v>3.6</v>
      </c>
      <c r="Z4" s="87">
        <v>2.5</v>
      </c>
      <c r="AA4" s="87">
        <v>3.3</v>
      </c>
      <c r="AB4" s="87">
        <v>3.1</v>
      </c>
      <c r="AC4" s="87">
        <v>2.9</v>
      </c>
      <c r="AD4" s="87">
        <v>2.7</v>
      </c>
      <c r="AE4" s="87">
        <v>3.1</v>
      </c>
      <c r="AF4" s="87"/>
      <c r="AG4" s="82">
        <f t="shared" si="0"/>
        <v>91.899999999999991</v>
      </c>
      <c r="AH4" s="47"/>
      <c r="AI4" s="48"/>
    </row>
    <row r="5" spans="1:35" s="44" customFormat="1" ht="18.75" customHeight="1" x14ac:dyDescent="0.35">
      <c r="A5" s="60" t="s">
        <v>83</v>
      </c>
      <c r="B5" s="87">
        <v>2</v>
      </c>
      <c r="C5" s="87">
        <v>2</v>
      </c>
      <c r="D5" s="87">
        <v>1.8</v>
      </c>
      <c r="E5" s="87">
        <v>1.5</v>
      </c>
      <c r="F5" s="87">
        <v>1.6</v>
      </c>
      <c r="G5" s="87">
        <v>1.7</v>
      </c>
      <c r="H5" s="87">
        <v>1.9</v>
      </c>
      <c r="I5" s="87">
        <v>2.1</v>
      </c>
      <c r="J5" s="87">
        <v>2</v>
      </c>
      <c r="K5" s="87">
        <v>2.1</v>
      </c>
      <c r="L5" s="87">
        <v>3</v>
      </c>
      <c r="M5" s="87">
        <v>2</v>
      </c>
      <c r="N5" s="87">
        <v>2</v>
      </c>
      <c r="O5" s="87">
        <v>2.1</v>
      </c>
      <c r="P5" s="87"/>
      <c r="Q5" s="87">
        <v>2.2999999999999998</v>
      </c>
      <c r="R5" s="87">
        <v>2.1</v>
      </c>
      <c r="S5" s="87">
        <v>2.4</v>
      </c>
      <c r="T5" s="87">
        <v>2.2999999999999998</v>
      </c>
      <c r="U5" s="87">
        <v>1.7</v>
      </c>
      <c r="V5" s="87"/>
      <c r="W5" s="87"/>
      <c r="X5" s="87">
        <v>2</v>
      </c>
      <c r="Y5" s="87">
        <v>1.9</v>
      </c>
      <c r="Z5" s="87">
        <v>2</v>
      </c>
      <c r="AA5" s="87">
        <v>1.8</v>
      </c>
      <c r="AB5" s="87">
        <v>2</v>
      </c>
      <c r="AC5" s="87"/>
      <c r="AD5" s="87"/>
      <c r="AE5" s="87">
        <v>1.7</v>
      </c>
      <c r="AF5" s="87"/>
      <c r="AG5" s="82">
        <f t="shared" si="0"/>
        <v>50</v>
      </c>
      <c r="AH5" s="48"/>
      <c r="AI5" s="48"/>
    </row>
    <row r="6" spans="1:35" s="44" customFormat="1" ht="18.75" customHeight="1" x14ac:dyDescent="0.35">
      <c r="A6" s="60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2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87">
        <v>2</v>
      </c>
      <c r="C7" s="87">
        <v>3</v>
      </c>
      <c r="D7" s="87">
        <v>3.5</v>
      </c>
      <c r="E7" s="87">
        <v>2.8</v>
      </c>
      <c r="F7" s="87">
        <v>3</v>
      </c>
      <c r="G7" s="87">
        <v>2.9</v>
      </c>
      <c r="H7" s="87">
        <v>3</v>
      </c>
      <c r="I7" s="87">
        <v>3.5</v>
      </c>
      <c r="J7" s="87">
        <v>3</v>
      </c>
      <c r="K7" s="87">
        <v>2.8</v>
      </c>
      <c r="L7" s="87">
        <v>3.5</v>
      </c>
      <c r="M7" s="87">
        <v>3</v>
      </c>
      <c r="N7" s="87">
        <v>2.5</v>
      </c>
      <c r="O7" s="87">
        <v>3</v>
      </c>
      <c r="P7" s="87">
        <v>2.5</v>
      </c>
      <c r="Q7" s="87">
        <v>3</v>
      </c>
      <c r="R7" s="87">
        <v>2.8</v>
      </c>
      <c r="S7" s="87">
        <v>2.9</v>
      </c>
      <c r="T7" s="87">
        <v>2.9</v>
      </c>
      <c r="U7" s="87">
        <v>3</v>
      </c>
      <c r="V7" s="87">
        <v>3</v>
      </c>
      <c r="W7" s="87">
        <v>2.5</v>
      </c>
      <c r="X7" s="87">
        <v>2.8</v>
      </c>
      <c r="Y7" s="87">
        <v>2.9</v>
      </c>
      <c r="Z7" s="87">
        <v>2.9</v>
      </c>
      <c r="AA7" s="87">
        <v>3</v>
      </c>
      <c r="AB7" s="87">
        <v>2.9</v>
      </c>
      <c r="AC7" s="87">
        <v>3</v>
      </c>
      <c r="AD7" s="87">
        <v>3</v>
      </c>
      <c r="AE7" s="87">
        <v>2.9</v>
      </c>
      <c r="AF7" s="87"/>
      <c r="AG7" s="82">
        <f t="shared" si="0"/>
        <v>87.500000000000014</v>
      </c>
      <c r="AH7" s="48"/>
      <c r="AI7" s="48"/>
    </row>
    <row r="8" spans="1:35" s="44" customFormat="1" ht="18.75" customHeight="1" x14ac:dyDescent="0.35">
      <c r="A8" s="60" t="s">
        <v>65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82">
        <f t="shared" si="0"/>
        <v>0</v>
      </c>
      <c r="AH8" s="48"/>
      <c r="AI8" s="48"/>
    </row>
    <row r="9" spans="1:35" s="44" customFormat="1" ht="18.75" customHeight="1" x14ac:dyDescent="0.35">
      <c r="A9" s="116" t="s">
        <v>66</v>
      </c>
      <c r="B9" s="70">
        <f>5.4+3.2+1.6</f>
        <v>10.200000000000001</v>
      </c>
      <c r="C9" s="70">
        <f>4.9+3.7+2</f>
        <v>10.600000000000001</v>
      </c>
      <c r="D9" s="70">
        <f>3.8+6+2.3</f>
        <v>12.100000000000001</v>
      </c>
      <c r="E9" s="70">
        <f>4+3.5+2</f>
        <v>9.5</v>
      </c>
      <c r="F9" s="70">
        <f>4.5+3.8+2.9</f>
        <v>11.200000000000001</v>
      </c>
      <c r="G9" s="70">
        <f>5+3.9+2</f>
        <v>10.9</v>
      </c>
      <c r="H9" s="70">
        <f>3.6+2.4+1.6</f>
        <v>7.6</v>
      </c>
      <c r="I9" s="70">
        <f>5.9+6+4.8</f>
        <v>16.7</v>
      </c>
      <c r="J9" s="70">
        <f>4.6+5+5.5</f>
        <v>15.1</v>
      </c>
      <c r="K9" s="70">
        <f>5.6+4.8+4.5</f>
        <v>14.899999999999999</v>
      </c>
      <c r="L9" s="70">
        <f>5.1+4.8+6</f>
        <v>15.899999999999999</v>
      </c>
      <c r="M9" s="70">
        <f>6.3+5.8+4.7</f>
        <v>16.8</v>
      </c>
      <c r="N9" s="70">
        <f>6.2+4.3+5.1</f>
        <v>15.6</v>
      </c>
      <c r="O9" s="70">
        <f>7+6.5+5.1</f>
        <v>18.600000000000001</v>
      </c>
      <c r="P9" s="70">
        <f>7.1+6+5.3</f>
        <v>18.399999999999999</v>
      </c>
      <c r="Q9" s="70">
        <f>6.2+3.8+4.2</f>
        <v>14.2</v>
      </c>
      <c r="R9" s="70">
        <f>5.5+4.8+6.2</f>
        <v>16.5</v>
      </c>
      <c r="S9" s="70">
        <f>5.3+4.2+3.8</f>
        <v>13.3</v>
      </c>
      <c r="T9" s="70">
        <f>5+4.7+6.1</f>
        <v>15.799999999999999</v>
      </c>
      <c r="U9" s="70">
        <f>4.8+6.4+5.6</f>
        <v>16.799999999999997</v>
      </c>
      <c r="V9" s="70">
        <f>4.9+4.8+5</f>
        <v>14.7</v>
      </c>
      <c r="W9" s="70">
        <f>5+5.7+6.1</f>
        <v>16.799999999999997</v>
      </c>
      <c r="X9" s="70">
        <f>6.3+5.4+5.1</f>
        <v>16.799999999999997</v>
      </c>
      <c r="Y9" s="70">
        <f>6+8.5+2.1</f>
        <v>16.600000000000001</v>
      </c>
      <c r="Z9" s="70">
        <f>0.1+5.2+5.9</f>
        <v>11.2</v>
      </c>
      <c r="AA9" s="70">
        <f>4.8+6+5.3</f>
        <v>16.100000000000001</v>
      </c>
      <c r="AB9" s="70">
        <f>6+7+3.5</f>
        <v>16.5</v>
      </c>
      <c r="AC9" s="70">
        <f>5.4+4.8+3</f>
        <v>13.2</v>
      </c>
      <c r="AD9" s="70">
        <f>2.8+4.9+5.7</f>
        <v>13.4</v>
      </c>
      <c r="AE9" s="70">
        <f>3.6+4+4.3</f>
        <v>11.899999999999999</v>
      </c>
      <c r="AF9" s="70"/>
      <c r="AG9" s="82">
        <f t="shared" si="0"/>
        <v>427.90000000000003</v>
      </c>
      <c r="AH9" s="48"/>
      <c r="AI9" s="48"/>
    </row>
    <row r="10" spans="1:35" s="44" customFormat="1" ht="18.75" customHeight="1" x14ac:dyDescent="0.35">
      <c r="A10" s="60" t="s">
        <v>67</v>
      </c>
      <c r="B10" s="124"/>
      <c r="C10" s="124"/>
      <c r="D10" s="124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Q10" s="124"/>
      <c r="R10" s="124"/>
      <c r="S10" s="124"/>
      <c r="T10" s="124"/>
      <c r="U10" s="124"/>
      <c r="V10" s="124"/>
      <c r="W10" s="124"/>
      <c r="X10" s="124"/>
      <c r="Y10" s="124"/>
      <c r="Z10" s="124"/>
      <c r="AA10" s="124"/>
      <c r="AB10" s="124"/>
      <c r="AC10" s="124"/>
      <c r="AD10" s="124"/>
      <c r="AE10" s="124"/>
      <c r="AF10" s="124"/>
      <c r="AG10" s="82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2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87">
        <v>3.9</v>
      </c>
      <c r="C12" s="87">
        <v>2.7</v>
      </c>
      <c r="D12" s="87">
        <v>4.0999999999999996</v>
      </c>
      <c r="E12" s="87">
        <v>3.7</v>
      </c>
      <c r="F12" s="87">
        <v>3.8</v>
      </c>
      <c r="G12" s="87">
        <v>4</v>
      </c>
      <c r="H12" s="87">
        <v>3.5</v>
      </c>
      <c r="I12" s="87">
        <v>3.8</v>
      </c>
      <c r="J12" s="87">
        <v>3.7</v>
      </c>
      <c r="K12" s="87">
        <v>3.8</v>
      </c>
      <c r="L12" s="87">
        <v>3</v>
      </c>
      <c r="M12" s="87">
        <v>2.9</v>
      </c>
      <c r="N12" s="87">
        <v>3.8</v>
      </c>
      <c r="O12" s="87">
        <v>4.7</v>
      </c>
      <c r="P12" s="87">
        <v>4</v>
      </c>
      <c r="Q12" s="87">
        <v>3.9</v>
      </c>
      <c r="R12" s="87">
        <v>4.9000000000000004</v>
      </c>
      <c r="S12" s="87">
        <v>3.9</v>
      </c>
      <c r="T12" s="87">
        <v>4.7</v>
      </c>
      <c r="U12" s="87">
        <v>4.9000000000000004</v>
      </c>
      <c r="V12" s="87">
        <v>5.0999999999999996</v>
      </c>
      <c r="W12" s="87">
        <v>5</v>
      </c>
      <c r="X12" s="87">
        <v>4.8</v>
      </c>
      <c r="Y12" s="87">
        <v>4.9000000000000004</v>
      </c>
      <c r="Z12" s="87">
        <v>4.8</v>
      </c>
      <c r="AA12" s="87">
        <v>5.0999999999999996</v>
      </c>
      <c r="AB12" s="87">
        <v>4.9000000000000004</v>
      </c>
      <c r="AC12" s="87">
        <v>4.7</v>
      </c>
      <c r="AD12" s="87">
        <v>4.8</v>
      </c>
      <c r="AE12" s="87">
        <v>4.8</v>
      </c>
      <c r="AF12" s="87"/>
      <c r="AG12" s="82">
        <f t="shared" si="0"/>
        <v>126.60000000000001</v>
      </c>
    </row>
    <row r="13" spans="1:35" s="44" customFormat="1" ht="21" x14ac:dyDescent="0.35">
      <c r="A13" s="60" t="s">
        <v>69</v>
      </c>
      <c r="B13" s="66">
        <v>2.5</v>
      </c>
      <c r="C13" s="66">
        <v>2.7</v>
      </c>
      <c r="D13" s="66">
        <v>2.8</v>
      </c>
      <c r="E13" s="66">
        <v>2.9</v>
      </c>
      <c r="F13" s="66">
        <v>3.2</v>
      </c>
      <c r="G13" s="66">
        <v>3.5</v>
      </c>
      <c r="H13" s="66">
        <v>2.4</v>
      </c>
      <c r="I13" s="66">
        <v>2.1</v>
      </c>
      <c r="J13" s="66">
        <v>2</v>
      </c>
      <c r="K13" s="66">
        <v>2.2999999999999998</v>
      </c>
      <c r="L13" s="66">
        <v>3</v>
      </c>
      <c r="M13" s="66">
        <v>2.2000000000000002</v>
      </c>
      <c r="N13" s="66">
        <v>3.4</v>
      </c>
      <c r="O13" s="66">
        <v>3.7</v>
      </c>
      <c r="P13" s="66">
        <v>2.2999999999999998</v>
      </c>
      <c r="Q13" s="66">
        <v>2.6</v>
      </c>
      <c r="R13" s="66">
        <v>2.7</v>
      </c>
      <c r="S13" s="66">
        <v>3.3</v>
      </c>
      <c r="T13" s="66">
        <v>3.8</v>
      </c>
      <c r="U13" s="66">
        <v>2.2000000000000002</v>
      </c>
      <c r="V13" s="66">
        <v>2.4</v>
      </c>
      <c r="W13" s="66">
        <v>2.9</v>
      </c>
      <c r="X13" s="66">
        <v>1.7</v>
      </c>
      <c r="Y13" s="66">
        <v>2.8</v>
      </c>
      <c r="Z13" s="66">
        <v>3.3</v>
      </c>
      <c r="AA13" s="66">
        <v>2.7</v>
      </c>
      <c r="AB13" s="66">
        <v>1.4</v>
      </c>
      <c r="AC13" s="66">
        <v>3.2</v>
      </c>
      <c r="AD13" s="66">
        <v>2.6</v>
      </c>
      <c r="AE13" s="66">
        <v>3</v>
      </c>
      <c r="AF13" s="66"/>
      <c r="AG13" s="82">
        <f t="shared" si="0"/>
        <v>81.600000000000009</v>
      </c>
      <c r="AH13" s="48"/>
      <c r="AI13" s="48"/>
    </row>
    <row r="14" spans="1:35" s="44" customFormat="1" ht="18.75" customHeight="1" x14ac:dyDescent="0.35">
      <c r="A14" s="60" t="s">
        <v>71</v>
      </c>
      <c r="B14" s="87">
        <f>2+1.9+2.4</f>
        <v>6.3</v>
      </c>
      <c r="C14" s="87">
        <f>3+2.5+1.9</f>
        <v>7.4</v>
      </c>
      <c r="D14" s="87">
        <f>4+2.3+1.9</f>
        <v>8.1999999999999993</v>
      </c>
      <c r="E14" s="87">
        <f>3.6+2.2+1.4</f>
        <v>7.2000000000000011</v>
      </c>
      <c r="F14" s="87">
        <f>3.6+2.2+1.4</f>
        <v>7.2000000000000011</v>
      </c>
      <c r="G14" s="87">
        <f>3.9+2.2+1.4</f>
        <v>7.5</v>
      </c>
      <c r="H14" s="87">
        <f>3.6+2+1</f>
        <v>6.6</v>
      </c>
      <c r="I14" s="87">
        <f>3.3+2.1+2</f>
        <v>7.4</v>
      </c>
      <c r="J14" s="87">
        <f>2.2+3.6+2.9</f>
        <v>8.7000000000000011</v>
      </c>
      <c r="K14" s="87">
        <f>3.2+1.3+2</f>
        <v>6.5</v>
      </c>
      <c r="L14" s="87">
        <f>1+1.9+2</f>
        <v>4.9000000000000004</v>
      </c>
      <c r="M14" s="87">
        <f>3+2+1.4</f>
        <v>6.4</v>
      </c>
      <c r="N14" s="87">
        <f>3.6+2.1+4.2</f>
        <v>9.9</v>
      </c>
      <c r="O14" s="87">
        <f>3.2+1.7+2.2</f>
        <v>7.1000000000000005</v>
      </c>
      <c r="P14" s="87">
        <f>1.3+1.3+1.6</f>
        <v>4.2</v>
      </c>
      <c r="Q14" s="87">
        <f>2.2+1.4+1.2</f>
        <v>4.8</v>
      </c>
      <c r="R14" s="87">
        <f>2.9+1.7+2.9</f>
        <v>7.5</v>
      </c>
      <c r="S14" s="87">
        <f>1.7+2+1.8</f>
        <v>5.5</v>
      </c>
      <c r="T14" s="87">
        <f>2+2.9+1.7</f>
        <v>6.6000000000000005</v>
      </c>
      <c r="U14" s="87">
        <f>2.3+2+1.9</f>
        <v>6.1999999999999993</v>
      </c>
      <c r="V14" s="87">
        <f>3+2.5+1.9</f>
        <v>7.4</v>
      </c>
      <c r="W14" s="87">
        <f>3+2.1+4.2</f>
        <v>9.3000000000000007</v>
      </c>
      <c r="X14" s="87">
        <f>1.3+2+1.9</f>
        <v>5.1999999999999993</v>
      </c>
      <c r="Y14" s="88">
        <f>2+1.9+1.7</f>
        <v>5.6</v>
      </c>
      <c r="Z14" s="88">
        <f>3+2+1.9</f>
        <v>6.9</v>
      </c>
      <c r="AA14" s="88">
        <f>2.9+2+1.7</f>
        <v>6.6000000000000005</v>
      </c>
      <c r="AB14" s="88">
        <f>3.9+2+1.7</f>
        <v>7.6000000000000005</v>
      </c>
      <c r="AC14" s="88">
        <f>3+2.7+1</f>
        <v>6.7</v>
      </c>
      <c r="AD14" s="88">
        <f>2+1+2</f>
        <v>5</v>
      </c>
      <c r="AE14" s="88">
        <v>6.9</v>
      </c>
      <c r="AF14" s="88"/>
      <c r="AG14" s="82">
        <f t="shared" si="0"/>
        <v>203.29999999999998</v>
      </c>
      <c r="AH14" s="48"/>
      <c r="AI14" s="48"/>
    </row>
    <row r="15" spans="1:35" s="44" customFormat="1" ht="18.75" customHeight="1" x14ac:dyDescent="0.35">
      <c r="A15" s="60" t="s">
        <v>72</v>
      </c>
      <c r="B15" s="76">
        <v>5.2</v>
      </c>
      <c r="C15" s="76">
        <v>4.8</v>
      </c>
      <c r="D15" s="76">
        <v>4.8</v>
      </c>
      <c r="E15" s="76">
        <v>4.2</v>
      </c>
      <c r="F15" s="76">
        <v>4.0999999999999996</v>
      </c>
      <c r="G15" s="76">
        <v>4.3</v>
      </c>
      <c r="H15" s="76">
        <v>2.5</v>
      </c>
      <c r="I15" s="76">
        <v>3</v>
      </c>
      <c r="J15" s="76">
        <v>4.8</v>
      </c>
      <c r="K15" s="76">
        <v>4.5</v>
      </c>
      <c r="L15" s="76">
        <v>3.8</v>
      </c>
      <c r="M15" s="76">
        <v>2.8</v>
      </c>
      <c r="N15" s="76">
        <v>3.5</v>
      </c>
      <c r="O15" s="76">
        <v>2.9</v>
      </c>
      <c r="P15" s="76">
        <v>4.9000000000000004</v>
      </c>
      <c r="Q15" s="76">
        <v>4.5</v>
      </c>
      <c r="R15" s="76">
        <v>4.5</v>
      </c>
      <c r="S15" s="76">
        <v>4.2</v>
      </c>
      <c r="T15" s="76">
        <v>4.0999999999999996</v>
      </c>
      <c r="U15" s="76">
        <v>4.5</v>
      </c>
      <c r="V15" s="76">
        <v>2.1</v>
      </c>
      <c r="W15" s="76">
        <v>2.5</v>
      </c>
      <c r="X15" s="76">
        <v>3.6</v>
      </c>
      <c r="Y15" s="76">
        <v>4.0999999999999996</v>
      </c>
      <c r="Z15" s="76">
        <v>4</v>
      </c>
      <c r="AA15" s="76">
        <v>3.1</v>
      </c>
      <c r="AB15" s="76">
        <v>2.1</v>
      </c>
      <c r="AC15" s="76">
        <v>4.2</v>
      </c>
      <c r="AD15" s="76">
        <v>4.9000000000000004</v>
      </c>
      <c r="AE15" s="76">
        <v>5.0999999999999996</v>
      </c>
      <c r="AF15" s="87"/>
      <c r="AG15" s="82">
        <f t="shared" si="0"/>
        <v>117.59999999999997</v>
      </c>
      <c r="AH15" s="48"/>
      <c r="AI15" s="48"/>
    </row>
    <row r="16" spans="1:35" s="44" customFormat="1" ht="18.75" customHeight="1" x14ac:dyDescent="0.35">
      <c r="A16" s="60" t="s">
        <v>85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2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2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87">
        <v>2.1</v>
      </c>
      <c r="C18" s="87">
        <v>1.7</v>
      </c>
      <c r="D18" s="87">
        <v>1.5</v>
      </c>
      <c r="E18" s="87">
        <v>1.2</v>
      </c>
      <c r="F18" s="87">
        <v>1.6</v>
      </c>
      <c r="G18" s="87">
        <v>1.4</v>
      </c>
      <c r="H18" s="87">
        <v>1.2</v>
      </c>
      <c r="I18" s="87">
        <v>1</v>
      </c>
      <c r="J18" s="87">
        <v>1.8</v>
      </c>
      <c r="K18" s="87">
        <v>1.6</v>
      </c>
      <c r="L18" s="87">
        <v>1.3</v>
      </c>
      <c r="M18" s="87">
        <v>2.2000000000000002</v>
      </c>
      <c r="N18" s="87">
        <v>1.8</v>
      </c>
      <c r="O18" s="87">
        <v>1.3</v>
      </c>
      <c r="P18" s="87">
        <v>1.9</v>
      </c>
      <c r="Q18" s="87">
        <v>1.6</v>
      </c>
      <c r="R18" s="87">
        <v>1.3</v>
      </c>
      <c r="S18" s="87">
        <v>1.5</v>
      </c>
      <c r="T18" s="87">
        <v>2</v>
      </c>
      <c r="U18" s="87">
        <v>2.8</v>
      </c>
      <c r="V18" s="87">
        <v>2.4</v>
      </c>
      <c r="W18" s="87">
        <v>1.6</v>
      </c>
      <c r="X18" s="87">
        <v>2.2999999999999998</v>
      </c>
      <c r="Y18" s="87">
        <v>1.3</v>
      </c>
      <c r="Z18" s="87">
        <v>1.2</v>
      </c>
      <c r="AA18" s="87">
        <v>1.3</v>
      </c>
      <c r="AB18" s="87">
        <v>1.7</v>
      </c>
      <c r="AC18" s="87">
        <v>1.7</v>
      </c>
      <c r="AD18" s="87">
        <v>1.9</v>
      </c>
      <c r="AE18" s="87">
        <v>1.5</v>
      </c>
      <c r="AF18" s="87"/>
      <c r="AG18" s="82">
        <f t="shared" si="0"/>
        <v>49.699999999999996</v>
      </c>
      <c r="AH18" s="48"/>
      <c r="AI18" s="48"/>
    </row>
    <row r="19" spans="1:35" s="44" customFormat="1" ht="18.75" customHeight="1" x14ac:dyDescent="0.35">
      <c r="A19" s="60" t="s">
        <v>92</v>
      </c>
      <c r="B19" s="87">
        <v>1.3</v>
      </c>
      <c r="C19" s="87">
        <v>1.9</v>
      </c>
      <c r="D19" s="87">
        <v>1.3</v>
      </c>
      <c r="E19" s="87">
        <v>1.4</v>
      </c>
      <c r="F19" s="87">
        <v>1.2</v>
      </c>
      <c r="G19" s="87">
        <v>2.1</v>
      </c>
      <c r="H19" s="87">
        <v>2.2999999999999998</v>
      </c>
      <c r="I19" s="87">
        <v>1.9</v>
      </c>
      <c r="J19" s="87">
        <v>1.3</v>
      </c>
      <c r="K19" s="87">
        <v>2.1</v>
      </c>
      <c r="L19" s="87">
        <v>2.4</v>
      </c>
      <c r="M19" s="87">
        <v>1.3</v>
      </c>
      <c r="N19" s="87">
        <v>1.8</v>
      </c>
      <c r="O19" s="87">
        <v>1.7</v>
      </c>
      <c r="P19" s="87">
        <v>2.1</v>
      </c>
      <c r="Q19" s="87">
        <v>2.2999999999999998</v>
      </c>
      <c r="R19" s="87">
        <v>2.5</v>
      </c>
      <c r="S19" s="87">
        <v>3.1</v>
      </c>
      <c r="T19" s="87">
        <v>2.2000000000000002</v>
      </c>
      <c r="U19" s="87">
        <v>2.1</v>
      </c>
      <c r="V19" s="87">
        <v>2.4</v>
      </c>
      <c r="W19" s="87">
        <v>2.9</v>
      </c>
      <c r="X19" s="87">
        <v>1.5</v>
      </c>
      <c r="Y19" s="87">
        <v>2.1</v>
      </c>
      <c r="Z19" s="87">
        <v>2.1</v>
      </c>
      <c r="AA19" s="87">
        <v>3.1</v>
      </c>
      <c r="AB19" s="87">
        <v>2.1</v>
      </c>
      <c r="AC19" s="87">
        <v>2.1</v>
      </c>
      <c r="AD19" s="87">
        <v>2.4</v>
      </c>
      <c r="AE19" s="87">
        <v>2.9</v>
      </c>
      <c r="AF19" s="87"/>
      <c r="AG19" s="82">
        <f t="shared" si="0"/>
        <v>61.900000000000006</v>
      </c>
      <c r="AH19" s="48"/>
      <c r="AI19" s="48"/>
    </row>
    <row r="20" spans="1:35" s="44" customFormat="1" ht="18.75" customHeight="1" x14ac:dyDescent="0.35">
      <c r="A20" s="60" t="s">
        <v>89</v>
      </c>
      <c r="B20" s="87">
        <v>4.9000000000000004</v>
      </c>
      <c r="C20" s="87">
        <v>5.7</v>
      </c>
      <c r="D20" s="87">
        <v>4.3</v>
      </c>
      <c r="E20" s="87">
        <v>4.7</v>
      </c>
      <c r="F20" s="87">
        <v>4.0999999999999996</v>
      </c>
      <c r="G20" s="87">
        <v>5.0999999999999996</v>
      </c>
      <c r="H20" s="87">
        <v>4.3</v>
      </c>
      <c r="I20" s="87">
        <v>3.9</v>
      </c>
      <c r="J20" s="87">
        <v>4.9000000000000004</v>
      </c>
      <c r="K20" s="87">
        <v>6.1</v>
      </c>
      <c r="L20" s="87">
        <v>7.4</v>
      </c>
      <c r="M20" s="87">
        <v>4.7</v>
      </c>
      <c r="N20" s="87">
        <v>5.2</v>
      </c>
      <c r="O20" s="87">
        <v>4.2</v>
      </c>
      <c r="P20" s="87">
        <v>4.9000000000000004</v>
      </c>
      <c r="Q20" s="87">
        <v>4.8</v>
      </c>
      <c r="R20" s="87">
        <v>4.3</v>
      </c>
      <c r="S20" s="87">
        <v>4.7</v>
      </c>
      <c r="T20" s="87">
        <v>4.0999999999999996</v>
      </c>
      <c r="U20" s="87">
        <v>5.0999999999999996</v>
      </c>
      <c r="V20" s="87">
        <v>5.0999999999999996</v>
      </c>
      <c r="W20" s="87">
        <v>4</v>
      </c>
      <c r="X20" s="87">
        <v>3.8</v>
      </c>
      <c r="Y20" s="87">
        <v>4.5</v>
      </c>
      <c r="Z20" s="87">
        <v>4.0999999999999996</v>
      </c>
      <c r="AA20" s="87">
        <v>3.9</v>
      </c>
      <c r="AB20" s="87">
        <v>5.7</v>
      </c>
      <c r="AC20" s="87">
        <v>3.9</v>
      </c>
      <c r="AD20" s="87">
        <v>5.6</v>
      </c>
      <c r="AE20" s="87">
        <v>7.1</v>
      </c>
      <c r="AF20" s="87"/>
      <c r="AG20" s="82">
        <f t="shared" si="0"/>
        <v>145.09999999999997</v>
      </c>
      <c r="AH20" s="48"/>
      <c r="AI20" s="48"/>
    </row>
    <row r="21" spans="1:35" s="44" customFormat="1" ht="18.75" customHeight="1" x14ac:dyDescent="0.35">
      <c r="A21" s="60" t="s">
        <v>74</v>
      </c>
      <c r="B21" s="87">
        <f>2.3+1.6</f>
        <v>3.9</v>
      </c>
      <c r="C21" s="87">
        <f>2.7+1.9</f>
        <v>4.5999999999999996</v>
      </c>
      <c r="D21" s="87">
        <f>1.9+2.3</f>
        <v>4.1999999999999993</v>
      </c>
      <c r="E21" s="87">
        <f>2.6+1.4</f>
        <v>4</v>
      </c>
      <c r="F21" s="87">
        <f>2.2+2.9</f>
        <v>5.0999999999999996</v>
      </c>
      <c r="G21" s="87">
        <f>2.4+1.3</f>
        <v>3.7</v>
      </c>
      <c r="H21" s="87">
        <f>1.3+2.5</f>
        <v>3.8</v>
      </c>
      <c r="I21" s="87">
        <f>3+1.9</f>
        <v>4.9000000000000004</v>
      </c>
      <c r="J21" s="87">
        <f>2.9+1.9</f>
        <v>4.8</v>
      </c>
      <c r="K21" s="87">
        <f>2.6+2.4</f>
        <v>5</v>
      </c>
      <c r="L21" s="87">
        <f>3+1</f>
        <v>4</v>
      </c>
      <c r="M21" s="87">
        <f>1.7+2.2</f>
        <v>3.9000000000000004</v>
      </c>
      <c r="N21" s="87">
        <f>2.9+1.6</f>
        <v>4.5</v>
      </c>
      <c r="O21" s="87">
        <f>3.6+2.4</f>
        <v>6</v>
      </c>
      <c r="P21" s="87">
        <f>2.9+3.6</f>
        <v>6.5</v>
      </c>
      <c r="Q21" s="87">
        <f>1.9+2.9</f>
        <v>4.8</v>
      </c>
      <c r="R21" s="87">
        <f>2.9+1.3</f>
        <v>4.2</v>
      </c>
      <c r="S21" s="87">
        <f>3+1</f>
        <v>4</v>
      </c>
      <c r="T21" s="87">
        <f>2.9+0.9</f>
        <v>3.8</v>
      </c>
      <c r="U21" s="87">
        <f>3+2.3</f>
        <v>5.3</v>
      </c>
      <c r="V21" s="87">
        <f>3.1+1.4</f>
        <v>4.5</v>
      </c>
      <c r="W21" s="87">
        <f>3.7+1.6</f>
        <v>5.3000000000000007</v>
      </c>
      <c r="X21" s="87">
        <f>3.6+1.4</f>
        <v>5</v>
      </c>
      <c r="Y21" s="87">
        <f>2.2+2.2</f>
        <v>4.4000000000000004</v>
      </c>
      <c r="Z21" s="87">
        <f>2.9+2.6</f>
        <v>5.5</v>
      </c>
      <c r="AA21" s="87">
        <f>3.7+2.9</f>
        <v>6.6</v>
      </c>
      <c r="AB21" s="87">
        <f>2.3+1.9</f>
        <v>4.1999999999999993</v>
      </c>
      <c r="AC21" s="87">
        <f>3+2.3</f>
        <v>5.3</v>
      </c>
      <c r="AD21" s="87">
        <f>2.2+1.9</f>
        <v>4.0999999999999996</v>
      </c>
      <c r="AE21" s="87">
        <f>3+2.6</f>
        <v>5.6</v>
      </c>
      <c r="AF21" s="87"/>
      <c r="AG21" s="82">
        <f t="shared" si="0"/>
        <v>141.49999999999997</v>
      </c>
      <c r="AH21" s="48"/>
      <c r="AI21" s="48"/>
    </row>
    <row r="22" spans="1:35" s="44" customFormat="1" ht="18.75" customHeight="1" x14ac:dyDescent="0.35">
      <c r="A22" s="60" t="s">
        <v>75</v>
      </c>
      <c r="B22" s="87">
        <v>3.4</v>
      </c>
      <c r="C22" s="87">
        <v>4.3</v>
      </c>
      <c r="D22" s="87">
        <v>3.4</v>
      </c>
      <c r="E22" s="87">
        <v>3.4</v>
      </c>
      <c r="F22" s="87">
        <v>4.0999999999999996</v>
      </c>
      <c r="G22" s="87">
        <v>4.0999999999999996</v>
      </c>
      <c r="H22" s="87"/>
      <c r="I22" s="87">
        <v>4.5</v>
      </c>
      <c r="J22" s="87">
        <v>3.6</v>
      </c>
      <c r="K22" s="87">
        <v>3</v>
      </c>
      <c r="L22" s="87">
        <v>2.9</v>
      </c>
      <c r="M22" s="87">
        <v>4.3</v>
      </c>
      <c r="N22" s="87">
        <v>4</v>
      </c>
      <c r="O22" s="87"/>
      <c r="P22" s="87">
        <v>3.8</v>
      </c>
      <c r="Q22" s="87">
        <v>3</v>
      </c>
      <c r="R22" s="87">
        <v>3.4</v>
      </c>
      <c r="S22" s="87">
        <v>3</v>
      </c>
      <c r="T22" s="87">
        <v>2.8</v>
      </c>
      <c r="U22" s="87">
        <v>2</v>
      </c>
      <c r="V22" s="87"/>
      <c r="W22" s="87">
        <v>4.5</v>
      </c>
      <c r="X22" s="87">
        <v>4</v>
      </c>
      <c r="Y22" s="87">
        <v>3.3</v>
      </c>
      <c r="Z22" s="87">
        <v>3</v>
      </c>
      <c r="AA22" s="87">
        <v>2.8</v>
      </c>
      <c r="AB22" s="87">
        <v>4.5999999999999996</v>
      </c>
      <c r="AC22" s="87"/>
      <c r="AD22" s="87">
        <v>4</v>
      </c>
      <c r="AE22" s="87">
        <v>3.5</v>
      </c>
      <c r="AF22" s="87"/>
      <c r="AG22" s="82">
        <f t="shared" si="0"/>
        <v>92.699999999999989</v>
      </c>
      <c r="AH22" s="48"/>
      <c r="AI22" s="48"/>
    </row>
    <row r="23" spans="1:35" s="44" customFormat="1" ht="18.75" customHeight="1" x14ac:dyDescent="0.35">
      <c r="A23" s="60" t="s">
        <v>77</v>
      </c>
      <c r="B23" s="87">
        <v>1</v>
      </c>
      <c r="C23" s="87">
        <v>1.3</v>
      </c>
      <c r="D23" s="87">
        <v>0.8</v>
      </c>
      <c r="E23" s="87">
        <v>0.6</v>
      </c>
      <c r="F23" s="87"/>
      <c r="G23" s="87"/>
      <c r="H23" s="87">
        <v>0.9</v>
      </c>
      <c r="I23" s="87">
        <v>0.8</v>
      </c>
      <c r="J23" s="87">
        <v>1.1000000000000001</v>
      </c>
      <c r="K23" s="87">
        <v>1.9</v>
      </c>
      <c r="L23" s="87">
        <v>1.4</v>
      </c>
      <c r="M23" s="87">
        <v>1.3</v>
      </c>
      <c r="N23" s="87"/>
      <c r="O23" s="87"/>
      <c r="P23" s="87"/>
      <c r="Q23" s="87">
        <v>0.3</v>
      </c>
      <c r="R23" s="87">
        <v>0.6</v>
      </c>
      <c r="S23" s="87">
        <v>0.8</v>
      </c>
      <c r="T23" s="87">
        <v>0.5</v>
      </c>
      <c r="U23" s="87"/>
      <c r="V23" s="87"/>
      <c r="W23" s="87"/>
      <c r="X23" s="87">
        <v>1.4</v>
      </c>
      <c r="Y23" s="87">
        <v>1.7</v>
      </c>
      <c r="Z23" s="87">
        <v>1.9</v>
      </c>
      <c r="AA23" s="87">
        <v>2.2000000000000002</v>
      </c>
      <c r="AB23" s="87">
        <v>2.2999999999999998</v>
      </c>
      <c r="AC23" s="87"/>
      <c r="AD23" s="87"/>
      <c r="AE23" s="87"/>
      <c r="AF23" s="87"/>
      <c r="AG23" s="82">
        <f t="shared" si="0"/>
        <v>22.8</v>
      </c>
      <c r="AH23" s="48"/>
      <c r="AI23" s="48"/>
    </row>
    <row r="24" spans="1:35" s="44" customFormat="1" ht="18.75" customHeight="1" x14ac:dyDescent="0.35">
      <c r="A24" s="60" t="s">
        <v>78</v>
      </c>
      <c r="B24" s="87">
        <v>5</v>
      </c>
      <c r="C24" s="87">
        <v>6</v>
      </c>
      <c r="D24" s="87">
        <v>6</v>
      </c>
      <c r="E24" s="87">
        <v>7</v>
      </c>
      <c r="F24" s="87">
        <v>5</v>
      </c>
      <c r="G24" s="87">
        <v>6</v>
      </c>
      <c r="H24" s="87">
        <v>6</v>
      </c>
      <c r="I24" s="87">
        <v>7</v>
      </c>
      <c r="J24" s="87">
        <v>6</v>
      </c>
      <c r="K24" s="87">
        <v>5</v>
      </c>
      <c r="L24" s="87">
        <v>5</v>
      </c>
      <c r="M24" s="87">
        <v>5</v>
      </c>
      <c r="N24" s="87">
        <v>6</v>
      </c>
      <c r="O24" s="87">
        <v>6</v>
      </c>
      <c r="P24" s="87">
        <v>6</v>
      </c>
      <c r="Q24" s="87">
        <v>5</v>
      </c>
      <c r="R24" s="87">
        <v>6</v>
      </c>
      <c r="S24" s="87">
        <v>7</v>
      </c>
      <c r="T24" s="87">
        <v>6</v>
      </c>
      <c r="U24" s="87">
        <v>6</v>
      </c>
      <c r="V24" s="87">
        <v>7</v>
      </c>
      <c r="W24" s="87">
        <v>7</v>
      </c>
      <c r="X24" s="87">
        <v>6</v>
      </c>
      <c r="Y24" s="87">
        <v>6</v>
      </c>
      <c r="Z24" s="87">
        <v>4</v>
      </c>
      <c r="AA24" s="87">
        <v>5</v>
      </c>
      <c r="AB24" s="87">
        <v>6</v>
      </c>
      <c r="AC24" s="87">
        <v>5</v>
      </c>
      <c r="AD24" s="87">
        <v>5</v>
      </c>
      <c r="AE24" s="87">
        <v>6</v>
      </c>
      <c r="AF24" s="87"/>
      <c r="AG24" s="82">
        <f t="shared" si="0"/>
        <v>174</v>
      </c>
      <c r="AH24" s="48"/>
      <c r="AI24" s="48"/>
    </row>
    <row r="25" spans="1:35" s="44" customFormat="1" ht="18.75" customHeight="1" x14ac:dyDescent="0.35">
      <c r="A25" s="116" t="s">
        <v>79</v>
      </c>
      <c r="B25" s="87">
        <v>1</v>
      </c>
      <c r="C25" s="87">
        <v>0.3</v>
      </c>
      <c r="D25" s="87">
        <v>0.4</v>
      </c>
      <c r="E25" s="87">
        <v>0.5</v>
      </c>
      <c r="F25" s="87">
        <v>0.8</v>
      </c>
      <c r="G25" s="87">
        <v>1</v>
      </c>
      <c r="H25" s="87">
        <v>0.7</v>
      </c>
      <c r="I25" s="87">
        <v>0.8</v>
      </c>
      <c r="J25" s="87">
        <v>1.1000000000000001</v>
      </c>
      <c r="K25" s="87">
        <v>0.9</v>
      </c>
      <c r="L25" s="87">
        <v>0.7</v>
      </c>
      <c r="M25" s="87">
        <v>0.8</v>
      </c>
      <c r="N25" s="87">
        <v>0.4</v>
      </c>
      <c r="O25" s="87">
        <v>2.2000000000000002</v>
      </c>
      <c r="P25" s="87">
        <v>2</v>
      </c>
      <c r="Q25" s="87">
        <v>2.6</v>
      </c>
      <c r="R25" s="87">
        <v>1</v>
      </c>
      <c r="S25" s="87">
        <v>0.4</v>
      </c>
      <c r="T25" s="87">
        <v>0.7</v>
      </c>
      <c r="U25" s="87">
        <v>0.8</v>
      </c>
      <c r="V25" s="87">
        <v>1</v>
      </c>
      <c r="W25" s="87">
        <v>1.4</v>
      </c>
      <c r="X25" s="87">
        <v>1.7</v>
      </c>
      <c r="Y25" s="87">
        <v>1.8</v>
      </c>
      <c r="Z25" s="87">
        <v>1.9</v>
      </c>
      <c r="AA25" s="87">
        <v>0.4</v>
      </c>
      <c r="AB25" s="87">
        <v>2</v>
      </c>
      <c r="AC25" s="87">
        <v>2.2000000000000002</v>
      </c>
      <c r="AD25" s="87">
        <v>1.5</v>
      </c>
      <c r="AE25" s="87">
        <v>1</v>
      </c>
      <c r="AF25" s="87">
        <v>1.1000000000000001</v>
      </c>
      <c r="AG25" s="82">
        <f t="shared" si="0"/>
        <v>35.1</v>
      </c>
      <c r="AH25" s="48"/>
      <c r="AI25" s="48"/>
    </row>
    <row r="26" spans="1:35" s="44" customFormat="1" ht="18.75" customHeight="1" x14ac:dyDescent="0.35">
      <c r="A26" s="60" t="s">
        <v>154</v>
      </c>
      <c r="B26" s="76">
        <v>1.7</v>
      </c>
      <c r="C26" s="122">
        <v>1.9</v>
      </c>
      <c r="D26" s="122">
        <v>1.3</v>
      </c>
      <c r="E26" s="76">
        <v>2.1</v>
      </c>
      <c r="F26" s="122">
        <v>2.2000000000000002</v>
      </c>
      <c r="G26" s="122">
        <v>1.9</v>
      </c>
      <c r="H26" s="76">
        <v>2.2999999999999998</v>
      </c>
      <c r="I26" s="76">
        <v>3.1</v>
      </c>
      <c r="J26" s="76">
        <v>3</v>
      </c>
      <c r="K26" s="122">
        <v>2.1</v>
      </c>
      <c r="L26" s="122">
        <v>3.1</v>
      </c>
      <c r="M26" s="76">
        <v>2.1</v>
      </c>
      <c r="N26" s="76">
        <v>2</v>
      </c>
      <c r="O26" s="122">
        <v>2</v>
      </c>
      <c r="P26" s="122"/>
      <c r="Q26" s="122">
        <v>2.1</v>
      </c>
      <c r="R26" s="122">
        <v>1.9</v>
      </c>
      <c r="S26" s="76">
        <v>2.2999999999999998</v>
      </c>
      <c r="T26" s="76">
        <v>1.9</v>
      </c>
      <c r="U26" s="122"/>
      <c r="V26" s="122"/>
      <c r="W26" s="122"/>
      <c r="X26" s="122">
        <v>2</v>
      </c>
      <c r="Y26" s="122">
        <v>2</v>
      </c>
      <c r="Z26" s="76">
        <v>1.9</v>
      </c>
      <c r="AA26" s="76">
        <v>1.8</v>
      </c>
      <c r="AB26" s="76">
        <v>2</v>
      </c>
      <c r="AC26" s="122"/>
      <c r="AD26" s="122"/>
      <c r="AE26" s="122">
        <v>1.3</v>
      </c>
      <c r="AF26" s="76"/>
      <c r="AG26" s="82">
        <f t="shared" si="0"/>
        <v>49.999999999999993</v>
      </c>
      <c r="AH26" s="48"/>
      <c r="AI26" s="48"/>
    </row>
    <row r="27" spans="1:35" s="44" customFormat="1" ht="18.75" customHeight="1" x14ac:dyDescent="0.35">
      <c r="A27" s="60" t="s">
        <v>80</v>
      </c>
      <c r="B27" s="76">
        <v>2.6</v>
      </c>
      <c r="C27" s="76">
        <v>2.9</v>
      </c>
      <c r="D27" s="76">
        <v>3</v>
      </c>
      <c r="E27" s="76">
        <v>3.4</v>
      </c>
      <c r="F27" s="76">
        <v>2.5</v>
      </c>
      <c r="G27" s="76">
        <v>2.2999999999999998</v>
      </c>
      <c r="H27" s="76">
        <v>2.7</v>
      </c>
      <c r="I27" s="76">
        <v>3.5</v>
      </c>
      <c r="J27" s="76">
        <v>1.5</v>
      </c>
      <c r="K27" s="76">
        <v>1.9</v>
      </c>
      <c r="L27" s="76">
        <v>2.4</v>
      </c>
      <c r="M27" s="76">
        <v>2.9</v>
      </c>
      <c r="N27" s="76">
        <v>2.7</v>
      </c>
      <c r="O27" s="76">
        <v>2.6</v>
      </c>
      <c r="P27" s="76">
        <v>2</v>
      </c>
      <c r="Q27" s="76">
        <v>1.8</v>
      </c>
      <c r="R27" s="76">
        <v>3.2</v>
      </c>
      <c r="S27" s="76">
        <v>3.5</v>
      </c>
      <c r="T27" s="76">
        <v>2.8</v>
      </c>
      <c r="U27" s="76">
        <v>3</v>
      </c>
      <c r="V27" s="76">
        <v>2.6</v>
      </c>
      <c r="W27" s="76">
        <v>2.4</v>
      </c>
      <c r="X27" s="76">
        <v>2.5</v>
      </c>
      <c r="Y27" s="76">
        <v>1.8</v>
      </c>
      <c r="Z27" s="76">
        <v>2.7</v>
      </c>
      <c r="AA27" s="76">
        <v>3.1</v>
      </c>
      <c r="AB27" s="76">
        <v>2.6</v>
      </c>
      <c r="AC27" s="76">
        <v>1.9</v>
      </c>
      <c r="AD27" s="76">
        <v>2.4</v>
      </c>
      <c r="AE27" s="76">
        <v>2</v>
      </c>
      <c r="AF27" s="76"/>
      <c r="AG27" s="82">
        <f t="shared" si="0"/>
        <v>77.199999999999989</v>
      </c>
      <c r="AH27" s="48"/>
      <c r="AI27" s="48"/>
    </row>
    <row r="28" spans="1:35" s="44" customFormat="1" ht="18.75" customHeight="1" x14ac:dyDescent="0.35">
      <c r="A28" s="60" t="s">
        <v>76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82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6">
        <f>3.5+2.5+1</f>
        <v>7</v>
      </c>
      <c r="C29" s="76">
        <f>4.5+2.5+1.5</f>
        <v>8.5</v>
      </c>
      <c r="D29" s="76">
        <f>2.5+1.5+2</f>
        <v>6</v>
      </c>
      <c r="E29" s="76">
        <f>3.5+3+2</f>
        <v>8.5</v>
      </c>
      <c r="F29" s="76">
        <f>4.8+3+2</f>
        <v>9.8000000000000007</v>
      </c>
      <c r="G29" s="76">
        <f>3.5+2+1.5</f>
        <v>7</v>
      </c>
      <c r="H29" s="76">
        <f>3.5+2+1.5</f>
        <v>7</v>
      </c>
      <c r="I29" s="76">
        <f>3.9+2.5+1.8</f>
        <v>8.2000000000000011</v>
      </c>
      <c r="J29" s="76">
        <f>3.8+2.5+1.5</f>
        <v>7.8</v>
      </c>
      <c r="K29" s="76">
        <f>4+3.5+2</f>
        <v>9.5</v>
      </c>
      <c r="L29" s="76">
        <f>4.5+2.5+1.5</f>
        <v>8.5</v>
      </c>
      <c r="M29" s="76">
        <f>3.4+5.6+3.8</f>
        <v>12.8</v>
      </c>
      <c r="N29" s="76">
        <f>4.5+3.8+4.9</f>
        <v>13.200000000000001</v>
      </c>
      <c r="O29" s="76">
        <f>3.9+4.6+4.5</f>
        <v>13</v>
      </c>
      <c r="P29" s="76">
        <f>5.3+3.8+4.1</f>
        <v>13.2</v>
      </c>
      <c r="Q29" s="76">
        <f>3.3+2.2+2.8</f>
        <v>8.3000000000000007</v>
      </c>
      <c r="R29" s="76">
        <f>4.8+2.3+3.4</f>
        <v>10.5</v>
      </c>
      <c r="S29" s="76">
        <f>4.5+2.2+3.1</f>
        <v>9.8000000000000007</v>
      </c>
      <c r="T29" s="76">
        <f>4.3+2.2+3.1</f>
        <v>9.6</v>
      </c>
      <c r="U29" s="76">
        <f>4.5+3.9+8.3</f>
        <v>16.700000000000003</v>
      </c>
      <c r="V29" s="76">
        <f>5.3+2.2+4.5</f>
        <v>12</v>
      </c>
      <c r="W29" s="76">
        <f>8.3+2.3+4.8</f>
        <v>15.400000000000002</v>
      </c>
      <c r="X29" s="76">
        <f>3.4+5.5+6.3</f>
        <v>15.2</v>
      </c>
      <c r="Y29" s="76">
        <f>3.8+2.5+4.1</f>
        <v>10.399999999999999</v>
      </c>
      <c r="Z29" s="76">
        <f>6.1+8.3+6.4</f>
        <v>20.8</v>
      </c>
      <c r="AA29" s="76">
        <f>3.8+2.5+6.1</f>
        <v>12.399999999999999</v>
      </c>
      <c r="AB29" s="76">
        <f>3.8+3.5+2.6</f>
        <v>9.9</v>
      </c>
      <c r="AC29" s="76">
        <f>4.3+3.8+2.5</f>
        <v>10.6</v>
      </c>
      <c r="AD29" s="76">
        <f>4.5+3.1+2.8</f>
        <v>10.399999999999999</v>
      </c>
      <c r="AE29" s="76">
        <f>4.5+2.2+3.5</f>
        <v>10.199999999999999</v>
      </c>
      <c r="AF29" s="76"/>
      <c r="AG29" s="82">
        <f t="shared" si="0"/>
        <v>322.2</v>
      </c>
      <c r="AH29" s="48"/>
      <c r="AI29" s="48"/>
    </row>
    <row r="30" spans="1:35" s="44" customFormat="1" ht="18.75" customHeight="1" x14ac:dyDescent="0.35">
      <c r="A30" s="60" t="s">
        <v>86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82">
        <f t="shared" si="0"/>
        <v>0</v>
      </c>
      <c r="AH30" s="48"/>
      <c r="AI30" s="48"/>
    </row>
    <row r="31" spans="1:35" s="44" customFormat="1" ht="18.75" customHeight="1" x14ac:dyDescent="0.35">
      <c r="A31" s="116" t="s">
        <v>82</v>
      </c>
      <c r="B31" s="123"/>
      <c r="C31" s="123"/>
      <c r="D31" s="123"/>
      <c r="E31" s="123"/>
      <c r="F31" s="123"/>
      <c r="G31" s="123"/>
      <c r="H31" s="123"/>
      <c r="I31" s="123"/>
      <c r="J31" s="123"/>
      <c r="K31" s="123"/>
      <c r="L31" s="123"/>
      <c r="M31" s="123"/>
      <c r="N31" s="123"/>
      <c r="O31" s="123"/>
      <c r="P31" s="123"/>
      <c r="Q31" s="123"/>
      <c r="R31" s="123"/>
      <c r="S31" s="123"/>
      <c r="T31" s="123"/>
      <c r="U31" s="123"/>
      <c r="V31" s="123"/>
      <c r="W31" s="123"/>
      <c r="X31" s="123"/>
      <c r="Y31" s="123"/>
      <c r="Z31" s="123"/>
      <c r="AA31" s="123"/>
      <c r="AB31" s="123"/>
      <c r="AC31" s="123"/>
      <c r="AD31" s="123"/>
      <c r="AE31" s="123"/>
      <c r="AF31" s="123"/>
      <c r="AG31" s="82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106"/>
      <c r="C32" s="88"/>
      <c r="D32" s="88"/>
      <c r="E32" s="88"/>
      <c r="F32" s="106"/>
      <c r="G32" s="88"/>
      <c r="H32" s="88"/>
      <c r="I32" s="106"/>
      <c r="J32" s="88"/>
      <c r="K32" s="88"/>
      <c r="L32" s="88"/>
      <c r="M32" s="106"/>
      <c r="N32" s="88"/>
      <c r="O32" s="88"/>
      <c r="P32" s="106"/>
      <c r="Q32" s="106"/>
      <c r="R32" s="106"/>
      <c r="S32" s="106"/>
      <c r="T32" s="88"/>
      <c r="U32" s="106"/>
      <c r="V32" s="106"/>
      <c r="W32" s="106"/>
      <c r="X32" s="106"/>
      <c r="Y32" s="106"/>
      <c r="Z32" s="88"/>
      <c r="AA32" s="88"/>
      <c r="AB32" s="115"/>
      <c r="AC32" s="106"/>
      <c r="AD32" s="106"/>
      <c r="AE32" s="106"/>
      <c r="AF32" s="106"/>
      <c r="AG32" s="82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87">
        <f>SUM(B3:B32)</f>
        <v>72</v>
      </c>
      <c r="C33" s="87">
        <f t="shared" ref="C33:AF33" si="1">SUM(C3:C32)</f>
        <v>79.500000000000014</v>
      </c>
      <c r="D33" s="87">
        <f t="shared" si="1"/>
        <v>75.899999999999991</v>
      </c>
      <c r="E33" s="87">
        <f t="shared" si="1"/>
        <v>75.300000000000011</v>
      </c>
      <c r="F33" s="87">
        <f t="shared" si="1"/>
        <v>77.400000000000006</v>
      </c>
      <c r="G33" s="87">
        <f t="shared" si="1"/>
        <v>75.900000000000006</v>
      </c>
      <c r="H33" s="87">
        <f t="shared" si="1"/>
        <v>60.599999999999994</v>
      </c>
      <c r="I33" s="87">
        <f t="shared" si="1"/>
        <v>85.199999999999989</v>
      </c>
      <c r="J33" s="87">
        <f t="shared" si="1"/>
        <v>83.299999999999983</v>
      </c>
      <c r="K33" s="87">
        <f t="shared" si="1"/>
        <v>83</v>
      </c>
      <c r="L33" s="87">
        <f t="shared" si="1"/>
        <v>82.59999999999998</v>
      </c>
      <c r="M33" s="87">
        <f t="shared" si="1"/>
        <v>84.1</v>
      </c>
      <c r="N33" s="87">
        <f t="shared" si="1"/>
        <v>88.700000000000017</v>
      </c>
      <c r="O33" s="87">
        <f t="shared" si="1"/>
        <v>83.8</v>
      </c>
      <c r="P33" s="87">
        <f t="shared" si="1"/>
        <v>80.8</v>
      </c>
      <c r="Q33" s="87">
        <f t="shared" si="1"/>
        <v>78.899999999999977</v>
      </c>
      <c r="R33" s="87">
        <f t="shared" si="1"/>
        <v>83.7</v>
      </c>
      <c r="S33" s="87">
        <f t="shared" si="1"/>
        <v>82.300000000000011</v>
      </c>
      <c r="T33" s="87">
        <f t="shared" si="1"/>
        <v>83.5</v>
      </c>
      <c r="U33" s="87">
        <f t="shared" si="1"/>
        <v>90</v>
      </c>
      <c r="V33" s="87">
        <f t="shared" si="1"/>
        <v>71.699999999999989</v>
      </c>
      <c r="W33" s="87">
        <f t="shared" si="1"/>
        <v>86.700000000000017</v>
      </c>
      <c r="X33" s="87">
        <f t="shared" si="1"/>
        <v>89.1</v>
      </c>
      <c r="Y33" s="87">
        <f t="shared" si="1"/>
        <v>85.299999999999983</v>
      </c>
      <c r="Z33" s="87">
        <f t="shared" si="1"/>
        <v>88.800000000000011</v>
      </c>
      <c r="AA33" s="87">
        <f t="shared" si="1"/>
        <v>87.800000000000011</v>
      </c>
      <c r="AB33" s="87">
        <f t="shared" si="1"/>
        <v>86.500000000000014</v>
      </c>
      <c r="AC33" s="87">
        <f t="shared" si="1"/>
        <v>70.600000000000009</v>
      </c>
      <c r="AD33" s="87">
        <f t="shared" si="1"/>
        <v>73.7</v>
      </c>
      <c r="AE33" s="87">
        <f t="shared" si="1"/>
        <v>83.6</v>
      </c>
      <c r="AF33" s="87">
        <f t="shared" si="1"/>
        <v>1.1000000000000001</v>
      </c>
      <c r="AG33" s="83">
        <f>SUM(B33:AF33)</f>
        <v>2431.3999999999996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2431.3999999999996</v>
      </c>
      <c r="AH34" s="48"/>
      <c r="AI34" s="48"/>
    </row>
  </sheetData>
  <mergeCells count="1">
    <mergeCell ref="A1:AG1"/>
  </mergeCells>
  <conditionalFormatting sqref="AG33">
    <cfRule type="cellIs" dxfId="31" priority="2" operator="equal">
      <formula>$AG$34</formula>
    </cfRule>
  </conditionalFormatting>
  <conditionalFormatting sqref="AG34">
    <cfRule type="cellIs" dxfId="30" priority="1" operator="equal">
      <formula>$AG$33</formula>
    </cfRule>
  </conditionalFormatting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3.28515625" customWidth="1"/>
    <col min="2" max="2" width="7.85546875" customWidth="1"/>
    <col min="3" max="3" width="9.42578125" customWidth="1"/>
    <col min="4" max="4" width="8.7109375" customWidth="1"/>
    <col min="5" max="6" width="9.42578125" customWidth="1"/>
    <col min="7" max="7" width="7.85546875" customWidth="1"/>
    <col min="8" max="11" width="9" customWidth="1"/>
    <col min="12" max="12" width="8.7109375" customWidth="1"/>
    <col min="13" max="13" width="9.140625" customWidth="1"/>
    <col min="14" max="14" width="9" customWidth="1"/>
    <col min="15" max="15" width="10.140625" customWidth="1"/>
    <col min="16" max="16" width="9.28515625" customWidth="1"/>
    <col min="17" max="19" width="9" customWidth="1"/>
    <col min="20" max="20" width="9.140625" customWidth="1"/>
    <col min="21" max="21" width="9.28515625" customWidth="1"/>
    <col min="22" max="25" width="9" customWidth="1"/>
    <col min="26" max="26" width="9.42578125" customWidth="1"/>
    <col min="27" max="29" width="7.85546875" customWidth="1"/>
    <col min="30" max="30" width="9.140625" customWidth="1"/>
    <col min="31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74">
        <v>3.1</v>
      </c>
      <c r="C3" s="74">
        <v>2.9</v>
      </c>
      <c r="D3" s="74">
        <v>2.7</v>
      </c>
      <c r="E3" s="74">
        <v>2.9</v>
      </c>
      <c r="F3" s="74"/>
      <c r="G3" s="74">
        <v>4.2</v>
      </c>
      <c r="H3" s="74">
        <v>3.4</v>
      </c>
      <c r="I3" s="75">
        <v>3.4</v>
      </c>
      <c r="J3" s="74">
        <v>3.2</v>
      </c>
      <c r="K3" s="75">
        <v>3.3</v>
      </c>
      <c r="L3" s="74">
        <v>3.1</v>
      </c>
      <c r="M3" s="75">
        <v>3</v>
      </c>
      <c r="N3" s="74"/>
      <c r="O3" s="74">
        <v>3.3</v>
      </c>
      <c r="P3" s="75">
        <v>2.7</v>
      </c>
      <c r="Q3" s="74">
        <v>3.9</v>
      </c>
      <c r="R3" s="74">
        <v>3.2</v>
      </c>
      <c r="S3" s="75">
        <v>3.4</v>
      </c>
      <c r="T3" s="75">
        <v>3.6</v>
      </c>
      <c r="U3" s="75"/>
      <c r="V3" s="75"/>
      <c r="W3" s="74">
        <v>4.2</v>
      </c>
      <c r="X3" s="74">
        <v>3.1</v>
      </c>
      <c r="Y3" s="74">
        <v>2.7</v>
      </c>
      <c r="Z3" s="74">
        <v>2.2000000000000002</v>
      </c>
      <c r="AA3" s="74"/>
      <c r="AB3" s="74">
        <v>2.9</v>
      </c>
      <c r="AC3" s="74">
        <v>3.2</v>
      </c>
      <c r="AD3" s="74">
        <v>2.8</v>
      </c>
      <c r="AE3" s="74">
        <v>3.4</v>
      </c>
      <c r="AF3" s="74">
        <v>3.2</v>
      </c>
      <c r="AG3" s="46">
        <f t="shared" ref="AG3:AG32" si="0">SUM(B3:AF3)</f>
        <v>83.000000000000014</v>
      </c>
      <c r="AH3" s="47"/>
      <c r="AI3" s="48"/>
    </row>
    <row r="4" spans="1:35" s="44" customFormat="1" ht="18.75" customHeight="1" x14ac:dyDescent="0.35">
      <c r="A4" s="79" t="s">
        <v>193</v>
      </c>
      <c r="B4" s="70">
        <v>2.9</v>
      </c>
      <c r="C4" s="70">
        <v>3.2</v>
      </c>
      <c r="D4" s="70">
        <v>3.3</v>
      </c>
      <c r="E4" s="70">
        <v>3.7</v>
      </c>
      <c r="F4" s="70">
        <v>3.1</v>
      </c>
      <c r="G4" s="70">
        <v>3.2</v>
      </c>
      <c r="H4" s="70">
        <v>3.4</v>
      </c>
      <c r="I4" s="70">
        <v>3.3</v>
      </c>
      <c r="J4" s="70">
        <v>3.2</v>
      </c>
      <c r="K4" s="70">
        <v>3.2</v>
      </c>
      <c r="L4" s="70">
        <v>3.7</v>
      </c>
      <c r="M4" s="70">
        <v>2.7</v>
      </c>
      <c r="N4" s="70">
        <v>3.9</v>
      </c>
      <c r="O4" s="70">
        <v>3.2</v>
      </c>
      <c r="P4" s="70">
        <v>3.7</v>
      </c>
      <c r="Q4" s="70">
        <v>2.7</v>
      </c>
      <c r="R4" s="70">
        <v>3.2</v>
      </c>
      <c r="S4" s="70">
        <v>3.3</v>
      </c>
      <c r="T4" s="70"/>
      <c r="U4" s="70"/>
      <c r="V4" s="70">
        <v>3.2</v>
      </c>
      <c r="W4" s="70">
        <v>3.4</v>
      </c>
      <c r="X4" s="70">
        <v>2.7</v>
      </c>
      <c r="Y4" s="70">
        <v>2.9</v>
      </c>
      <c r="Z4" s="70">
        <v>2.9</v>
      </c>
      <c r="AA4" s="70">
        <v>1.9</v>
      </c>
      <c r="AB4" s="70">
        <v>3.1</v>
      </c>
      <c r="AC4" s="70">
        <v>3.5</v>
      </c>
      <c r="AD4" s="70">
        <v>3.2</v>
      </c>
      <c r="AE4" s="70">
        <v>4.2</v>
      </c>
      <c r="AF4" s="70">
        <v>3.2</v>
      </c>
      <c r="AG4" s="46">
        <f t="shared" si="0"/>
        <v>93.100000000000037</v>
      </c>
      <c r="AH4" s="48"/>
      <c r="AI4" s="48"/>
    </row>
    <row r="5" spans="1:35" s="44" customFormat="1" ht="18.75" customHeight="1" x14ac:dyDescent="0.35">
      <c r="A5" s="60" t="s">
        <v>83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0">
        <v>3</v>
      </c>
      <c r="C7" s="70">
        <v>2.9</v>
      </c>
      <c r="D7" s="70">
        <v>2</v>
      </c>
      <c r="E7" s="70">
        <v>2.5</v>
      </c>
      <c r="F7" s="70">
        <v>2.8</v>
      </c>
      <c r="G7" s="70">
        <v>3.1</v>
      </c>
      <c r="H7" s="70">
        <v>3</v>
      </c>
      <c r="I7" s="70">
        <v>2.5</v>
      </c>
      <c r="J7" s="70">
        <v>4</v>
      </c>
      <c r="K7" s="70">
        <v>3.5</v>
      </c>
      <c r="L7" s="70">
        <v>3.8</v>
      </c>
      <c r="M7" s="70">
        <v>3</v>
      </c>
      <c r="N7" s="70">
        <v>3</v>
      </c>
      <c r="O7" s="70">
        <v>2.8</v>
      </c>
      <c r="P7" s="70">
        <v>3</v>
      </c>
      <c r="Q7" s="70">
        <v>2</v>
      </c>
      <c r="R7" s="70">
        <v>2.5</v>
      </c>
      <c r="S7" s="70">
        <v>2</v>
      </c>
      <c r="T7" s="70">
        <v>2</v>
      </c>
      <c r="U7" s="70">
        <v>2</v>
      </c>
      <c r="V7" s="70">
        <v>3</v>
      </c>
      <c r="W7" s="70">
        <v>3</v>
      </c>
      <c r="X7" s="70">
        <v>3</v>
      </c>
      <c r="Y7" s="70">
        <v>3.5</v>
      </c>
      <c r="Z7" s="70">
        <v>3</v>
      </c>
      <c r="AA7" s="70">
        <v>3</v>
      </c>
      <c r="AB7" s="70">
        <v>3.5</v>
      </c>
      <c r="AC7" s="70">
        <v>3</v>
      </c>
      <c r="AD7" s="70">
        <v>3</v>
      </c>
      <c r="AE7" s="70">
        <v>3</v>
      </c>
      <c r="AF7" s="70">
        <v>3</v>
      </c>
      <c r="AG7" s="46">
        <f t="shared" si="0"/>
        <v>89.4</v>
      </c>
      <c r="AH7" s="48"/>
      <c r="AI7" s="48"/>
    </row>
    <row r="8" spans="1:35" s="44" customFormat="1" ht="18.75" customHeight="1" x14ac:dyDescent="0.35">
      <c r="A8" s="60" t="s">
        <v>65</v>
      </c>
      <c r="B8" s="70">
        <v>7</v>
      </c>
      <c r="C8" s="70">
        <v>8</v>
      </c>
      <c r="D8" s="70">
        <v>6.5</v>
      </c>
      <c r="E8" s="70">
        <v>4.5</v>
      </c>
      <c r="F8" s="70">
        <v>7.9</v>
      </c>
      <c r="G8" s="70">
        <v>8</v>
      </c>
      <c r="H8" s="70">
        <v>5.9</v>
      </c>
      <c r="I8" s="70">
        <v>6.9</v>
      </c>
      <c r="J8" s="70">
        <v>7.9</v>
      </c>
      <c r="K8" s="70">
        <v>7.8</v>
      </c>
      <c r="L8" s="70">
        <v>7.5</v>
      </c>
      <c r="M8" s="70">
        <v>7.3</v>
      </c>
      <c r="N8" s="70">
        <v>8</v>
      </c>
      <c r="O8" s="70">
        <v>7.5</v>
      </c>
      <c r="P8" s="70">
        <v>8</v>
      </c>
      <c r="Q8" s="70">
        <v>7.1</v>
      </c>
      <c r="R8" s="70">
        <v>74.3</v>
      </c>
      <c r="S8" s="70">
        <v>5.0999999999999996</v>
      </c>
      <c r="T8" s="70">
        <v>6.1</v>
      </c>
      <c r="U8" s="70">
        <v>6.9</v>
      </c>
      <c r="V8" s="70">
        <v>8</v>
      </c>
      <c r="W8" s="70">
        <v>6.1</v>
      </c>
      <c r="X8" s="70">
        <v>5.9</v>
      </c>
      <c r="Y8" s="70">
        <v>6.9</v>
      </c>
      <c r="Z8" s="70">
        <v>8</v>
      </c>
      <c r="AA8" s="70">
        <v>7.8</v>
      </c>
      <c r="AB8" s="70">
        <v>8</v>
      </c>
      <c r="AC8" s="70">
        <v>6.9</v>
      </c>
      <c r="AD8" s="70">
        <v>6.7</v>
      </c>
      <c r="AE8" s="70">
        <v>5.9</v>
      </c>
      <c r="AF8" s="70">
        <v>4.3</v>
      </c>
      <c r="AG8" s="46">
        <f t="shared" si="0"/>
        <v>282.69999999999993</v>
      </c>
      <c r="AH8" s="48"/>
      <c r="AI8" s="48"/>
    </row>
    <row r="9" spans="1:35" s="44" customFormat="1" ht="18.75" customHeight="1" x14ac:dyDescent="0.35">
      <c r="A9" s="60" t="s">
        <v>66</v>
      </c>
      <c r="B9" s="52">
        <v>1.7</v>
      </c>
      <c r="C9" s="52">
        <v>2.2000000000000002</v>
      </c>
      <c r="D9" s="52">
        <v>1.9</v>
      </c>
      <c r="E9" s="52">
        <v>2.5</v>
      </c>
      <c r="F9" s="52">
        <v>2.9</v>
      </c>
      <c r="G9" s="52">
        <v>3</v>
      </c>
      <c r="H9" s="52">
        <v>3.5</v>
      </c>
      <c r="I9" s="52">
        <v>3.7</v>
      </c>
      <c r="J9" s="52">
        <v>2</v>
      </c>
      <c r="K9" s="52">
        <v>3.5</v>
      </c>
      <c r="L9" s="52">
        <v>0.3</v>
      </c>
      <c r="M9" s="52"/>
      <c r="N9" s="52">
        <v>3.3</v>
      </c>
      <c r="O9" s="52">
        <v>1.3</v>
      </c>
      <c r="P9" s="52">
        <v>2</v>
      </c>
      <c r="Q9" s="52">
        <v>1.9</v>
      </c>
      <c r="R9" s="52">
        <v>2.2000000000000002</v>
      </c>
      <c r="S9" s="52">
        <v>1.4</v>
      </c>
      <c r="T9" s="52"/>
      <c r="U9" s="52"/>
      <c r="V9" s="52">
        <v>1.9</v>
      </c>
      <c r="W9" s="52">
        <v>2.2999999999999998</v>
      </c>
      <c r="X9" s="52">
        <v>2.5</v>
      </c>
      <c r="Y9" s="52">
        <v>1.6</v>
      </c>
      <c r="Z9" s="52">
        <v>0.9</v>
      </c>
      <c r="AA9" s="52"/>
      <c r="AB9" s="52">
        <v>1.5</v>
      </c>
      <c r="AC9" s="52">
        <v>1.9</v>
      </c>
      <c r="AD9" s="52">
        <v>2</v>
      </c>
      <c r="AE9" s="52">
        <v>1.5</v>
      </c>
      <c r="AF9" s="52">
        <v>1.3</v>
      </c>
      <c r="AG9" s="46">
        <f t="shared" si="0"/>
        <v>56.699999999999996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f>1.9+2+1.7</f>
        <v>5.6</v>
      </c>
      <c r="C14" s="51">
        <f>2.4+3+2.9</f>
        <v>8.3000000000000007</v>
      </c>
      <c r="D14" s="51">
        <f>3+2.9+1.7</f>
        <v>7.6000000000000005</v>
      </c>
      <c r="E14" s="51">
        <f>2+1+2</f>
        <v>5</v>
      </c>
      <c r="F14" s="51">
        <f>1.9+2.3+1.9</f>
        <v>6.1</v>
      </c>
      <c r="G14" s="51">
        <f>3.6+1.8+2</f>
        <v>7.4</v>
      </c>
      <c r="H14" s="51">
        <f>2.7+1.4+1.9</f>
        <v>6</v>
      </c>
      <c r="I14" s="51">
        <f>33.6+1.9+2.4</f>
        <v>37.9</v>
      </c>
      <c r="J14" s="51">
        <f>1.77+2.9+1.5</f>
        <v>6.17</v>
      </c>
      <c r="K14" s="51">
        <f>3+1.2+1.4</f>
        <v>5.6</v>
      </c>
      <c r="L14" s="51">
        <f>3+2+1.4</f>
        <v>6.4</v>
      </c>
      <c r="M14" s="51">
        <f>3+1.2+2</f>
        <v>6.2</v>
      </c>
      <c r="N14" s="51">
        <f>3.7+2.4+1.9</f>
        <v>8</v>
      </c>
      <c r="O14" s="51">
        <f>3.6+1.9+2</f>
        <v>7.5</v>
      </c>
      <c r="P14" s="51">
        <f>1.7+2.3+1.4</f>
        <v>5.4</v>
      </c>
      <c r="Q14" s="51">
        <f>1.4+1.3+1.7</f>
        <v>4.4000000000000004</v>
      </c>
      <c r="R14" s="51">
        <f>2+2.9+1</f>
        <v>5.9</v>
      </c>
      <c r="S14" s="51">
        <f>2+1.7+1.8</f>
        <v>5.5</v>
      </c>
      <c r="T14" s="51">
        <f>3+2.5+1.9</f>
        <v>7.4</v>
      </c>
      <c r="U14" s="51">
        <f>3.2+1+2.9</f>
        <v>7.1</v>
      </c>
      <c r="V14" s="51">
        <f>3.8+2+2.9</f>
        <v>8.6999999999999993</v>
      </c>
      <c r="W14" s="51">
        <f>1.9+2.4+3.9</f>
        <v>8.1999999999999993</v>
      </c>
      <c r="X14" s="51">
        <f>2+1.3+1.4</f>
        <v>4.6999999999999993</v>
      </c>
      <c r="Y14" s="51">
        <f>1.6+1.9+2</f>
        <v>5.5</v>
      </c>
      <c r="Z14" s="51">
        <f>2.4+3+1</f>
        <v>6.4</v>
      </c>
      <c r="AA14" s="51">
        <f>2.6+1.9+2.8</f>
        <v>7.3</v>
      </c>
      <c r="AB14" s="51">
        <f>2.3+1.9+2.6</f>
        <v>6.7999999999999989</v>
      </c>
      <c r="AC14" s="51">
        <f>1.7+1.8+1.3</f>
        <v>4.8</v>
      </c>
      <c r="AD14" s="51">
        <f>2+2.9+3</f>
        <v>7.9</v>
      </c>
      <c r="AE14" s="51">
        <f>3.6+2.4+1.7</f>
        <v>7.7</v>
      </c>
      <c r="AF14" s="51">
        <f>2.9+1.7+2</f>
        <v>6.6</v>
      </c>
      <c r="AG14" s="46">
        <f t="shared" si="0"/>
        <v>234.07000000000002</v>
      </c>
      <c r="AH14" s="48"/>
      <c r="AI14" s="48"/>
    </row>
    <row r="15" spans="1:35" s="44" customFormat="1" ht="18.75" customHeight="1" x14ac:dyDescent="0.35">
      <c r="A15" s="60" t="s">
        <v>72</v>
      </c>
      <c r="B15" s="55">
        <v>6.1</v>
      </c>
      <c r="C15" s="55">
        <v>7.1</v>
      </c>
      <c r="D15" s="55">
        <v>5.2</v>
      </c>
      <c r="E15" s="55">
        <v>5.8</v>
      </c>
      <c r="F15" s="55">
        <v>6.2</v>
      </c>
      <c r="G15" s="55">
        <v>4.3</v>
      </c>
      <c r="H15" s="55">
        <v>3.2</v>
      </c>
      <c r="I15" s="55">
        <v>4</v>
      </c>
      <c r="J15" s="55">
        <v>8.6</v>
      </c>
      <c r="K15" s="55">
        <v>8.4</v>
      </c>
      <c r="L15" s="55">
        <v>8.3000000000000007</v>
      </c>
      <c r="M15" s="55">
        <v>7.5</v>
      </c>
      <c r="N15" s="55">
        <v>7.9</v>
      </c>
      <c r="O15" s="55">
        <v>7.5</v>
      </c>
      <c r="P15" s="55">
        <v>8</v>
      </c>
      <c r="Q15" s="55">
        <v>8.1</v>
      </c>
      <c r="R15" s="55">
        <v>7.5</v>
      </c>
      <c r="S15" s="55">
        <v>8.3000000000000007</v>
      </c>
      <c r="T15" s="55">
        <v>6.1</v>
      </c>
      <c r="U15" s="55">
        <v>4.2</v>
      </c>
      <c r="V15" s="55">
        <v>5.0999999999999996</v>
      </c>
      <c r="W15" s="55">
        <v>6.2</v>
      </c>
      <c r="X15" s="55">
        <v>4.8</v>
      </c>
      <c r="Y15" s="55">
        <v>3.4</v>
      </c>
      <c r="Z15" s="55">
        <v>3.2</v>
      </c>
      <c r="AA15" s="55">
        <v>1.9</v>
      </c>
      <c r="AB15" s="55">
        <v>1.5</v>
      </c>
      <c r="AC15" s="55">
        <v>4.3</v>
      </c>
      <c r="AD15" s="55">
        <v>3.2</v>
      </c>
      <c r="AE15" s="55">
        <v>4.2</v>
      </c>
      <c r="AF15" s="55">
        <v>4</v>
      </c>
      <c r="AG15" s="46">
        <f t="shared" si="0"/>
        <v>174.09999999999997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2"/>
      <c r="Z16" s="52"/>
      <c r="AA16" s="52"/>
      <c r="AB16" s="52"/>
      <c r="AC16" s="52"/>
      <c r="AD16" s="52"/>
      <c r="AE16" s="52"/>
      <c r="AF16" s="52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>
        <f>2.1+1.9+2</f>
        <v>6</v>
      </c>
      <c r="C21" s="51">
        <f>3+2.7+1.8</f>
        <v>7.5</v>
      </c>
      <c r="D21" s="51">
        <f>3.4+2.7+1.9</f>
        <v>8</v>
      </c>
      <c r="E21" s="51">
        <f>3.6+2.1+3.6</f>
        <v>9.3000000000000007</v>
      </c>
      <c r="F21" s="51">
        <f>2.3+1.9+2</f>
        <v>6.1999999999999993</v>
      </c>
      <c r="G21" s="51">
        <f>2+3.6+1.7</f>
        <v>7.3</v>
      </c>
      <c r="H21" s="51">
        <f>2.3+1.9+2</f>
        <v>6.1999999999999993</v>
      </c>
      <c r="I21" s="51">
        <f>3+1.3+2</f>
        <v>6.3</v>
      </c>
      <c r="J21" s="51">
        <f>3+2.5+1.9</f>
        <v>7.4</v>
      </c>
      <c r="K21" s="51">
        <f>3.4+2.6+1.9</f>
        <v>7.9</v>
      </c>
      <c r="L21" s="51">
        <f>2.3+1.9+2.6</f>
        <v>6.7999999999999989</v>
      </c>
      <c r="M21" s="51">
        <f>3.9+2.3+1.7</f>
        <v>7.8999999999999995</v>
      </c>
      <c r="N21" s="51">
        <f>3+2+1.9</f>
        <v>6.9</v>
      </c>
      <c r="O21" s="51">
        <f>3.4+2.3+1.7</f>
        <v>7.3999999999999995</v>
      </c>
      <c r="P21" s="51">
        <f>3.5+2.3+1.9</f>
        <v>7.6999999999999993</v>
      </c>
      <c r="Q21" s="51">
        <f>3+2.9+3.6</f>
        <v>9.5</v>
      </c>
      <c r="R21" s="51">
        <f>2.3+1.9+2</f>
        <v>6.1999999999999993</v>
      </c>
      <c r="S21" s="51">
        <f>3+2.9+1.7</f>
        <v>7.6000000000000005</v>
      </c>
      <c r="T21" s="51">
        <f>3+2.7+1.4</f>
        <v>7.1</v>
      </c>
      <c r="U21" s="51">
        <f>3.9+3+2.9</f>
        <v>9.8000000000000007</v>
      </c>
      <c r="V21" s="51">
        <f>4+2.5+1.9</f>
        <v>8.4</v>
      </c>
      <c r="W21" s="51">
        <f>3.7+2.4+1.9</f>
        <v>8</v>
      </c>
      <c r="X21" s="51">
        <f>3+2+1</f>
        <v>6</v>
      </c>
      <c r="Y21" s="51">
        <f>2.3+1.9+2.6</f>
        <v>6.7999999999999989</v>
      </c>
      <c r="Z21" s="51">
        <f>1.9+1.3</f>
        <v>3.2</v>
      </c>
      <c r="AA21" s="51">
        <f>1.3+2+1.9</f>
        <v>5.1999999999999993</v>
      </c>
      <c r="AB21" s="51">
        <f>2.3+1.4+3.9</f>
        <v>7.6</v>
      </c>
      <c r="AC21" s="51">
        <f>2.9+2.3+1.9</f>
        <v>7.1</v>
      </c>
      <c r="AD21" s="51">
        <f>3.7+2+3.9</f>
        <v>9.6</v>
      </c>
      <c r="AE21" s="51">
        <f>3.9+2.6+1.9</f>
        <v>8.4</v>
      </c>
      <c r="AF21" s="51">
        <f>3+2.4+1.9</f>
        <v>7.3000000000000007</v>
      </c>
      <c r="AG21" s="46">
        <f t="shared" si="0"/>
        <v>226.60000000000002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3</v>
      </c>
      <c r="C24" s="51">
        <v>5</v>
      </c>
      <c r="D24" s="51">
        <v>7</v>
      </c>
      <c r="E24" s="51">
        <v>6</v>
      </c>
      <c r="F24" s="51">
        <v>6</v>
      </c>
      <c r="G24" s="51">
        <v>5</v>
      </c>
      <c r="H24" s="51">
        <v>5</v>
      </c>
      <c r="I24" s="51">
        <v>6</v>
      </c>
      <c r="J24" s="51">
        <v>6</v>
      </c>
      <c r="K24" s="51">
        <v>7</v>
      </c>
      <c r="L24" s="51">
        <v>5</v>
      </c>
      <c r="M24" s="51">
        <v>6</v>
      </c>
      <c r="N24" s="51">
        <v>5</v>
      </c>
      <c r="O24" s="51">
        <v>6</v>
      </c>
      <c r="P24" s="51">
        <v>5</v>
      </c>
      <c r="Q24" s="51">
        <v>6</v>
      </c>
      <c r="R24" s="51">
        <v>7</v>
      </c>
      <c r="S24" s="51">
        <v>6</v>
      </c>
      <c r="T24" s="51">
        <v>6</v>
      </c>
      <c r="U24" s="51">
        <v>7</v>
      </c>
      <c r="V24" s="51">
        <v>6</v>
      </c>
      <c r="W24" s="51">
        <v>4</v>
      </c>
      <c r="X24" s="51">
        <v>5</v>
      </c>
      <c r="Y24" s="51">
        <v>5</v>
      </c>
      <c r="Z24" s="51">
        <v>3</v>
      </c>
      <c r="AA24" s="51">
        <v>5</v>
      </c>
      <c r="AB24" s="51">
        <v>7</v>
      </c>
      <c r="AC24" s="51">
        <v>5</v>
      </c>
      <c r="AD24" s="51">
        <v>6</v>
      </c>
      <c r="AE24" s="51">
        <v>5</v>
      </c>
      <c r="AF24" s="51">
        <v>4</v>
      </c>
      <c r="AG24" s="46">
        <f t="shared" si="0"/>
        <v>170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>
        <v>1.7</v>
      </c>
      <c r="C28" s="52">
        <v>2.2000000000000002</v>
      </c>
      <c r="D28" s="52">
        <v>1.9</v>
      </c>
      <c r="E28" s="52">
        <v>2.5</v>
      </c>
      <c r="F28" s="52">
        <v>2.9</v>
      </c>
      <c r="G28" s="52">
        <v>3</v>
      </c>
      <c r="H28" s="52">
        <v>3.5</v>
      </c>
      <c r="I28" s="52">
        <v>3.7</v>
      </c>
      <c r="J28" s="52">
        <v>2</v>
      </c>
      <c r="K28" s="52">
        <v>3.5</v>
      </c>
      <c r="L28" s="52">
        <v>0.3</v>
      </c>
      <c r="M28" s="52"/>
      <c r="N28" s="52">
        <v>3.3</v>
      </c>
      <c r="O28" s="52">
        <v>1.3</v>
      </c>
      <c r="P28" s="52">
        <v>2</v>
      </c>
      <c r="Q28" s="52">
        <v>1.9</v>
      </c>
      <c r="R28" s="52">
        <v>2.2000000000000002</v>
      </c>
      <c r="S28" s="52">
        <v>1.4</v>
      </c>
      <c r="T28" s="52"/>
      <c r="U28" s="52"/>
      <c r="V28" s="52">
        <v>1.9</v>
      </c>
      <c r="W28" s="52">
        <v>2.2999999999999998</v>
      </c>
      <c r="X28" s="52">
        <v>2.5</v>
      </c>
      <c r="Y28" s="52">
        <v>1.6</v>
      </c>
      <c r="Z28" s="52">
        <v>0.9</v>
      </c>
      <c r="AA28" s="52"/>
      <c r="AB28" s="52">
        <v>1.5</v>
      </c>
      <c r="AC28" s="52">
        <v>1.9</v>
      </c>
      <c r="AD28" s="52">
        <v>2</v>
      </c>
      <c r="AE28" s="52">
        <v>1.5</v>
      </c>
      <c r="AF28" s="52">
        <v>1.3</v>
      </c>
      <c r="AG28" s="46">
        <f t="shared" si="0"/>
        <v>56.699999999999996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40.1</v>
      </c>
      <c r="C33" s="70">
        <f t="shared" ref="C33:AF33" si="1">SUM(C3:C32)</f>
        <v>49.300000000000004</v>
      </c>
      <c r="D33" s="70">
        <f t="shared" si="1"/>
        <v>46.1</v>
      </c>
      <c r="E33" s="70">
        <f t="shared" si="1"/>
        <v>44.7</v>
      </c>
      <c r="F33" s="70">
        <f t="shared" si="1"/>
        <v>44.099999999999994</v>
      </c>
      <c r="G33" s="70">
        <f t="shared" si="1"/>
        <v>48.499999999999993</v>
      </c>
      <c r="H33" s="70">
        <f t="shared" si="1"/>
        <v>43.1</v>
      </c>
      <c r="I33" s="70">
        <f t="shared" si="1"/>
        <v>77.7</v>
      </c>
      <c r="J33" s="70">
        <f t="shared" si="1"/>
        <v>50.47</v>
      </c>
      <c r="K33" s="70">
        <f t="shared" si="1"/>
        <v>53.699999999999996</v>
      </c>
      <c r="L33" s="70">
        <f t="shared" si="1"/>
        <v>45.2</v>
      </c>
      <c r="M33" s="70">
        <f t="shared" si="1"/>
        <v>43.6</v>
      </c>
      <c r="N33" s="70">
        <f t="shared" si="1"/>
        <v>49.3</v>
      </c>
      <c r="O33" s="70">
        <f t="shared" si="1"/>
        <v>47.8</v>
      </c>
      <c r="P33" s="70">
        <f t="shared" si="1"/>
        <v>47.5</v>
      </c>
      <c r="Q33" s="70">
        <f t="shared" si="1"/>
        <v>47.5</v>
      </c>
      <c r="R33" s="70">
        <f t="shared" si="1"/>
        <v>114.20000000000002</v>
      </c>
      <c r="S33" s="70">
        <f t="shared" si="1"/>
        <v>44</v>
      </c>
      <c r="T33" s="70">
        <f t="shared" si="1"/>
        <v>38.300000000000004</v>
      </c>
      <c r="U33" s="70">
        <f t="shared" si="1"/>
        <v>37</v>
      </c>
      <c r="V33" s="70">
        <f t="shared" si="1"/>
        <v>46.199999999999996</v>
      </c>
      <c r="W33" s="70">
        <f t="shared" si="1"/>
        <v>47.699999999999996</v>
      </c>
      <c r="X33" s="70">
        <f t="shared" si="1"/>
        <v>40.200000000000003</v>
      </c>
      <c r="Y33" s="70">
        <f t="shared" si="1"/>
        <v>39.9</v>
      </c>
      <c r="Z33" s="70">
        <f t="shared" si="1"/>
        <v>33.699999999999996</v>
      </c>
      <c r="AA33" s="70">
        <f t="shared" si="1"/>
        <v>32.099999999999994</v>
      </c>
      <c r="AB33" s="70">
        <f t="shared" si="1"/>
        <v>43.4</v>
      </c>
      <c r="AC33" s="70">
        <f t="shared" si="1"/>
        <v>41.6</v>
      </c>
      <c r="AD33" s="70">
        <f t="shared" si="1"/>
        <v>46.4</v>
      </c>
      <c r="AE33" s="70">
        <f t="shared" si="1"/>
        <v>44.8</v>
      </c>
      <c r="AF33" s="70">
        <f t="shared" si="1"/>
        <v>38.200000000000003</v>
      </c>
      <c r="AG33" s="56">
        <f>SUM(B33:AF33)</f>
        <v>1466.3700000000001</v>
      </c>
      <c r="AH33" s="57"/>
      <c r="AI33" s="57"/>
    </row>
    <row r="34" spans="1:35" s="2" customFormat="1" x14ac:dyDescent="0.25">
      <c r="AG34" s="24">
        <f>SUM(AG3:AG31)</f>
        <v>1466.3700000000001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29" priority="2" operator="equal">
      <formula>$AG$34</formula>
    </cfRule>
  </conditionalFormatting>
  <conditionalFormatting sqref="AG34">
    <cfRule type="cellIs" dxfId="28" priority="1" operator="equal">
      <formula>$AG$33</formula>
    </cfRule>
  </conditionalFormatting>
  <pageMargins left="0.7" right="0.7" top="0.75" bottom="0.75" header="0.3" footer="0.3"/>
  <pageSetup orientation="portrait" horizontalDpi="0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3.28515625" customWidth="1"/>
    <col min="2" max="2" width="7.85546875" customWidth="1"/>
    <col min="3" max="3" width="9.42578125" customWidth="1"/>
    <col min="4" max="4" width="8.7109375" customWidth="1"/>
    <col min="5" max="6" width="9.42578125" customWidth="1"/>
    <col min="7" max="7" width="7.85546875" customWidth="1"/>
    <col min="8" max="11" width="9" customWidth="1"/>
    <col min="12" max="12" width="8.7109375" customWidth="1"/>
    <col min="13" max="13" width="9.140625" customWidth="1"/>
    <col min="14" max="14" width="9" customWidth="1"/>
    <col min="15" max="15" width="10.140625" customWidth="1"/>
    <col min="16" max="16" width="9.28515625" customWidth="1"/>
    <col min="17" max="19" width="9" customWidth="1"/>
    <col min="20" max="20" width="9.140625" customWidth="1"/>
    <col min="21" max="21" width="9.28515625" customWidth="1"/>
    <col min="22" max="25" width="9" customWidth="1"/>
    <col min="26" max="26" width="9.42578125" customWidth="1"/>
    <col min="27" max="29" width="7.85546875" customWidth="1"/>
    <col min="30" max="30" width="9.140625" customWidth="1"/>
    <col min="31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74">
        <v>3.2</v>
      </c>
      <c r="C3" s="74"/>
      <c r="D3" s="74">
        <v>4.2</v>
      </c>
      <c r="E3" s="74">
        <v>3.1</v>
      </c>
      <c r="F3" s="74">
        <v>5.2</v>
      </c>
      <c r="G3" s="74">
        <v>3.3</v>
      </c>
      <c r="H3" s="74"/>
      <c r="I3" s="75">
        <v>4.2</v>
      </c>
      <c r="J3" s="74"/>
      <c r="K3" s="75">
        <v>3.2</v>
      </c>
      <c r="L3" s="74">
        <v>4</v>
      </c>
      <c r="M3" s="75">
        <v>5</v>
      </c>
      <c r="N3" s="74">
        <v>6.2</v>
      </c>
      <c r="O3" s="74">
        <v>3.3</v>
      </c>
      <c r="P3" s="75">
        <v>3.7</v>
      </c>
      <c r="Q3" s="74"/>
      <c r="R3" s="74"/>
      <c r="S3" s="75">
        <v>6.3</v>
      </c>
      <c r="T3" s="75">
        <v>4.0999999999999996</v>
      </c>
      <c r="U3" s="75">
        <v>3.2</v>
      </c>
      <c r="V3" s="75">
        <v>3.3</v>
      </c>
      <c r="W3" s="74">
        <v>4.0999999999999996</v>
      </c>
      <c r="X3" s="74"/>
      <c r="Y3" s="74">
        <v>3.6</v>
      </c>
      <c r="Z3" s="74">
        <v>2.9</v>
      </c>
      <c r="AA3" s="74">
        <v>3.1</v>
      </c>
      <c r="AB3" s="74">
        <v>3</v>
      </c>
      <c r="AC3" s="74">
        <v>3.2</v>
      </c>
      <c r="AD3" s="74">
        <v>2.8</v>
      </c>
      <c r="AE3" s="74"/>
      <c r="AF3" s="74">
        <v>2.9</v>
      </c>
      <c r="AG3" s="46">
        <f t="shared" ref="AG3:AG33" si="0">SUM(B3:AF3)</f>
        <v>91.1</v>
      </c>
      <c r="AH3" s="47"/>
      <c r="AI3" s="48"/>
    </row>
    <row r="4" spans="1:35" s="44" customFormat="1" ht="18.75" customHeight="1" x14ac:dyDescent="0.35">
      <c r="A4" s="60" t="s">
        <v>193</v>
      </c>
      <c r="B4" s="70">
        <v>3.5</v>
      </c>
      <c r="C4" s="70">
        <v>0.5</v>
      </c>
      <c r="D4" s="70">
        <v>3.7</v>
      </c>
      <c r="E4" s="70">
        <v>3.2</v>
      </c>
      <c r="F4" s="70">
        <v>2.9</v>
      </c>
      <c r="G4" s="70">
        <v>3.5</v>
      </c>
      <c r="H4" s="70">
        <v>0.7</v>
      </c>
      <c r="I4" s="70">
        <v>3.3</v>
      </c>
      <c r="J4" s="70">
        <v>0.7</v>
      </c>
      <c r="K4" s="70">
        <v>3.3</v>
      </c>
      <c r="L4" s="70">
        <v>3.4</v>
      </c>
      <c r="M4" s="70">
        <v>3.7</v>
      </c>
      <c r="N4" s="70">
        <v>3.9</v>
      </c>
      <c r="O4" s="70">
        <v>3.7</v>
      </c>
      <c r="P4" s="70">
        <v>2.5</v>
      </c>
      <c r="Q4" s="70">
        <v>0.9</v>
      </c>
      <c r="R4" s="70">
        <v>0.5</v>
      </c>
      <c r="S4" s="70">
        <v>3.4</v>
      </c>
      <c r="T4" s="70">
        <v>3.4</v>
      </c>
      <c r="U4" s="70">
        <v>0.6</v>
      </c>
      <c r="V4" s="70">
        <v>3.3</v>
      </c>
      <c r="W4" s="70">
        <v>3.7</v>
      </c>
      <c r="X4" s="70">
        <v>0.8</v>
      </c>
      <c r="Y4" s="70">
        <v>3.2</v>
      </c>
      <c r="Z4" s="70">
        <v>3.5</v>
      </c>
      <c r="AA4" s="70">
        <v>3.4</v>
      </c>
      <c r="AB4" s="70">
        <v>3.1</v>
      </c>
      <c r="AC4" s="70">
        <v>3.6</v>
      </c>
      <c r="AD4" s="70">
        <v>3.2</v>
      </c>
      <c r="AE4" s="70">
        <v>0.3</v>
      </c>
      <c r="AF4" s="70">
        <v>0.4</v>
      </c>
      <c r="AG4" s="46">
        <f t="shared" si="0"/>
        <v>79.8</v>
      </c>
      <c r="AH4" s="48"/>
      <c r="AI4" s="48"/>
    </row>
    <row r="5" spans="1:35" s="44" customFormat="1" ht="18.75" customHeight="1" x14ac:dyDescent="0.35">
      <c r="A5" s="60" t="s">
        <v>83</v>
      </c>
      <c r="B5" s="70"/>
      <c r="C5" s="70">
        <v>2.1</v>
      </c>
      <c r="D5" s="70">
        <v>2</v>
      </c>
      <c r="E5" s="70">
        <v>2</v>
      </c>
      <c r="F5" s="70">
        <v>1.9</v>
      </c>
      <c r="G5" s="70">
        <v>2</v>
      </c>
      <c r="H5" s="70">
        <v>2</v>
      </c>
      <c r="I5" s="70"/>
      <c r="J5" s="70">
        <v>2</v>
      </c>
      <c r="K5" s="70">
        <v>2</v>
      </c>
      <c r="L5" s="70">
        <v>1.9</v>
      </c>
      <c r="M5" s="70">
        <v>2</v>
      </c>
      <c r="N5" s="70">
        <v>1.9</v>
      </c>
      <c r="O5" s="70">
        <v>1.9</v>
      </c>
      <c r="P5" s="70"/>
      <c r="Q5" s="70"/>
      <c r="R5" s="70">
        <v>2.2000000000000002</v>
      </c>
      <c r="S5" s="70">
        <v>2.1</v>
      </c>
      <c r="T5" s="70">
        <v>2.1</v>
      </c>
      <c r="U5" s="70">
        <v>0.9</v>
      </c>
      <c r="V5" s="70">
        <v>2</v>
      </c>
      <c r="W5" s="70"/>
      <c r="X5" s="70">
        <v>2</v>
      </c>
      <c r="Y5" s="70">
        <v>2</v>
      </c>
      <c r="Z5" s="70">
        <v>2</v>
      </c>
      <c r="AA5" s="70">
        <v>0.9</v>
      </c>
      <c r="AB5" s="70">
        <v>2</v>
      </c>
      <c r="AC5" s="70">
        <v>2</v>
      </c>
      <c r="AD5" s="70"/>
      <c r="AE5" s="70">
        <v>2.2999999999999998</v>
      </c>
      <c r="AF5" s="70">
        <v>2</v>
      </c>
      <c r="AG5" s="46">
        <f t="shared" si="0"/>
        <v>48.199999999999996</v>
      </c>
      <c r="AH5" s="48"/>
      <c r="AI5" s="48"/>
    </row>
    <row r="6" spans="1:35" s="44" customFormat="1" ht="18.75" customHeight="1" x14ac:dyDescent="0.35">
      <c r="A6" s="60" t="s">
        <v>84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0">
        <v>3</v>
      </c>
      <c r="C7" s="70">
        <v>2.9</v>
      </c>
      <c r="D7" s="70">
        <v>2</v>
      </c>
      <c r="E7" s="70">
        <v>2.5</v>
      </c>
      <c r="F7" s="70">
        <v>2.8</v>
      </c>
      <c r="G7" s="70">
        <v>3.1</v>
      </c>
      <c r="H7" s="70">
        <v>3</v>
      </c>
      <c r="I7" s="70">
        <v>2.5</v>
      </c>
      <c r="J7" s="70">
        <v>4</v>
      </c>
      <c r="K7" s="70">
        <v>3.5</v>
      </c>
      <c r="L7" s="70">
        <v>3.8</v>
      </c>
      <c r="M7" s="70">
        <v>3</v>
      </c>
      <c r="N7" s="70">
        <v>3</v>
      </c>
      <c r="O7" s="70">
        <v>2.8</v>
      </c>
      <c r="P7" s="70">
        <v>3</v>
      </c>
      <c r="Q7" s="70">
        <v>2</v>
      </c>
      <c r="R7" s="70">
        <v>2.5</v>
      </c>
      <c r="S7" s="70">
        <v>2</v>
      </c>
      <c r="T7" s="70">
        <v>2</v>
      </c>
      <c r="U7" s="70">
        <v>2</v>
      </c>
      <c r="V7" s="70">
        <v>3</v>
      </c>
      <c r="W7" s="70">
        <v>3</v>
      </c>
      <c r="X7" s="70">
        <v>3</v>
      </c>
      <c r="Y7" s="70">
        <v>3.5</v>
      </c>
      <c r="Z7" s="70">
        <v>3</v>
      </c>
      <c r="AA7" s="70">
        <v>3</v>
      </c>
      <c r="AB7" s="70">
        <v>3.5</v>
      </c>
      <c r="AC7" s="70">
        <v>3</v>
      </c>
      <c r="AD7" s="70">
        <v>3</v>
      </c>
      <c r="AE7" s="70">
        <v>3</v>
      </c>
      <c r="AF7" s="70">
        <v>3</v>
      </c>
      <c r="AG7" s="46">
        <f t="shared" si="0"/>
        <v>89.4</v>
      </c>
      <c r="AH7" s="48"/>
      <c r="AI7" s="48"/>
    </row>
    <row r="8" spans="1:35" s="44" customFormat="1" ht="18.75" customHeight="1" x14ac:dyDescent="0.35">
      <c r="A8" s="60" t="s">
        <v>65</v>
      </c>
      <c r="B8" s="70">
        <v>6.7</v>
      </c>
      <c r="C8" s="70">
        <v>6.5</v>
      </c>
      <c r="D8" s="70">
        <v>5.9</v>
      </c>
      <c r="E8" s="70">
        <v>6</v>
      </c>
      <c r="F8" s="70">
        <v>6.6</v>
      </c>
      <c r="G8" s="70">
        <v>5.5</v>
      </c>
      <c r="H8" s="70">
        <v>5.2</v>
      </c>
      <c r="I8" s="70">
        <v>7</v>
      </c>
      <c r="J8" s="70">
        <v>5</v>
      </c>
      <c r="K8" s="70">
        <v>6.1</v>
      </c>
      <c r="L8" s="70">
        <v>7</v>
      </c>
      <c r="M8" s="70">
        <v>5.0999999999999996</v>
      </c>
      <c r="N8" s="70">
        <v>6.1</v>
      </c>
      <c r="O8" s="70">
        <v>5.2</v>
      </c>
      <c r="P8" s="70">
        <v>6.7</v>
      </c>
      <c r="Q8" s="70">
        <v>7</v>
      </c>
      <c r="R8" s="70">
        <v>8</v>
      </c>
      <c r="S8" s="70">
        <v>7</v>
      </c>
      <c r="T8" s="70">
        <v>6.1</v>
      </c>
      <c r="U8" s="70">
        <v>5</v>
      </c>
      <c r="V8" s="70">
        <v>5.2</v>
      </c>
      <c r="W8" s="70">
        <v>5.3</v>
      </c>
      <c r="X8" s="70">
        <v>8</v>
      </c>
      <c r="Y8" s="70">
        <v>8</v>
      </c>
      <c r="Z8" s="70">
        <v>6.1</v>
      </c>
      <c r="AA8" s="70">
        <v>5.0999999999999996</v>
      </c>
      <c r="AB8" s="70">
        <v>6</v>
      </c>
      <c r="AC8" s="70">
        <v>4.3</v>
      </c>
      <c r="AD8" s="70">
        <v>7.2</v>
      </c>
      <c r="AE8" s="70">
        <v>6.1</v>
      </c>
      <c r="AF8" s="70">
        <v>5</v>
      </c>
      <c r="AG8" s="46">
        <f t="shared" si="0"/>
        <v>189.99999999999997</v>
      </c>
      <c r="AH8" s="48"/>
      <c r="AI8" s="48"/>
    </row>
    <row r="9" spans="1:35" s="44" customFormat="1" ht="18.75" customHeight="1" x14ac:dyDescent="0.35">
      <c r="A9" s="60" t="s">
        <v>66</v>
      </c>
      <c r="B9" s="52">
        <v>1.5</v>
      </c>
      <c r="C9" s="52">
        <v>2</v>
      </c>
      <c r="D9" s="52">
        <v>1.8</v>
      </c>
      <c r="E9" s="52">
        <v>2.2999999999999998</v>
      </c>
      <c r="F9" s="52">
        <v>1.4</v>
      </c>
      <c r="G9" s="52">
        <v>2.2000000000000002</v>
      </c>
      <c r="H9" s="52">
        <v>1.3</v>
      </c>
      <c r="I9" s="52">
        <v>2.5</v>
      </c>
      <c r="J9" s="52">
        <v>2.4</v>
      </c>
      <c r="K9" s="52">
        <v>1.6</v>
      </c>
      <c r="L9" s="52">
        <v>2.6</v>
      </c>
      <c r="M9" s="52">
        <v>1.7</v>
      </c>
      <c r="N9" s="52">
        <v>2.5</v>
      </c>
      <c r="O9" s="52">
        <v>1.8</v>
      </c>
      <c r="P9" s="52">
        <v>2.9</v>
      </c>
      <c r="Q9" s="52">
        <v>1.9</v>
      </c>
      <c r="R9" s="52">
        <v>2.7</v>
      </c>
      <c r="S9" s="52">
        <v>2.8</v>
      </c>
      <c r="T9" s="52">
        <v>1</v>
      </c>
      <c r="U9" s="52">
        <v>3</v>
      </c>
      <c r="V9" s="52">
        <v>2.4</v>
      </c>
      <c r="W9" s="52">
        <v>1.9</v>
      </c>
      <c r="X9" s="52">
        <v>2.6</v>
      </c>
      <c r="Y9" s="52">
        <v>2.2000000000000002</v>
      </c>
      <c r="Z9" s="52">
        <v>2.8</v>
      </c>
      <c r="AA9" s="52">
        <v>3</v>
      </c>
      <c r="AB9" s="52">
        <v>2.2000000000000002</v>
      </c>
      <c r="AC9" s="52">
        <v>1.3</v>
      </c>
      <c r="AD9" s="52">
        <v>2.4</v>
      </c>
      <c r="AE9" s="52">
        <v>1.9</v>
      </c>
      <c r="AF9" s="52">
        <v>2.8</v>
      </c>
      <c r="AG9" s="46">
        <f t="shared" si="0"/>
        <v>67.399999999999991</v>
      </c>
      <c r="AH9" s="48"/>
      <c r="AI9" s="48"/>
    </row>
    <row r="10" spans="1:35" s="44" customFormat="1" ht="18.75" customHeight="1" x14ac:dyDescent="0.35">
      <c r="A10" s="60" t="s">
        <v>67</v>
      </c>
      <c r="B10" s="70"/>
      <c r="C10" s="70"/>
      <c r="D10" s="70"/>
      <c r="E10" s="70"/>
      <c r="F10" s="70"/>
      <c r="G10" s="70"/>
      <c r="H10" s="70"/>
      <c r="I10" s="70"/>
      <c r="J10" s="70"/>
      <c r="K10" s="70"/>
      <c r="L10" s="70"/>
      <c r="M10" s="70"/>
      <c r="N10" s="70"/>
      <c r="O10" s="70"/>
      <c r="P10" s="70"/>
      <c r="Q10" s="70"/>
      <c r="R10" s="70"/>
      <c r="S10" s="70"/>
      <c r="T10" s="70"/>
      <c r="U10" s="70"/>
      <c r="V10" s="70"/>
      <c r="W10" s="70"/>
      <c r="X10" s="70"/>
      <c r="Y10" s="70"/>
      <c r="Z10" s="70"/>
      <c r="AA10" s="70"/>
      <c r="AB10" s="70"/>
      <c r="AC10" s="70"/>
      <c r="AD10" s="70"/>
      <c r="AE10" s="70"/>
      <c r="AF10" s="70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0"/>
      <c r="W11" s="70"/>
      <c r="X11" s="70"/>
      <c r="Y11" s="70"/>
      <c r="Z11" s="70"/>
      <c r="AA11" s="70"/>
      <c r="AB11" s="70"/>
      <c r="AC11" s="70"/>
      <c r="AD11" s="70"/>
      <c r="AE11" s="70"/>
      <c r="AF11" s="70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0">
        <v>3.7</v>
      </c>
      <c r="C12" s="70">
        <v>4.5</v>
      </c>
      <c r="D12" s="70">
        <v>5.0999999999999996</v>
      </c>
      <c r="E12" s="70">
        <v>5.4</v>
      </c>
      <c r="F12" s="70">
        <v>4.9000000000000004</v>
      </c>
      <c r="G12" s="70">
        <v>3</v>
      </c>
      <c r="H12" s="70">
        <v>3</v>
      </c>
      <c r="I12" s="70">
        <v>4</v>
      </c>
      <c r="J12" s="70">
        <v>3</v>
      </c>
      <c r="K12" s="70">
        <v>4</v>
      </c>
      <c r="L12" s="70">
        <v>5</v>
      </c>
      <c r="M12" s="70">
        <v>4</v>
      </c>
      <c r="N12" s="70">
        <v>4</v>
      </c>
      <c r="O12" s="70">
        <v>4</v>
      </c>
      <c r="P12" s="70">
        <v>4</v>
      </c>
      <c r="Q12" s="70">
        <v>4</v>
      </c>
      <c r="R12" s="70">
        <v>4</v>
      </c>
      <c r="S12" s="70">
        <v>3</v>
      </c>
      <c r="T12" s="70">
        <v>3</v>
      </c>
      <c r="U12" s="70">
        <v>2</v>
      </c>
      <c r="V12" s="70">
        <v>2</v>
      </c>
      <c r="W12" s="70">
        <v>3</v>
      </c>
      <c r="X12" s="70">
        <v>3</v>
      </c>
      <c r="Y12" s="70">
        <v>3</v>
      </c>
      <c r="Z12" s="70">
        <v>2</v>
      </c>
      <c r="AA12" s="70">
        <v>3</v>
      </c>
      <c r="AB12" s="70">
        <v>3</v>
      </c>
      <c r="AC12" s="70">
        <v>4</v>
      </c>
      <c r="AD12" s="70">
        <v>4</v>
      </c>
      <c r="AE12" s="70">
        <v>4</v>
      </c>
      <c r="AF12" s="70">
        <v>4</v>
      </c>
      <c r="AG12" s="46">
        <f t="shared" si="0"/>
        <v>112.6</v>
      </c>
      <c r="AH12" s="48"/>
      <c r="AI12" s="48"/>
    </row>
    <row r="13" spans="1:35" s="44" customFormat="1" ht="18.75" customHeight="1" x14ac:dyDescent="0.35">
      <c r="A13" s="60" t="s">
        <v>69</v>
      </c>
      <c r="B13" s="77">
        <v>2.5</v>
      </c>
      <c r="C13" s="77">
        <v>3</v>
      </c>
      <c r="D13" s="77">
        <v>2.9</v>
      </c>
      <c r="E13" s="77">
        <v>3.2</v>
      </c>
      <c r="F13" s="77">
        <v>2.8</v>
      </c>
      <c r="G13" s="77">
        <v>3.7</v>
      </c>
      <c r="H13" s="77">
        <v>4</v>
      </c>
      <c r="I13" s="77">
        <v>2.6</v>
      </c>
      <c r="J13" s="77">
        <v>3.3</v>
      </c>
      <c r="K13" s="77">
        <v>2.6</v>
      </c>
      <c r="L13" s="77">
        <v>3.4</v>
      </c>
      <c r="M13" s="77">
        <v>2.9</v>
      </c>
      <c r="N13" s="77">
        <v>3.2</v>
      </c>
      <c r="O13" s="77">
        <v>2.7</v>
      </c>
      <c r="P13" s="77">
        <v>4.2</v>
      </c>
      <c r="Q13" s="77">
        <v>4.5</v>
      </c>
      <c r="R13" s="77">
        <v>3.1</v>
      </c>
      <c r="S13" s="77">
        <v>2.8</v>
      </c>
      <c r="T13" s="77">
        <v>3.9</v>
      </c>
      <c r="U13" s="77">
        <v>2.5</v>
      </c>
      <c r="V13" s="77">
        <v>2</v>
      </c>
      <c r="W13" s="77">
        <v>3.7</v>
      </c>
      <c r="X13" s="77">
        <v>3.4</v>
      </c>
      <c r="Y13" s="77">
        <v>3.7</v>
      </c>
      <c r="Z13" s="77">
        <v>2.8</v>
      </c>
      <c r="AA13" s="77">
        <v>3.4</v>
      </c>
      <c r="AB13" s="77">
        <v>3.2</v>
      </c>
      <c r="AC13" s="77">
        <v>2.7</v>
      </c>
      <c r="AD13" s="77">
        <v>4.8</v>
      </c>
      <c r="AE13" s="77">
        <v>4.5</v>
      </c>
      <c r="AF13" s="77">
        <v>2.6</v>
      </c>
      <c r="AG13" s="46">
        <f t="shared" si="0"/>
        <v>100.60000000000002</v>
      </c>
      <c r="AH13" s="48"/>
      <c r="AI13" s="48"/>
    </row>
    <row r="14" spans="1:35" s="44" customFormat="1" ht="18.75" customHeight="1" x14ac:dyDescent="0.35">
      <c r="A14" s="60" t="s">
        <v>71</v>
      </c>
      <c r="B14" s="70">
        <f>4.1+3.2</f>
        <v>7.3</v>
      </c>
      <c r="C14" s="70">
        <f>6.1+4.3</f>
        <v>10.399999999999999</v>
      </c>
      <c r="D14" s="70">
        <f>4.5+5.1</f>
        <v>9.6</v>
      </c>
      <c r="E14" s="70">
        <f>3.5+4.4</f>
        <v>7.9</v>
      </c>
      <c r="F14" s="70">
        <f>3.2+7.2</f>
        <v>10.4</v>
      </c>
      <c r="G14" s="70">
        <f>6.1+5.2</f>
        <v>11.3</v>
      </c>
      <c r="H14" s="70">
        <f>4.3+3.3</f>
        <v>7.6</v>
      </c>
      <c r="I14" s="70">
        <f>3.2+2.2</f>
        <v>5.4</v>
      </c>
      <c r="J14" s="70">
        <f>5.7+4.6</f>
        <v>10.3</v>
      </c>
      <c r="K14" s="70">
        <f>3.5+5.6</f>
        <v>9.1</v>
      </c>
      <c r="L14" s="70">
        <f>3.1+3.2</f>
        <v>6.3000000000000007</v>
      </c>
      <c r="M14" s="70">
        <f>4+3.3</f>
        <v>7.3</v>
      </c>
      <c r="N14" s="70">
        <f>6.2+3.4</f>
        <v>9.6</v>
      </c>
      <c r="O14" s="70">
        <f>3.7+4.2</f>
        <v>7.9</v>
      </c>
      <c r="P14" s="70">
        <f>6+4.2</f>
        <v>10.199999999999999</v>
      </c>
      <c r="Q14" s="70">
        <f>4.1+3.2</f>
        <v>7.3</v>
      </c>
      <c r="R14" s="70">
        <f>5.1+4.2</f>
        <v>9.3000000000000007</v>
      </c>
      <c r="S14" s="70">
        <f>4.8+3.5</f>
        <v>8.3000000000000007</v>
      </c>
      <c r="T14" s="70">
        <f>4.7+4.4</f>
        <v>9.1000000000000014</v>
      </c>
      <c r="U14" s="70">
        <f>4.3+3.2</f>
        <v>7.5</v>
      </c>
      <c r="V14" s="70">
        <f>4.8+4.2</f>
        <v>9</v>
      </c>
      <c r="W14" s="70">
        <f>5.1+3.8</f>
        <v>8.8999999999999986</v>
      </c>
      <c r="X14" s="70">
        <f>3.1+4.4</f>
        <v>7.5</v>
      </c>
      <c r="Y14" s="76">
        <f>3.1+2.1</f>
        <v>5.2</v>
      </c>
      <c r="Z14" s="76">
        <f>6.1+3.9</f>
        <v>10</v>
      </c>
      <c r="AA14" s="76">
        <f>5.2+4.8</f>
        <v>10</v>
      </c>
      <c r="AB14" s="76">
        <f>4.1+3.7</f>
        <v>7.8</v>
      </c>
      <c r="AC14" s="76">
        <f>3+2.6</f>
        <v>5.6</v>
      </c>
      <c r="AD14" s="76">
        <f>2.1+1.5</f>
        <v>3.6</v>
      </c>
      <c r="AE14" s="76">
        <f>1+0.4</f>
        <v>1.4</v>
      </c>
      <c r="AF14" s="76">
        <f>4.2+2</f>
        <v>6.2</v>
      </c>
      <c r="AG14" s="46">
        <f t="shared" si="0"/>
        <v>247.29999999999998</v>
      </c>
      <c r="AH14" s="48"/>
      <c r="AI14" s="48"/>
    </row>
    <row r="15" spans="1:35" s="44" customFormat="1" ht="18.75" customHeight="1" x14ac:dyDescent="0.35">
      <c r="A15" s="60" t="s">
        <v>72</v>
      </c>
      <c r="B15" s="70">
        <v>3.5</v>
      </c>
      <c r="C15" s="70">
        <v>4.2</v>
      </c>
      <c r="D15" s="70">
        <v>5.0999999999999996</v>
      </c>
      <c r="E15" s="70">
        <v>6.1</v>
      </c>
      <c r="F15" s="70">
        <v>4</v>
      </c>
      <c r="G15" s="70">
        <v>4.5</v>
      </c>
      <c r="H15" s="70">
        <v>4.2</v>
      </c>
      <c r="I15" s="70">
        <v>4.3</v>
      </c>
      <c r="J15" s="70">
        <v>3.2</v>
      </c>
      <c r="K15" s="70">
        <v>3.1</v>
      </c>
      <c r="L15" s="70"/>
      <c r="M15" s="70">
        <v>2.5</v>
      </c>
      <c r="N15" s="70">
        <v>1.5</v>
      </c>
      <c r="O15" s="70">
        <v>1.8</v>
      </c>
      <c r="P15" s="70">
        <v>1.5</v>
      </c>
      <c r="Q15" s="70">
        <v>1</v>
      </c>
      <c r="R15" s="70">
        <v>3.3</v>
      </c>
      <c r="S15" s="70">
        <v>2.2999999999999998</v>
      </c>
      <c r="T15" s="70">
        <v>2</v>
      </c>
      <c r="U15" s="70">
        <v>2.1</v>
      </c>
      <c r="V15" s="70">
        <v>3.1</v>
      </c>
      <c r="W15" s="70">
        <v>2.2000000000000002</v>
      </c>
      <c r="X15" s="70">
        <v>1.9</v>
      </c>
      <c r="Y15" s="70">
        <v>2.1</v>
      </c>
      <c r="Z15" s="70">
        <v>1.9</v>
      </c>
      <c r="AA15" s="70">
        <v>1.5</v>
      </c>
      <c r="AB15" s="70">
        <v>1</v>
      </c>
      <c r="AC15" s="70">
        <v>1.2</v>
      </c>
      <c r="AD15" s="70">
        <v>1.5</v>
      </c>
      <c r="AE15" s="70">
        <v>1.6</v>
      </c>
      <c r="AF15" s="70">
        <v>1.9</v>
      </c>
      <c r="AG15" s="46">
        <f t="shared" si="0"/>
        <v>80.100000000000009</v>
      </c>
      <c r="AH15" s="48"/>
      <c r="AI15" s="48"/>
    </row>
    <row r="16" spans="1:35" s="44" customFormat="1" ht="18.75" customHeight="1" x14ac:dyDescent="0.35">
      <c r="A16" s="60" t="s">
        <v>85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0"/>
      <c r="C17" s="70"/>
      <c r="D17" s="70"/>
      <c r="E17" s="70"/>
      <c r="F17" s="70"/>
      <c r="G17" s="70"/>
      <c r="H17" s="70"/>
      <c r="I17" s="70"/>
      <c r="J17" s="70"/>
      <c r="K17" s="70"/>
      <c r="L17" s="70"/>
      <c r="M17" s="70"/>
      <c r="N17" s="70"/>
      <c r="O17" s="70"/>
      <c r="P17" s="70"/>
      <c r="Q17" s="70"/>
      <c r="R17" s="70"/>
      <c r="S17" s="70"/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70"/>
      <c r="C18" s="70"/>
      <c r="D18" s="70"/>
      <c r="E18" s="70"/>
      <c r="F18" s="70"/>
      <c r="G18" s="7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0">
        <f>3+2.9+1.7</f>
        <v>7.6000000000000005</v>
      </c>
      <c r="C21" s="70">
        <f>2.9+1.7+2.8</f>
        <v>7.3999999999999995</v>
      </c>
      <c r="D21" s="70">
        <f>3.1+2.3+1</f>
        <v>6.4</v>
      </c>
      <c r="E21" s="70">
        <f>2.5+2.9+1.7</f>
        <v>7.1000000000000005</v>
      </c>
      <c r="F21" s="70">
        <f>3.6+2.8+3</f>
        <v>9.4</v>
      </c>
      <c r="G21" s="70">
        <f>1.4+1.7+1.9</f>
        <v>5</v>
      </c>
      <c r="H21" s="70">
        <f>2.7+3+3.2</f>
        <v>8.9</v>
      </c>
      <c r="I21" s="70">
        <f>2+1.9+0.9</f>
        <v>4.8</v>
      </c>
      <c r="J21" s="70">
        <f>0.8+3+2</f>
        <v>5.8</v>
      </c>
      <c r="K21" s="70">
        <f>1.7+2+1.5</f>
        <v>5.2</v>
      </c>
      <c r="L21" s="70">
        <f>1.5+2+1.7</f>
        <v>5.2</v>
      </c>
      <c r="M21" s="70">
        <f>3.6+2.9+1</f>
        <v>7.5</v>
      </c>
      <c r="N21" s="70">
        <f>3.5+2.4+2</f>
        <v>7.9</v>
      </c>
      <c r="O21" s="70">
        <f>1.9+2+1.7</f>
        <v>5.6</v>
      </c>
      <c r="P21" s="70">
        <f>3+1.9+2.3</f>
        <v>7.2</v>
      </c>
      <c r="Q21" s="70">
        <f>3.4+2.3+1.9</f>
        <v>7.6</v>
      </c>
      <c r="R21" s="70">
        <f>3.9+2.7+2</f>
        <v>8.6</v>
      </c>
      <c r="S21" s="70">
        <f>3.4+4.2+1.9</f>
        <v>9.5</v>
      </c>
      <c r="T21" s="70">
        <f>3.6+2.7+1.9</f>
        <v>8.2000000000000011</v>
      </c>
      <c r="U21" s="70">
        <f>3.3+2+1.8</f>
        <v>7.1</v>
      </c>
      <c r="V21" s="70">
        <f>3.9+2.7+2</f>
        <v>8.6</v>
      </c>
      <c r="W21" s="70">
        <f>4+2.6+1.9</f>
        <v>8.5</v>
      </c>
      <c r="X21" s="70">
        <f>3.9+2.4+1.7</f>
        <v>8</v>
      </c>
      <c r="Y21" s="70">
        <f>2.6+3.9+2.7</f>
        <v>9.1999999999999993</v>
      </c>
      <c r="Z21" s="70">
        <f>3.9+2+4.2</f>
        <v>10.100000000000001</v>
      </c>
      <c r="AA21" s="70">
        <f>4.1+3.3+4.1</f>
        <v>11.5</v>
      </c>
      <c r="AB21" s="70">
        <f>4.1+3.2+1.4</f>
        <v>8.6999999999999993</v>
      </c>
      <c r="AC21" s="70">
        <f>3.6+2.3+2</f>
        <v>7.9</v>
      </c>
      <c r="AD21" s="70">
        <f>1.9+2+3.6</f>
        <v>7.5</v>
      </c>
      <c r="AE21" s="70">
        <f>3+2.6+1.9</f>
        <v>7.5</v>
      </c>
      <c r="AF21" s="70">
        <f>4+2+1.9</f>
        <v>7.9</v>
      </c>
      <c r="AG21" s="84">
        <f t="shared" si="0"/>
        <v>237.39999999999995</v>
      </c>
      <c r="AH21" s="48"/>
      <c r="AI21" s="48"/>
    </row>
    <row r="22" spans="1:35" s="44" customFormat="1" ht="18.75" customHeight="1" x14ac:dyDescent="0.35">
      <c r="A22" s="60" t="s">
        <v>75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0"/>
      <c r="R22" s="70"/>
      <c r="S22" s="70"/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0">
        <v>3.2</v>
      </c>
      <c r="C23" s="70">
        <v>2.9</v>
      </c>
      <c r="D23" s="70">
        <v>3.2</v>
      </c>
      <c r="E23" s="70">
        <v>2.9</v>
      </c>
      <c r="F23" s="70">
        <v>2.1</v>
      </c>
      <c r="G23" s="70">
        <v>2</v>
      </c>
      <c r="H23" s="70">
        <v>3.2</v>
      </c>
      <c r="I23" s="70">
        <v>2.5</v>
      </c>
      <c r="J23" s="70">
        <v>3.1</v>
      </c>
      <c r="K23" s="70">
        <v>2.5</v>
      </c>
      <c r="L23" s="70">
        <v>2.4</v>
      </c>
      <c r="M23" s="70">
        <v>3.3</v>
      </c>
      <c r="N23" s="70">
        <v>3.1</v>
      </c>
      <c r="O23" s="70">
        <v>3.5</v>
      </c>
      <c r="P23" s="70">
        <v>2.9</v>
      </c>
      <c r="Q23" s="70">
        <v>3.3</v>
      </c>
      <c r="R23" s="70">
        <v>2.6</v>
      </c>
      <c r="S23" s="70">
        <v>3.4</v>
      </c>
      <c r="T23" s="70">
        <v>2.9</v>
      </c>
      <c r="U23" s="70">
        <v>3.4</v>
      </c>
      <c r="V23" s="70">
        <v>2.9</v>
      </c>
      <c r="W23" s="70">
        <v>3.5</v>
      </c>
      <c r="X23" s="70">
        <v>3.3</v>
      </c>
      <c r="Y23" s="70">
        <v>2.9</v>
      </c>
      <c r="Z23" s="70">
        <v>3.9</v>
      </c>
      <c r="AA23" s="70">
        <v>3.3</v>
      </c>
      <c r="AB23" s="70">
        <v>2.8</v>
      </c>
      <c r="AC23" s="70">
        <v>3.7</v>
      </c>
      <c r="AD23" s="70">
        <v>3.5</v>
      </c>
      <c r="AE23" s="70">
        <v>2.9</v>
      </c>
      <c r="AF23" s="70">
        <v>3.2</v>
      </c>
      <c r="AG23" s="46">
        <f t="shared" si="0"/>
        <v>94.3</v>
      </c>
      <c r="AH23" s="48"/>
      <c r="AI23" s="48"/>
    </row>
    <row r="24" spans="1:35" s="44" customFormat="1" ht="18.75" customHeight="1" x14ac:dyDescent="0.35">
      <c r="A24" s="60" t="s">
        <v>78</v>
      </c>
      <c r="B24" s="70">
        <v>6</v>
      </c>
      <c r="C24" s="70">
        <v>7</v>
      </c>
      <c r="D24" s="70">
        <v>8</v>
      </c>
      <c r="E24" s="70">
        <v>6</v>
      </c>
      <c r="F24" s="70">
        <v>5</v>
      </c>
      <c r="G24" s="70">
        <v>6</v>
      </c>
      <c r="H24" s="70">
        <v>5</v>
      </c>
      <c r="I24" s="70">
        <v>6</v>
      </c>
      <c r="J24" s="70">
        <v>6</v>
      </c>
      <c r="K24" s="70">
        <v>9</v>
      </c>
      <c r="L24" s="70">
        <v>5</v>
      </c>
      <c r="M24" s="70">
        <v>6</v>
      </c>
      <c r="N24" s="70">
        <v>5</v>
      </c>
      <c r="O24" s="70">
        <v>6</v>
      </c>
      <c r="P24" s="70">
        <v>6</v>
      </c>
      <c r="Q24" s="70">
        <v>5</v>
      </c>
      <c r="R24" s="70">
        <v>6</v>
      </c>
      <c r="S24" s="70">
        <v>8</v>
      </c>
      <c r="T24" s="70">
        <v>7</v>
      </c>
      <c r="U24" s="70">
        <v>7</v>
      </c>
      <c r="V24" s="70">
        <v>7</v>
      </c>
      <c r="W24" s="70">
        <v>6</v>
      </c>
      <c r="X24" s="70">
        <v>7</v>
      </c>
      <c r="Y24" s="70">
        <v>5</v>
      </c>
      <c r="Z24" s="70">
        <v>9</v>
      </c>
      <c r="AA24" s="70">
        <v>6</v>
      </c>
      <c r="AB24" s="70">
        <v>7</v>
      </c>
      <c r="AC24" s="70">
        <v>7</v>
      </c>
      <c r="AD24" s="70">
        <v>7</v>
      </c>
      <c r="AE24" s="70">
        <v>6</v>
      </c>
      <c r="AF24" s="70">
        <v>6</v>
      </c>
      <c r="AG24" s="46">
        <f t="shared" si="0"/>
        <v>198</v>
      </c>
      <c r="AH24" s="48"/>
      <c r="AI24" s="48"/>
    </row>
    <row r="25" spans="1:35" s="44" customFormat="1" ht="18.75" customHeight="1" x14ac:dyDescent="0.35">
      <c r="A25" s="60" t="s">
        <v>79</v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6"/>
      <c r="C26" s="76"/>
      <c r="D26" s="76"/>
      <c r="E26" s="76"/>
      <c r="F26" s="76"/>
      <c r="G26" s="76"/>
      <c r="H26" s="76"/>
      <c r="I26" s="76"/>
      <c r="J26" s="76"/>
      <c r="K26" s="76"/>
      <c r="L26" s="76"/>
      <c r="M26" s="76"/>
      <c r="N26" s="76"/>
      <c r="O26" s="76"/>
      <c r="P26" s="76"/>
      <c r="Q26" s="76"/>
      <c r="R26" s="76"/>
      <c r="S26" s="76"/>
      <c r="T26" s="76"/>
      <c r="U26" s="76"/>
      <c r="V26" s="76"/>
      <c r="W26" s="76"/>
      <c r="X26" s="76"/>
      <c r="Y26" s="76"/>
      <c r="Z26" s="76"/>
      <c r="AA26" s="76"/>
      <c r="AB26" s="76"/>
      <c r="AC26" s="76"/>
      <c r="AD26" s="76"/>
      <c r="AE26" s="76"/>
      <c r="AF26" s="76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>
        <v>1.5</v>
      </c>
      <c r="C27" s="52">
        <v>2</v>
      </c>
      <c r="D27" s="52">
        <v>1.8</v>
      </c>
      <c r="E27" s="52">
        <v>2.2999999999999998</v>
      </c>
      <c r="F27" s="52">
        <v>1.4</v>
      </c>
      <c r="G27" s="52">
        <v>2.2000000000000002</v>
      </c>
      <c r="H27" s="52">
        <v>1.3</v>
      </c>
      <c r="I27" s="52">
        <v>2.5</v>
      </c>
      <c r="J27" s="52">
        <v>2.4</v>
      </c>
      <c r="K27" s="52">
        <v>1.6</v>
      </c>
      <c r="L27" s="52">
        <v>2.6</v>
      </c>
      <c r="M27" s="52">
        <v>1.7</v>
      </c>
      <c r="N27" s="52">
        <v>2.5</v>
      </c>
      <c r="O27" s="52">
        <v>1.8</v>
      </c>
      <c r="P27" s="52">
        <v>2.9</v>
      </c>
      <c r="Q27" s="52">
        <v>1.9</v>
      </c>
      <c r="R27" s="52">
        <v>2.7</v>
      </c>
      <c r="S27" s="52">
        <v>2.8</v>
      </c>
      <c r="T27" s="52">
        <v>1</v>
      </c>
      <c r="U27" s="52">
        <v>3</v>
      </c>
      <c r="V27" s="52">
        <v>2.4</v>
      </c>
      <c r="W27" s="52">
        <v>1.9</v>
      </c>
      <c r="X27" s="52">
        <v>2.6</v>
      </c>
      <c r="Y27" s="52">
        <v>2.2000000000000002</v>
      </c>
      <c r="Z27" s="52">
        <v>2.8</v>
      </c>
      <c r="AA27" s="52">
        <v>3</v>
      </c>
      <c r="AB27" s="52">
        <v>2.2000000000000002</v>
      </c>
      <c r="AC27" s="52">
        <v>1.3</v>
      </c>
      <c r="AD27" s="52">
        <v>2.4</v>
      </c>
      <c r="AE27" s="52">
        <v>1.9</v>
      </c>
      <c r="AF27" s="52">
        <v>2.8</v>
      </c>
      <c r="AG27" s="46">
        <f t="shared" si="0"/>
        <v>67.399999999999991</v>
      </c>
      <c r="AH27" s="48"/>
      <c r="AI27" s="48"/>
    </row>
    <row r="28" spans="1:35" s="44" customFormat="1" ht="18.75" customHeight="1" x14ac:dyDescent="0.35">
      <c r="A28" s="60" t="s">
        <v>76</v>
      </c>
      <c r="B28" s="76">
        <f>2+1+0.9</f>
        <v>3.9</v>
      </c>
      <c r="C28" s="76">
        <f>3+2.2+1</f>
        <v>6.2</v>
      </c>
      <c r="D28" s="76">
        <f>2.5+1.8+0.3</f>
        <v>4.5999999999999996</v>
      </c>
      <c r="E28" s="76">
        <f>3.5+2.5+1</f>
        <v>7</v>
      </c>
      <c r="F28" s="76">
        <f>1.8+0.9+0.6</f>
        <v>3.3000000000000003</v>
      </c>
      <c r="G28" s="76">
        <f>2.2+1.8+1.5</f>
        <v>5.5</v>
      </c>
      <c r="H28" s="76">
        <f>3.3+2+1.5</f>
        <v>6.8</v>
      </c>
      <c r="I28" s="76">
        <f>3.8+2+1.3</f>
        <v>7.1</v>
      </c>
      <c r="J28" s="76">
        <f>2.3+1.9+0.9</f>
        <v>5.0999999999999996</v>
      </c>
      <c r="K28" s="76">
        <f>2.7+1+2</f>
        <v>5.7</v>
      </c>
      <c r="L28" s="76">
        <f>1.9+2+3</f>
        <v>6.9</v>
      </c>
      <c r="M28" s="76">
        <f>3.5+2.9+1.7</f>
        <v>8.1</v>
      </c>
      <c r="N28" s="76">
        <f>3.6+2.7+1.9</f>
        <v>8.2000000000000011</v>
      </c>
      <c r="O28" s="76">
        <f>3+2.4+1.8</f>
        <v>7.2</v>
      </c>
      <c r="P28" s="76">
        <f>3.4+2.1+2.6</f>
        <v>8.1</v>
      </c>
      <c r="Q28" s="76">
        <f>3.1+2.4+3.9</f>
        <v>9.4</v>
      </c>
      <c r="R28" s="76">
        <f>2.9+3+2.8</f>
        <v>8.6999999999999993</v>
      </c>
      <c r="S28" s="76">
        <f>3+2.6+2.1</f>
        <v>7.6999999999999993</v>
      </c>
      <c r="T28" s="76">
        <f>2+2.6+1.4</f>
        <v>6</v>
      </c>
      <c r="U28" s="76">
        <f>2.2+2.9+1.6</f>
        <v>6.6999999999999993</v>
      </c>
      <c r="V28" s="76">
        <f>1.9+2.3+1.8</f>
        <v>5.9999999999999991</v>
      </c>
      <c r="W28" s="76">
        <f>1.9+2.6+3</f>
        <v>7.5</v>
      </c>
      <c r="X28" s="76">
        <f>2+1.9+2</f>
        <v>5.9</v>
      </c>
      <c r="Y28" s="76">
        <f>1.9+2+3</f>
        <v>6.9</v>
      </c>
      <c r="Z28" s="76">
        <f>3+2.8+1.9</f>
        <v>7.6999999999999993</v>
      </c>
      <c r="AA28" s="76">
        <f>3.6+2+1.9</f>
        <v>7.5</v>
      </c>
      <c r="AB28" s="76">
        <f>3.6+2.7+1.9</f>
        <v>8.2000000000000011</v>
      </c>
      <c r="AC28" s="76">
        <f>3+2+1.9</f>
        <v>6.9</v>
      </c>
      <c r="AD28" s="76">
        <f>3.8+2.4+2</f>
        <v>8.1999999999999993</v>
      </c>
      <c r="AE28" s="76">
        <f>1.7+2+3</f>
        <v>6.7</v>
      </c>
      <c r="AF28" s="76">
        <f>1.9+2+3.6</f>
        <v>7.5</v>
      </c>
      <c r="AG28" s="46">
        <f t="shared" si="0"/>
        <v>211.2</v>
      </c>
      <c r="AH28" s="48"/>
      <c r="AI28" s="48"/>
    </row>
    <row r="29" spans="1:35" s="44" customFormat="1" ht="18.75" customHeight="1" x14ac:dyDescent="0.35">
      <c r="A29" s="60" t="s">
        <v>81</v>
      </c>
      <c r="B29" s="76"/>
      <c r="C29" s="76"/>
      <c r="D29" s="76"/>
      <c r="E29" s="76"/>
      <c r="F29" s="76"/>
      <c r="G29" s="76"/>
      <c r="H29" s="76"/>
      <c r="I29" s="76"/>
      <c r="J29" s="76"/>
      <c r="K29" s="76"/>
      <c r="L29" s="76"/>
      <c r="M29" s="76"/>
      <c r="N29" s="76"/>
      <c r="O29" s="76"/>
      <c r="P29" s="76"/>
      <c r="Q29" s="76"/>
      <c r="R29" s="76"/>
      <c r="S29" s="76"/>
      <c r="T29" s="76"/>
      <c r="U29" s="76"/>
      <c r="V29" s="76"/>
      <c r="W29" s="76"/>
      <c r="X29" s="76"/>
      <c r="Y29" s="76"/>
      <c r="Z29" s="76"/>
      <c r="AA29" s="76"/>
      <c r="AB29" s="76"/>
      <c r="AC29" s="76"/>
      <c r="AD29" s="76"/>
      <c r="AE29" s="76"/>
      <c r="AF29" s="76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6"/>
      <c r="C31" s="76"/>
      <c r="D31" s="76"/>
      <c r="E31" s="76"/>
      <c r="F31" s="76"/>
      <c r="G31" s="76"/>
      <c r="H31" s="76"/>
      <c r="I31" s="76"/>
      <c r="J31" s="76"/>
      <c r="K31" s="76"/>
      <c r="L31" s="76"/>
      <c r="M31" s="76"/>
      <c r="N31" s="76"/>
      <c r="O31" s="76"/>
      <c r="P31" s="76"/>
      <c r="Q31" s="76"/>
      <c r="R31" s="76"/>
      <c r="S31" s="76"/>
      <c r="T31" s="76"/>
      <c r="U31" s="76"/>
      <c r="V31" s="76"/>
      <c r="W31" s="76"/>
      <c r="X31" s="76"/>
      <c r="Y31" s="76"/>
      <c r="Z31" s="76"/>
      <c r="AA31" s="76"/>
      <c r="AB31" s="76"/>
      <c r="AC31" s="76"/>
      <c r="AD31" s="76"/>
      <c r="AE31" s="76"/>
      <c r="AF31" s="76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 t="shared" ref="B33:AF33" si="1">SUM(B3:B32)</f>
        <v>57.1</v>
      </c>
      <c r="C33" s="70">
        <f t="shared" si="1"/>
        <v>61.6</v>
      </c>
      <c r="D33" s="70">
        <f t="shared" si="1"/>
        <v>66.3</v>
      </c>
      <c r="E33" s="70">
        <f t="shared" si="1"/>
        <v>67</v>
      </c>
      <c r="F33" s="70">
        <f t="shared" si="1"/>
        <v>64.099999999999994</v>
      </c>
      <c r="G33" s="70">
        <f t="shared" si="1"/>
        <v>62.8</v>
      </c>
      <c r="H33" s="70">
        <f t="shared" si="1"/>
        <v>56.2</v>
      </c>
      <c r="I33" s="70">
        <f t="shared" si="1"/>
        <v>58.699999999999996</v>
      </c>
      <c r="J33" s="70">
        <f t="shared" si="1"/>
        <v>56.300000000000004</v>
      </c>
      <c r="K33" s="70">
        <f t="shared" si="1"/>
        <v>62.500000000000014</v>
      </c>
      <c r="L33" s="70">
        <f t="shared" si="1"/>
        <v>59.500000000000007</v>
      </c>
      <c r="M33" s="70">
        <f t="shared" si="1"/>
        <v>63.8</v>
      </c>
      <c r="N33" s="70">
        <f t="shared" si="1"/>
        <v>68.599999999999994</v>
      </c>
      <c r="O33" s="70">
        <f t="shared" si="1"/>
        <v>59.199999999999996</v>
      </c>
      <c r="P33" s="70">
        <f t="shared" si="1"/>
        <v>65.8</v>
      </c>
      <c r="Q33" s="70">
        <f t="shared" si="1"/>
        <v>55.8</v>
      </c>
      <c r="R33" s="70">
        <f t="shared" si="1"/>
        <v>64.2</v>
      </c>
      <c r="S33" s="70">
        <f t="shared" si="1"/>
        <v>71.399999999999991</v>
      </c>
      <c r="T33" s="70">
        <f t="shared" si="1"/>
        <v>61.800000000000004</v>
      </c>
      <c r="U33" s="70">
        <f t="shared" si="1"/>
        <v>56</v>
      </c>
      <c r="V33" s="70">
        <f t="shared" si="1"/>
        <v>62.2</v>
      </c>
      <c r="W33" s="70">
        <f t="shared" si="1"/>
        <v>63.199999999999996</v>
      </c>
      <c r="X33" s="70">
        <f t="shared" si="1"/>
        <v>59</v>
      </c>
      <c r="Y33" s="70">
        <f t="shared" si="1"/>
        <v>62.7</v>
      </c>
      <c r="Z33" s="70">
        <f t="shared" si="1"/>
        <v>70.5</v>
      </c>
      <c r="AA33" s="70">
        <f t="shared" si="1"/>
        <v>67.699999999999989</v>
      </c>
      <c r="AB33" s="70">
        <f t="shared" si="1"/>
        <v>63.7</v>
      </c>
      <c r="AC33" s="70">
        <f t="shared" si="1"/>
        <v>57.7</v>
      </c>
      <c r="AD33" s="70">
        <f t="shared" si="1"/>
        <v>61.099999999999994</v>
      </c>
      <c r="AE33" s="70">
        <f t="shared" si="1"/>
        <v>50.1</v>
      </c>
      <c r="AF33" s="70">
        <f t="shared" si="1"/>
        <v>58.2</v>
      </c>
      <c r="AG33" s="56">
        <f t="shared" si="0"/>
        <v>1914.8000000000002</v>
      </c>
      <c r="AH33" s="57"/>
      <c r="AI33" s="57"/>
    </row>
    <row r="34" spans="1:35" s="2" customFormat="1" x14ac:dyDescent="0.25">
      <c r="AG34" s="24">
        <f>SUM(AG3:AG31)</f>
        <v>1914.8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27" priority="2" operator="equal">
      <formula>$AG$34</formula>
    </cfRule>
  </conditionalFormatting>
  <conditionalFormatting sqref="AG34">
    <cfRule type="cellIs" dxfId="26" priority="1" operator="equal">
      <formula>$AG$33</formula>
    </cfRule>
  </conditionalFormatting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60.28515625" customWidth="1"/>
    <col min="2" max="32" width="5.71093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6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/>
      <c r="C4" s="85">
        <v>2</v>
      </c>
      <c r="D4" s="85">
        <v>3</v>
      </c>
      <c r="E4" s="85">
        <v>2.8</v>
      </c>
      <c r="F4" s="85">
        <v>2.2999999999999998</v>
      </c>
      <c r="G4" s="85">
        <v>2.8</v>
      </c>
      <c r="H4" s="85"/>
      <c r="I4" s="86"/>
      <c r="J4" s="85">
        <v>3.1</v>
      </c>
      <c r="K4" s="86">
        <v>2.7</v>
      </c>
      <c r="L4" s="85">
        <v>3.2</v>
      </c>
      <c r="M4" s="86">
        <v>3</v>
      </c>
      <c r="N4" s="85">
        <v>3.2</v>
      </c>
      <c r="O4" s="85"/>
      <c r="P4" s="86"/>
      <c r="Q4" s="85">
        <v>2.9</v>
      </c>
      <c r="R4" s="85">
        <v>2.8</v>
      </c>
      <c r="S4" s="86">
        <v>2</v>
      </c>
      <c r="T4" s="86">
        <v>3</v>
      </c>
      <c r="U4" s="86">
        <v>3.2</v>
      </c>
      <c r="V4" s="86"/>
      <c r="W4" s="85"/>
      <c r="X4" s="85">
        <v>2.8</v>
      </c>
      <c r="Y4" s="85"/>
      <c r="Z4" s="85">
        <v>2.8</v>
      </c>
      <c r="AA4" s="85">
        <v>3.9</v>
      </c>
      <c r="AB4" s="85">
        <v>2.7</v>
      </c>
      <c r="AC4" s="85"/>
      <c r="AD4" s="85"/>
      <c r="AE4" s="85">
        <v>3</v>
      </c>
      <c r="AF4" s="85"/>
      <c r="AG4" s="46">
        <f t="shared" ref="AG4:AG41" si="0">SUM(B4:AF4)</f>
        <v>57.199999999999996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>
        <v>3</v>
      </c>
      <c r="C7" s="87">
        <v>3.2</v>
      </c>
      <c r="D7" s="87">
        <v>3.6</v>
      </c>
      <c r="E7" s="87">
        <v>2.6</v>
      </c>
      <c r="F7" s="87">
        <v>2.5</v>
      </c>
      <c r="G7" s="87">
        <v>2</v>
      </c>
      <c r="H7" s="87">
        <v>3.2</v>
      </c>
      <c r="I7" s="87">
        <v>3.3</v>
      </c>
      <c r="J7" s="87">
        <v>3.7</v>
      </c>
      <c r="K7" s="87">
        <v>2.7</v>
      </c>
      <c r="L7" s="87">
        <v>2.2999999999999998</v>
      </c>
      <c r="M7" s="87">
        <v>2.9</v>
      </c>
      <c r="N7" s="87">
        <v>3.2</v>
      </c>
      <c r="O7" s="87">
        <v>2.6</v>
      </c>
      <c r="P7" s="87">
        <v>3</v>
      </c>
      <c r="Q7" s="87">
        <v>3.3</v>
      </c>
      <c r="R7" s="87">
        <v>3.3</v>
      </c>
      <c r="S7" s="87">
        <v>3.3</v>
      </c>
      <c r="T7" s="87">
        <v>3</v>
      </c>
      <c r="U7" s="87">
        <v>3.1</v>
      </c>
      <c r="V7" s="87">
        <v>2.6</v>
      </c>
      <c r="W7" s="87">
        <v>2.2999999999999998</v>
      </c>
      <c r="X7" s="87">
        <v>2.6</v>
      </c>
      <c r="Y7" s="87">
        <v>2.7</v>
      </c>
      <c r="Z7" s="87">
        <v>2.7</v>
      </c>
      <c r="AA7" s="87">
        <v>3.1</v>
      </c>
      <c r="AB7" s="87">
        <v>2.9</v>
      </c>
      <c r="AC7" s="87">
        <v>3.1</v>
      </c>
      <c r="AD7" s="87">
        <v>2.8</v>
      </c>
      <c r="AE7" s="87">
        <v>2.2999999999999998</v>
      </c>
      <c r="AF7" s="87"/>
      <c r="AG7" s="46">
        <f t="shared" si="0"/>
        <v>86.899999999999977</v>
      </c>
      <c r="AH7" s="48"/>
      <c r="AI7" s="48"/>
    </row>
    <row r="8" spans="1:35" s="44" customFormat="1" ht="18.75" customHeight="1" x14ac:dyDescent="0.35">
      <c r="A8" s="60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87">
        <f>6.5+5</f>
        <v>11.5</v>
      </c>
      <c r="C9" s="87">
        <f>3.9+4.6</f>
        <v>8.5</v>
      </c>
      <c r="D9" s="87">
        <f>3.7+3.9</f>
        <v>7.6</v>
      </c>
      <c r="E9" s="87">
        <f>3+2.5</f>
        <v>5.5</v>
      </c>
      <c r="F9" s="87">
        <f>4.8+4.4</f>
        <v>9.1999999999999993</v>
      </c>
      <c r="G9" s="87">
        <f>5.5+5.1</f>
        <v>10.6</v>
      </c>
      <c r="H9" s="87">
        <f>7+4.3</f>
        <v>11.3</v>
      </c>
      <c r="I9" s="87">
        <f>6.3+3.2</f>
        <v>9.5</v>
      </c>
      <c r="J9" s="87">
        <f>7.7+3.4</f>
        <v>11.1</v>
      </c>
      <c r="K9" s="87">
        <f>8+4</f>
        <v>12</v>
      </c>
      <c r="L9" s="87">
        <f>7.9+3</f>
        <v>10.9</v>
      </c>
      <c r="M9" s="87">
        <f>7.3+2.9</f>
        <v>10.199999999999999</v>
      </c>
      <c r="N9" s="87">
        <f>6.5+4</f>
        <v>10.5</v>
      </c>
      <c r="O9" s="87">
        <f>9.3+3</f>
        <v>12.3</v>
      </c>
      <c r="P9" s="87">
        <f>8.5+3.7</f>
        <v>12.2</v>
      </c>
      <c r="Q9" s="87">
        <f>6.3+4.8</f>
        <v>11.1</v>
      </c>
      <c r="R9" s="87">
        <f>6.5+3.3</f>
        <v>9.8000000000000007</v>
      </c>
      <c r="S9" s="87">
        <f>3.9+2.5</f>
        <v>6.4</v>
      </c>
      <c r="T9" s="87">
        <f>4+3</f>
        <v>7</v>
      </c>
      <c r="U9" s="87">
        <v>3.9</v>
      </c>
      <c r="V9" s="87">
        <f>3.8+4</f>
        <v>7.8</v>
      </c>
      <c r="W9" s="87">
        <f>4.7+5.1</f>
        <v>9.8000000000000007</v>
      </c>
      <c r="X9" s="87">
        <f>5.2+3</f>
        <v>8.1999999999999993</v>
      </c>
      <c r="Y9" s="87">
        <f>6.7+4.1</f>
        <v>10.8</v>
      </c>
      <c r="Z9" s="87">
        <f>8+4.3</f>
        <v>12.3</v>
      </c>
      <c r="AA9" s="87">
        <f>8+3.5</f>
        <v>11.5</v>
      </c>
      <c r="AB9" s="87">
        <f>8+2</f>
        <v>10</v>
      </c>
      <c r="AC9" s="87">
        <f>6.3+2.9</f>
        <v>9.1999999999999993</v>
      </c>
      <c r="AD9" s="87">
        <f>4.2+3.8</f>
        <v>8</v>
      </c>
      <c r="AE9" s="87">
        <f>4.1+3</f>
        <v>7.1</v>
      </c>
      <c r="AF9" s="87"/>
      <c r="AG9" s="46">
        <f t="shared" si="0"/>
        <v>285.80000000000007</v>
      </c>
      <c r="AH9" s="48"/>
      <c r="AI9" s="48"/>
    </row>
    <row r="10" spans="1:35" s="44" customFormat="1" ht="18.75" customHeight="1" x14ac:dyDescent="0.35">
      <c r="A10" s="60" t="s">
        <v>66</v>
      </c>
      <c r="B10" s="88"/>
      <c r="C10" s="88">
        <v>3</v>
      </c>
      <c r="D10" s="88">
        <v>2.9</v>
      </c>
      <c r="E10" s="88">
        <v>3.8</v>
      </c>
      <c r="F10" s="88">
        <v>4.8</v>
      </c>
      <c r="G10" s="88">
        <v>2.1</v>
      </c>
      <c r="H10" s="88">
        <v>3.1</v>
      </c>
      <c r="I10" s="88"/>
      <c r="J10" s="88">
        <v>4.8</v>
      </c>
      <c r="K10" s="88">
        <v>3.7</v>
      </c>
      <c r="L10" s="88">
        <v>4.0999999999999996</v>
      </c>
      <c r="M10" s="88">
        <v>1.1000000000000001</v>
      </c>
      <c r="N10" s="88">
        <v>2.2000000000000002</v>
      </c>
      <c r="O10" s="88">
        <v>3</v>
      </c>
      <c r="P10" s="88">
        <v>4.0999999999999996</v>
      </c>
      <c r="Q10" s="88"/>
      <c r="R10" s="88">
        <v>3.7</v>
      </c>
      <c r="S10" s="88">
        <v>4.0999999999999996</v>
      </c>
      <c r="T10" s="88">
        <v>3.8</v>
      </c>
      <c r="U10" s="88">
        <v>3.1</v>
      </c>
      <c r="V10" s="88">
        <v>4.5999999999999996</v>
      </c>
      <c r="W10" s="88">
        <v>4.8</v>
      </c>
      <c r="X10" s="88">
        <v>3.2</v>
      </c>
      <c r="Y10" s="88"/>
      <c r="Z10" s="88">
        <v>3.2</v>
      </c>
      <c r="AA10" s="88">
        <v>3.9</v>
      </c>
      <c r="AB10" s="88">
        <v>2.2000000000000002</v>
      </c>
      <c r="AC10" s="88">
        <v>3.1</v>
      </c>
      <c r="AD10" s="88">
        <v>4.8</v>
      </c>
      <c r="AE10" s="88">
        <v>3.9</v>
      </c>
      <c r="AF10" s="88"/>
      <c r="AG10" s="46">
        <f t="shared" si="0"/>
        <v>91.100000000000023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8.1999999999999993</v>
      </c>
      <c r="C11" s="87">
        <v>8.5</v>
      </c>
      <c r="D11" s="87">
        <v>9.1</v>
      </c>
      <c r="E11" s="87">
        <v>8.1999999999999993</v>
      </c>
      <c r="F11" s="87">
        <v>8.3000000000000007</v>
      </c>
      <c r="G11" s="87">
        <v>8.5</v>
      </c>
      <c r="H11" s="87">
        <v>9.1999999999999993</v>
      </c>
      <c r="I11" s="87">
        <v>8.4</v>
      </c>
      <c r="J11" s="87">
        <v>8.1</v>
      </c>
      <c r="K11" s="87">
        <v>5.8</v>
      </c>
      <c r="L11" s="87">
        <v>5.2</v>
      </c>
      <c r="M11" s="87">
        <v>5.2</v>
      </c>
      <c r="N11" s="87">
        <v>5.2</v>
      </c>
      <c r="O11" s="87">
        <v>5.0999999999999996</v>
      </c>
      <c r="P11" s="87">
        <v>4.8</v>
      </c>
      <c r="Q11" s="87">
        <v>5.4</v>
      </c>
      <c r="R11" s="87">
        <v>5.4</v>
      </c>
      <c r="S11" s="87">
        <v>4.2</v>
      </c>
      <c r="T11" s="87">
        <v>4.8</v>
      </c>
      <c r="U11" s="87">
        <v>4.8</v>
      </c>
      <c r="V11" s="87">
        <v>5.2</v>
      </c>
      <c r="W11" s="87">
        <v>4.8</v>
      </c>
      <c r="X11" s="87">
        <v>4.8</v>
      </c>
      <c r="Y11" s="87">
        <v>4.2</v>
      </c>
      <c r="Z11" s="87">
        <v>5.4</v>
      </c>
      <c r="AA11" s="87">
        <v>4.8</v>
      </c>
      <c r="AB11" s="87">
        <v>4.9000000000000004</v>
      </c>
      <c r="AC11" s="87">
        <v>5.8</v>
      </c>
      <c r="AD11" s="87">
        <v>5.2</v>
      </c>
      <c r="AE11" s="87">
        <v>4.8</v>
      </c>
      <c r="AF11" s="87"/>
      <c r="AG11" s="46">
        <f t="shared" si="0"/>
        <v>182.30000000000004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46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4.9000000000000004</v>
      </c>
      <c r="C16" s="87">
        <v>5.7</v>
      </c>
      <c r="D16" s="87">
        <v>4.3</v>
      </c>
      <c r="E16" s="87">
        <v>4.7</v>
      </c>
      <c r="F16" s="87">
        <v>4.0999999999999996</v>
      </c>
      <c r="G16" s="87">
        <v>5.0999999999999996</v>
      </c>
      <c r="H16" s="87">
        <v>4.3</v>
      </c>
      <c r="I16" s="87">
        <v>3.9</v>
      </c>
      <c r="J16" s="87">
        <v>4.9000000000000004</v>
      </c>
      <c r="K16" s="87">
        <v>6.1</v>
      </c>
      <c r="L16" s="87">
        <v>7.4</v>
      </c>
      <c r="M16" s="87">
        <v>4.7</v>
      </c>
      <c r="N16" s="87">
        <v>5.2</v>
      </c>
      <c r="O16" s="87">
        <v>4.2</v>
      </c>
      <c r="P16" s="87">
        <v>4.9000000000000004</v>
      </c>
      <c r="Q16" s="87">
        <v>4.8</v>
      </c>
      <c r="R16" s="87">
        <v>4.3</v>
      </c>
      <c r="S16" s="87">
        <v>4.7</v>
      </c>
      <c r="T16" s="87">
        <v>4.0999999999999996</v>
      </c>
      <c r="U16" s="87">
        <v>5.0999999999999996</v>
      </c>
      <c r="V16" s="87">
        <v>5.0999999999999996</v>
      </c>
      <c r="W16" s="87">
        <v>4</v>
      </c>
      <c r="X16" s="87">
        <v>3.8</v>
      </c>
      <c r="Y16" s="87">
        <v>4.5</v>
      </c>
      <c r="Z16" s="87">
        <v>4.0999999999999996</v>
      </c>
      <c r="AA16" s="87">
        <v>3.9</v>
      </c>
      <c r="AB16" s="87">
        <v>5.7</v>
      </c>
      <c r="AC16" s="87">
        <v>3.9</v>
      </c>
      <c r="AD16" s="87">
        <v>5.6</v>
      </c>
      <c r="AE16" s="87">
        <v>7.1</v>
      </c>
      <c r="AF16" s="87"/>
      <c r="AG16" s="46">
        <f t="shared" si="0"/>
        <v>145.09999999999997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>
        <v>2.4</v>
      </c>
      <c r="C23" s="87">
        <v>1.6</v>
      </c>
      <c r="D23" s="87">
        <v>2.4</v>
      </c>
      <c r="E23" s="87">
        <v>2.7</v>
      </c>
      <c r="F23" s="87">
        <v>2.9</v>
      </c>
      <c r="G23" s="87">
        <v>3</v>
      </c>
      <c r="H23" s="87">
        <v>1.9</v>
      </c>
      <c r="I23" s="87">
        <v>1.7</v>
      </c>
      <c r="J23" s="87">
        <v>3.6</v>
      </c>
      <c r="K23" s="87">
        <v>2.7</v>
      </c>
      <c r="L23" s="87">
        <v>2.8</v>
      </c>
      <c r="M23" s="87">
        <f>1.6+1.5</f>
        <v>3.1</v>
      </c>
      <c r="N23" s="87">
        <v>2.4</v>
      </c>
      <c r="O23" s="87">
        <v>1.9</v>
      </c>
      <c r="P23" s="87">
        <v>1.5</v>
      </c>
      <c r="Q23" s="87">
        <v>2.4</v>
      </c>
      <c r="R23" s="87">
        <v>2.2999999999999998</v>
      </c>
      <c r="S23" s="87">
        <v>2.9</v>
      </c>
      <c r="T23" s="87">
        <v>2.8</v>
      </c>
      <c r="U23" s="87">
        <v>2.2000000000000002</v>
      </c>
      <c r="V23" s="87">
        <v>3.2</v>
      </c>
      <c r="W23" s="87">
        <v>4.5999999999999996</v>
      </c>
      <c r="X23" s="87">
        <v>2.8</v>
      </c>
      <c r="Y23" s="88">
        <v>2.4</v>
      </c>
      <c r="Z23" s="88">
        <v>2.8</v>
      </c>
      <c r="AA23" s="88">
        <v>2.6</v>
      </c>
      <c r="AB23" s="88">
        <v>2.7</v>
      </c>
      <c r="AC23" s="88">
        <v>2.9</v>
      </c>
      <c r="AD23" s="88">
        <v>2.2000000000000002</v>
      </c>
      <c r="AE23" s="88">
        <v>3</v>
      </c>
      <c r="AF23" s="88"/>
      <c r="AG23" s="46">
        <f t="shared" si="0"/>
        <v>78.400000000000006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4.5999999999999996</v>
      </c>
      <c r="C24" s="87">
        <v>3.8</v>
      </c>
      <c r="D24" s="87">
        <v>5.6</v>
      </c>
      <c r="E24" s="87">
        <v>4.8</v>
      </c>
      <c r="F24" s="87">
        <v>4.5999999999999996</v>
      </c>
      <c r="G24" s="87">
        <v>5.8</v>
      </c>
      <c r="H24" s="87">
        <v>4.9000000000000004</v>
      </c>
      <c r="I24" s="87">
        <v>5</v>
      </c>
      <c r="J24" s="87">
        <v>4.9000000000000004</v>
      </c>
      <c r="K24" s="87">
        <v>4.8</v>
      </c>
      <c r="L24" s="87">
        <v>4.4000000000000004</v>
      </c>
      <c r="M24" s="87">
        <v>5.0999999999999996</v>
      </c>
      <c r="N24" s="87">
        <v>5</v>
      </c>
      <c r="O24" s="87">
        <v>4.5999999999999996</v>
      </c>
      <c r="P24" s="87">
        <v>3.8</v>
      </c>
      <c r="Q24" s="87">
        <v>4.2</v>
      </c>
      <c r="R24" s="87">
        <v>3.8</v>
      </c>
      <c r="S24" s="87">
        <v>3.9</v>
      </c>
      <c r="T24" s="87">
        <v>4.2</v>
      </c>
      <c r="U24" s="87">
        <v>3.9</v>
      </c>
      <c r="V24" s="87">
        <v>3.6</v>
      </c>
      <c r="W24" s="87">
        <v>4.5</v>
      </c>
      <c r="X24" s="87">
        <v>4.3</v>
      </c>
      <c r="Y24" s="87">
        <v>3.9</v>
      </c>
      <c r="Z24" s="87">
        <v>3.1</v>
      </c>
      <c r="AA24" s="87">
        <v>3.8</v>
      </c>
      <c r="AB24" s="87">
        <v>3.6</v>
      </c>
      <c r="AC24" s="87">
        <v>2.8</v>
      </c>
      <c r="AD24" s="87">
        <v>3.4</v>
      </c>
      <c r="AE24" s="87">
        <v>3</v>
      </c>
      <c r="AF24" s="87"/>
      <c r="AG24" s="46">
        <f t="shared" si="0"/>
        <v>127.69999999999999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>
        <v>2.5</v>
      </c>
      <c r="C26" s="87">
        <v>3.4</v>
      </c>
      <c r="D26" s="87">
        <v>4.5</v>
      </c>
      <c r="E26" s="87">
        <v>4.8</v>
      </c>
      <c r="F26" s="87">
        <v>4.3</v>
      </c>
      <c r="G26" s="87">
        <v>5</v>
      </c>
      <c r="H26" s="87">
        <v>4.7</v>
      </c>
      <c r="I26" s="87">
        <v>3.2</v>
      </c>
      <c r="J26" s="87">
        <v>2.5</v>
      </c>
      <c r="K26" s="87">
        <v>3.8</v>
      </c>
      <c r="L26" s="87">
        <v>4</v>
      </c>
      <c r="M26" s="87">
        <v>3.9</v>
      </c>
      <c r="N26" s="87">
        <v>3.9</v>
      </c>
      <c r="O26" s="87"/>
      <c r="P26" s="87">
        <v>2.6</v>
      </c>
      <c r="Q26" s="87">
        <v>1.7</v>
      </c>
      <c r="R26" s="87">
        <v>2.4</v>
      </c>
      <c r="S26" s="87">
        <v>3.6</v>
      </c>
      <c r="T26" s="87">
        <v>3.6</v>
      </c>
      <c r="U26" s="87">
        <v>2.8</v>
      </c>
      <c r="V26" s="87">
        <v>3.9</v>
      </c>
      <c r="W26" s="87">
        <v>4.5999999999999996</v>
      </c>
      <c r="X26" s="87">
        <v>4.5</v>
      </c>
      <c r="Y26" s="87">
        <v>5.2</v>
      </c>
      <c r="Z26" s="87">
        <v>3</v>
      </c>
      <c r="AA26" s="87">
        <v>2</v>
      </c>
      <c r="AB26" s="87">
        <v>3</v>
      </c>
      <c r="AC26" s="87">
        <v>2.9</v>
      </c>
      <c r="AD26" s="87">
        <v>2.8</v>
      </c>
      <c r="AE26" s="87">
        <v>3.6</v>
      </c>
      <c r="AF26" s="87"/>
      <c r="AG26" s="46">
        <f t="shared" si="0"/>
        <v>102.69999999999999</v>
      </c>
      <c r="AH26" s="48"/>
      <c r="AI26" s="48"/>
    </row>
    <row r="27" spans="1:35" s="44" customFormat="1" ht="18.75" customHeight="1" x14ac:dyDescent="0.35">
      <c r="A27" s="60" t="s">
        <v>73</v>
      </c>
      <c r="B27" s="87">
        <v>1.3</v>
      </c>
      <c r="C27" s="87">
        <v>6.2</v>
      </c>
      <c r="D27" s="87">
        <v>1.3</v>
      </c>
      <c r="E27" s="87">
        <v>2.5</v>
      </c>
      <c r="F27" s="87">
        <v>4.3</v>
      </c>
      <c r="G27" s="87">
        <v>1.5</v>
      </c>
      <c r="H27" s="87">
        <v>3.2</v>
      </c>
      <c r="I27" s="87">
        <v>3.2</v>
      </c>
      <c r="J27" s="87">
        <v>4.3</v>
      </c>
      <c r="K27" s="87">
        <v>2.5</v>
      </c>
      <c r="L27" s="87">
        <v>0.5</v>
      </c>
      <c r="M27" s="87">
        <v>4</v>
      </c>
      <c r="N27" s="87">
        <v>4.3</v>
      </c>
      <c r="O27" s="87">
        <v>3.2</v>
      </c>
      <c r="P27" s="87">
        <v>6.2</v>
      </c>
      <c r="Q27" s="87">
        <v>1.3</v>
      </c>
      <c r="R27" s="87">
        <v>1.4</v>
      </c>
      <c r="S27" s="87">
        <v>2.2000000000000002</v>
      </c>
      <c r="T27" s="87">
        <v>0.9</v>
      </c>
      <c r="U27" s="87">
        <v>1.3</v>
      </c>
      <c r="V27" s="87">
        <v>4.3</v>
      </c>
      <c r="W27" s="87">
        <v>2.2999999999999998</v>
      </c>
      <c r="X27" s="87">
        <v>1.6</v>
      </c>
      <c r="Y27" s="87">
        <v>2</v>
      </c>
      <c r="Z27" s="87">
        <v>3.4</v>
      </c>
      <c r="AA27" s="87">
        <v>4.3</v>
      </c>
      <c r="AB27" s="87">
        <v>6</v>
      </c>
      <c r="AC27" s="87">
        <v>1.4</v>
      </c>
      <c r="AD27" s="87">
        <v>1</v>
      </c>
      <c r="AE27" s="87">
        <v>3.1</v>
      </c>
      <c r="AF27" s="87"/>
      <c r="AG27" s="46">
        <f t="shared" si="0"/>
        <v>84.999999999999986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87">
        <v>1.4</v>
      </c>
      <c r="D28" s="87">
        <v>4.3</v>
      </c>
      <c r="E28" s="87">
        <v>4.5</v>
      </c>
      <c r="F28" s="87">
        <v>1.3</v>
      </c>
      <c r="G28" s="87">
        <v>3.2</v>
      </c>
      <c r="H28" s="87"/>
      <c r="I28" s="87"/>
      <c r="J28" s="87">
        <v>1.6</v>
      </c>
      <c r="K28" s="87">
        <v>2.5</v>
      </c>
      <c r="L28" s="87">
        <v>1.6</v>
      </c>
      <c r="M28" s="87">
        <v>4</v>
      </c>
      <c r="N28" s="87">
        <v>1.5</v>
      </c>
      <c r="O28" s="87"/>
      <c r="P28" s="87"/>
      <c r="Q28" s="87">
        <v>4.3</v>
      </c>
      <c r="R28" s="87">
        <v>3.2</v>
      </c>
      <c r="S28" s="87">
        <v>6</v>
      </c>
      <c r="T28" s="87">
        <v>2</v>
      </c>
      <c r="U28" s="87">
        <v>1.5</v>
      </c>
      <c r="V28" s="87"/>
      <c r="W28" s="87"/>
      <c r="X28" s="87">
        <v>4.0999999999999996</v>
      </c>
      <c r="Y28" s="87">
        <v>1.9</v>
      </c>
      <c r="Z28" s="87">
        <v>3.2</v>
      </c>
      <c r="AA28" s="87">
        <v>2</v>
      </c>
      <c r="AB28" s="87">
        <v>1.6</v>
      </c>
      <c r="AC28" s="87"/>
      <c r="AD28" s="87"/>
      <c r="AE28" s="87">
        <v>3.7</v>
      </c>
      <c r="AF28" s="87"/>
      <c r="AG28" s="46">
        <f t="shared" si="0"/>
        <v>59.400000000000013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v>4.9000000000000004</v>
      </c>
      <c r="C29" s="87">
        <v>3.9</v>
      </c>
      <c r="D29" s="87">
        <v>5.9</v>
      </c>
      <c r="E29" s="87">
        <v>4.9000000000000004</v>
      </c>
      <c r="F29" s="87">
        <v>3.9</v>
      </c>
      <c r="G29" s="87">
        <v>5</v>
      </c>
      <c r="H29" s="87">
        <v>5.0999999999999996</v>
      </c>
      <c r="I29" s="87">
        <v>4.9000000000000004</v>
      </c>
      <c r="J29" s="87">
        <v>5.2</v>
      </c>
      <c r="K29" s="87">
        <v>5</v>
      </c>
      <c r="L29" s="87">
        <v>4.9000000000000004</v>
      </c>
      <c r="M29" s="87">
        <v>4.9000000000000004</v>
      </c>
      <c r="N29" s="87">
        <v>3.8</v>
      </c>
      <c r="O29" s="87">
        <v>5.7</v>
      </c>
      <c r="P29" s="87">
        <v>8</v>
      </c>
      <c r="Q29" s="87">
        <v>4.8</v>
      </c>
      <c r="R29" s="87">
        <v>3.9</v>
      </c>
      <c r="S29" s="87">
        <v>5.9</v>
      </c>
      <c r="T29" s="87">
        <v>5.9</v>
      </c>
      <c r="U29" s="87">
        <v>6</v>
      </c>
      <c r="V29" s="87">
        <v>5</v>
      </c>
      <c r="W29" s="87">
        <v>5.7</v>
      </c>
      <c r="X29" s="87">
        <v>5.9</v>
      </c>
      <c r="Y29" s="87">
        <v>5</v>
      </c>
      <c r="Z29" s="87">
        <v>3.9</v>
      </c>
      <c r="AA29" s="87">
        <v>5.7</v>
      </c>
      <c r="AB29" s="87">
        <v>5.9</v>
      </c>
      <c r="AC29" s="87">
        <v>4.9000000000000004</v>
      </c>
      <c r="AD29" s="87">
        <v>5.7</v>
      </c>
      <c r="AE29" s="87">
        <v>4.9000000000000004</v>
      </c>
      <c r="AF29" s="87"/>
      <c r="AG29" s="46">
        <f t="shared" si="0"/>
        <v>155.10000000000002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/>
      <c r="C31" s="87">
        <v>1.5</v>
      </c>
      <c r="D31" s="87">
        <v>2.2999999999999998</v>
      </c>
      <c r="E31" s="87">
        <v>2.4</v>
      </c>
      <c r="F31" s="87">
        <v>3</v>
      </c>
      <c r="G31" s="87">
        <v>2.1</v>
      </c>
      <c r="H31" s="87">
        <v>2.8</v>
      </c>
      <c r="I31" s="87"/>
      <c r="J31" s="87">
        <v>4.9000000000000004</v>
      </c>
      <c r="K31" s="87">
        <v>3.6</v>
      </c>
      <c r="L31" s="87">
        <v>3.1</v>
      </c>
      <c r="M31" s="87">
        <v>3.7</v>
      </c>
      <c r="N31" s="87">
        <v>3</v>
      </c>
      <c r="O31" s="87">
        <v>2.9</v>
      </c>
      <c r="P31" s="87"/>
      <c r="Q31" s="87">
        <v>3.2</v>
      </c>
      <c r="R31" s="87">
        <v>3.6</v>
      </c>
      <c r="S31" s="87">
        <v>2.6</v>
      </c>
      <c r="T31" s="87">
        <v>3</v>
      </c>
      <c r="U31" s="87">
        <v>1.6</v>
      </c>
      <c r="V31" s="87">
        <v>2.7</v>
      </c>
      <c r="W31" s="87"/>
      <c r="X31" s="87">
        <v>1.5</v>
      </c>
      <c r="Y31" s="87">
        <v>3.4</v>
      </c>
      <c r="Z31" s="87">
        <v>2</v>
      </c>
      <c r="AA31" s="87">
        <v>2.9</v>
      </c>
      <c r="AB31" s="87">
        <v>1.6</v>
      </c>
      <c r="AC31" s="87">
        <v>3</v>
      </c>
      <c r="AD31" s="87"/>
      <c r="AE31" s="87">
        <v>2.4</v>
      </c>
      <c r="AF31" s="87"/>
      <c r="AG31" s="46">
        <f t="shared" si="0"/>
        <v>68.800000000000011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87">
        <v>3</v>
      </c>
      <c r="C33" s="87">
        <v>7</v>
      </c>
      <c r="D33" s="87">
        <v>5</v>
      </c>
      <c r="E33" s="87">
        <v>7</v>
      </c>
      <c r="F33" s="87">
        <v>5</v>
      </c>
      <c r="G33" s="87">
        <f>4+1</f>
        <v>5</v>
      </c>
      <c r="H33" s="87">
        <v>5</v>
      </c>
      <c r="I33" s="87">
        <v>7</v>
      </c>
      <c r="J33" s="87">
        <v>5</v>
      </c>
      <c r="K33" s="87">
        <v>6</v>
      </c>
      <c r="L33" s="87">
        <v>6</v>
      </c>
      <c r="M33" s="87">
        <v>6</v>
      </c>
      <c r="N33" s="87">
        <v>5</v>
      </c>
      <c r="O33" s="87">
        <v>6</v>
      </c>
      <c r="P33" s="87">
        <v>5</v>
      </c>
      <c r="Q33" s="87">
        <v>7</v>
      </c>
      <c r="R33" s="87">
        <v>6</v>
      </c>
      <c r="S33" s="87">
        <v>5</v>
      </c>
      <c r="T33" s="87">
        <v>6.2</v>
      </c>
      <c r="U33" s="87">
        <v>5</v>
      </c>
      <c r="V33" s="87">
        <v>7.5</v>
      </c>
      <c r="W33" s="87">
        <v>6</v>
      </c>
      <c r="X33" s="87">
        <v>7.7</v>
      </c>
      <c r="Y33" s="87">
        <v>6</v>
      </c>
      <c r="Z33" s="87">
        <v>6</v>
      </c>
      <c r="AA33" s="87">
        <v>7</v>
      </c>
      <c r="AB33" s="87">
        <v>5</v>
      </c>
      <c r="AC33" s="87">
        <v>7</v>
      </c>
      <c r="AD33" s="87">
        <v>5</v>
      </c>
      <c r="AE33" s="87">
        <v>7.7</v>
      </c>
      <c r="AF33" s="87"/>
      <c r="AG33" s="46">
        <f t="shared" si="0"/>
        <v>177.1</v>
      </c>
      <c r="AH33" s="48"/>
      <c r="AI33" s="48"/>
    </row>
    <row r="34" spans="1:35" s="44" customFormat="1" ht="18.75" customHeight="1" x14ac:dyDescent="0.35">
      <c r="A34" s="60" t="s">
        <v>79</v>
      </c>
      <c r="B34" s="87">
        <v>4.5999999999999996</v>
      </c>
      <c r="C34" s="87">
        <v>3.8</v>
      </c>
      <c r="D34" s="87">
        <v>5.6</v>
      </c>
      <c r="E34" s="87">
        <v>4.8</v>
      </c>
      <c r="F34" s="87">
        <v>4.5999999999999996</v>
      </c>
      <c r="G34" s="87">
        <v>5.8</v>
      </c>
      <c r="H34" s="87">
        <v>4.9000000000000004</v>
      </c>
      <c r="I34" s="87">
        <v>5</v>
      </c>
      <c r="J34" s="87">
        <v>4.9000000000000004</v>
      </c>
      <c r="K34" s="87">
        <v>4.8</v>
      </c>
      <c r="L34" s="87">
        <v>4.4000000000000004</v>
      </c>
      <c r="M34" s="87">
        <v>5.0999999999999996</v>
      </c>
      <c r="N34" s="87">
        <v>5</v>
      </c>
      <c r="O34" s="87">
        <v>4.5999999999999996</v>
      </c>
      <c r="P34" s="87">
        <v>3.8</v>
      </c>
      <c r="Q34" s="87">
        <v>4.2</v>
      </c>
      <c r="R34" s="87">
        <v>3.8</v>
      </c>
      <c r="S34" s="87">
        <v>3.9</v>
      </c>
      <c r="T34" s="87">
        <v>4.2</v>
      </c>
      <c r="U34" s="87">
        <v>3.9</v>
      </c>
      <c r="V34" s="87">
        <v>3.6</v>
      </c>
      <c r="W34" s="87">
        <v>4.5</v>
      </c>
      <c r="X34" s="87">
        <v>4.3</v>
      </c>
      <c r="Y34" s="87">
        <v>3.9</v>
      </c>
      <c r="Z34" s="87">
        <v>3.1</v>
      </c>
      <c r="AA34" s="87">
        <v>3.8</v>
      </c>
      <c r="AB34" s="87">
        <v>3.6</v>
      </c>
      <c r="AC34" s="87">
        <v>2.8</v>
      </c>
      <c r="AD34" s="87">
        <v>3.4</v>
      </c>
      <c r="AE34" s="87">
        <v>3</v>
      </c>
      <c r="AF34" s="87"/>
      <c r="AG34" s="46">
        <f t="shared" si="0"/>
        <v>127.69999999999999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46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/>
      <c r="C36" s="88">
        <v>3</v>
      </c>
      <c r="D36" s="88">
        <v>2.9</v>
      </c>
      <c r="E36" s="88">
        <v>3.8</v>
      </c>
      <c r="F36" s="88">
        <v>4.8</v>
      </c>
      <c r="G36" s="88">
        <v>2.1</v>
      </c>
      <c r="H36" s="88">
        <v>3.1</v>
      </c>
      <c r="I36" s="88"/>
      <c r="J36" s="88">
        <v>2</v>
      </c>
      <c r="K36" s="88">
        <v>1.2</v>
      </c>
      <c r="L36" s="88">
        <v>2.1</v>
      </c>
      <c r="M36" s="88">
        <v>1</v>
      </c>
      <c r="N36" s="88">
        <v>1.1000000000000001</v>
      </c>
      <c r="O36" s="88">
        <v>1.3</v>
      </c>
      <c r="P36" s="88">
        <v>2.2000000000000002</v>
      </c>
      <c r="Q36" s="88"/>
      <c r="R36" s="88">
        <v>4.8</v>
      </c>
      <c r="S36" s="88">
        <v>3.7</v>
      </c>
      <c r="T36" s="88">
        <v>4.0999999999999996</v>
      </c>
      <c r="U36" s="88">
        <v>1.1000000000000001</v>
      </c>
      <c r="V36" s="88">
        <v>2.2000000000000002</v>
      </c>
      <c r="W36" s="88">
        <v>3</v>
      </c>
      <c r="X36" s="88">
        <v>4</v>
      </c>
      <c r="Y36" s="88"/>
      <c r="Z36" s="88">
        <v>3.7</v>
      </c>
      <c r="AA36" s="88">
        <v>4.0999999999999996</v>
      </c>
      <c r="AB36" s="88">
        <v>3.8</v>
      </c>
      <c r="AC36" s="88">
        <v>3</v>
      </c>
      <c r="AD36" s="88">
        <v>14</v>
      </c>
      <c r="AE36" s="88">
        <v>4.8</v>
      </c>
      <c r="AF36" s="88"/>
      <c r="AG36" s="46">
        <f t="shared" si="0"/>
        <v>86.90000000000002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46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88">
        <f>4.2+3.8+3.9</f>
        <v>11.9</v>
      </c>
      <c r="C38" s="88">
        <f>3.8+4.9+2.9</f>
        <v>11.6</v>
      </c>
      <c r="D38" s="88">
        <f>3.8+4.9+3.2</f>
        <v>11.899999999999999</v>
      </c>
      <c r="E38" s="88">
        <f>3.3+2.5+4.1</f>
        <v>9.8999999999999986</v>
      </c>
      <c r="F38" s="88">
        <f>3.8+2.9+4.1</f>
        <v>10.799999999999999</v>
      </c>
      <c r="G38" s="88">
        <f>3.5+6.8+7.1</f>
        <v>17.399999999999999</v>
      </c>
      <c r="H38" s="88">
        <f>6.8+3.8+4.2</f>
        <v>14.8</v>
      </c>
      <c r="I38" s="88">
        <f>3.4+2.2+4.5</f>
        <v>10.1</v>
      </c>
      <c r="J38" s="88">
        <f>3.5+4.1+2.3</f>
        <v>9.8999999999999986</v>
      </c>
      <c r="K38" s="88">
        <f>2.2+3.1+4.2</f>
        <v>9.5</v>
      </c>
      <c r="L38" s="88">
        <f>5.8+3.1+2.3</f>
        <v>11.2</v>
      </c>
      <c r="M38" s="88">
        <f>2.1+3.1+5.8</f>
        <v>11</v>
      </c>
      <c r="N38" s="88">
        <f>3.1+2.1+6.3</f>
        <v>11.5</v>
      </c>
      <c r="O38" s="88">
        <f>3.5+2.5+2.5</f>
        <v>8.5</v>
      </c>
      <c r="P38" s="88">
        <f>3.1+2.5+2</f>
        <v>7.6</v>
      </c>
      <c r="Q38" s="88">
        <f>3.1+4.2+1.9</f>
        <v>9.2000000000000011</v>
      </c>
      <c r="R38" s="88">
        <f>3.2+2.3+4.1</f>
        <v>9.6</v>
      </c>
      <c r="S38" s="88">
        <f>2.3+3.1+2.9</f>
        <v>8.3000000000000007</v>
      </c>
      <c r="T38" s="88">
        <f>4.1+2.3+2.4</f>
        <v>8.7999999999999989</v>
      </c>
      <c r="U38" s="88">
        <f>2.9+1.9+2.1</f>
        <v>6.9</v>
      </c>
      <c r="V38" s="88">
        <f>3.1+2.1+2.9</f>
        <v>8.1</v>
      </c>
      <c r="W38" s="88">
        <f>2.1+3.1+5.4</f>
        <v>10.600000000000001</v>
      </c>
      <c r="X38" s="88">
        <f>2.3+2.5+2</f>
        <v>6.8</v>
      </c>
      <c r="Y38" s="88">
        <f>5.4+3.2+2.1</f>
        <v>10.700000000000001</v>
      </c>
      <c r="Z38" s="88">
        <f>4.3+3.3+7.8</f>
        <v>15.399999999999999</v>
      </c>
      <c r="AA38" s="88">
        <f>3.1+2.5+3.4</f>
        <v>9</v>
      </c>
      <c r="AB38" s="88">
        <f>1.9+2.2+2.2</f>
        <v>6.3</v>
      </c>
      <c r="AC38" s="88">
        <f>3.9+2.1+1.9</f>
        <v>7.9</v>
      </c>
      <c r="AD38" s="88">
        <f>2.1+2.8+4.5</f>
        <v>9.4</v>
      </c>
      <c r="AE38" s="88">
        <f>1.9+3.1+4.2</f>
        <v>9.1999999999999993</v>
      </c>
      <c r="AF38" s="88"/>
      <c r="AG38" s="46">
        <f t="shared" si="0"/>
        <v>303.7999999999999</v>
      </c>
      <c r="AH38" s="48"/>
      <c r="AI38" s="48"/>
    </row>
    <row r="39" spans="1:35" s="44" customFormat="1" ht="18.75" customHeight="1" x14ac:dyDescent="0.35">
      <c r="A39" s="60" t="s">
        <v>86</v>
      </c>
      <c r="B39" s="88"/>
      <c r="C39" s="88"/>
      <c r="D39" s="88">
        <v>3.5</v>
      </c>
      <c r="E39" s="88">
        <v>4.0999999999999996</v>
      </c>
      <c r="F39" s="88">
        <v>3.3</v>
      </c>
      <c r="G39" s="88">
        <f>6.5+4.2</f>
        <v>10.7</v>
      </c>
      <c r="H39" s="88">
        <v>72</v>
      </c>
      <c r="I39" s="88">
        <v>8.5</v>
      </c>
      <c r="J39" s="88">
        <v>9.8000000000000007</v>
      </c>
      <c r="K39" s="88">
        <v>4.5</v>
      </c>
      <c r="L39" s="88">
        <v>8</v>
      </c>
      <c r="M39" s="88">
        <f>4.7+3</f>
        <v>7.7</v>
      </c>
      <c r="N39" s="88">
        <v>3.6</v>
      </c>
      <c r="O39" s="88">
        <v>8.9</v>
      </c>
      <c r="P39" s="88">
        <v>6.8</v>
      </c>
      <c r="Q39" s="88">
        <v>3.9</v>
      </c>
      <c r="R39" s="88">
        <v>7.8</v>
      </c>
      <c r="S39" s="88">
        <v>8.6999999999999993</v>
      </c>
      <c r="T39" s="88"/>
      <c r="U39" s="88">
        <f>7.5+4.3</f>
        <v>11.8</v>
      </c>
      <c r="V39" s="88">
        <v>12.5</v>
      </c>
      <c r="W39" s="88">
        <f>8.6+3.8</f>
        <v>12.399999999999999</v>
      </c>
      <c r="X39" s="88">
        <v>7.9</v>
      </c>
      <c r="Y39" s="88">
        <f>9+7.6</f>
        <v>16.600000000000001</v>
      </c>
      <c r="Z39" s="88"/>
      <c r="AA39" s="88">
        <v>8.5</v>
      </c>
      <c r="AB39" s="88"/>
      <c r="AC39" s="88">
        <v>7.3</v>
      </c>
      <c r="AD39" s="88"/>
      <c r="AE39" s="88">
        <v>6.3</v>
      </c>
      <c r="AF39" s="88"/>
      <c r="AG39" s="46">
        <f t="shared" si="0"/>
        <v>255.10000000000005</v>
      </c>
      <c r="AH39" s="48"/>
      <c r="AI39" s="48"/>
    </row>
    <row r="40" spans="1:35" s="44" customFormat="1" ht="18.75" customHeight="1" x14ac:dyDescent="0.35">
      <c r="A40" s="60" t="s">
        <v>82</v>
      </c>
      <c r="B40" s="88">
        <f>4.8+6.3+8</f>
        <v>19.100000000000001</v>
      </c>
      <c r="C40" s="88">
        <f>5.3+5.4+4.9</f>
        <v>15.6</v>
      </c>
      <c r="D40" s="88">
        <f>6.6+7.6+5</f>
        <v>19.2</v>
      </c>
      <c r="E40" s="88">
        <f>9.6+7.6+6.8</f>
        <v>24</v>
      </c>
      <c r="F40" s="88">
        <f>6.6+7.6+8.6</f>
        <v>22.799999999999997</v>
      </c>
      <c r="G40" s="88">
        <f>8+9.6+7.6</f>
        <v>25.200000000000003</v>
      </c>
      <c r="H40" s="88">
        <f>4.6+5.6+7.6</f>
        <v>17.799999999999997</v>
      </c>
      <c r="I40" s="88">
        <f>7.8+9.6+7.6</f>
        <v>25</v>
      </c>
      <c r="J40" s="88">
        <f>4.6+6.6+8</f>
        <v>19.2</v>
      </c>
      <c r="K40" s="88">
        <f>5.6+7.6+4.8</f>
        <v>18</v>
      </c>
      <c r="L40" s="88">
        <f>7.8+4.8+5.6</f>
        <v>18.2</v>
      </c>
      <c r="M40" s="88">
        <f>9.6+6.2+7.8</f>
        <v>23.6</v>
      </c>
      <c r="N40" s="88">
        <f>4.8+6.8+6.3</f>
        <v>17.899999999999999</v>
      </c>
      <c r="O40" s="88">
        <f>5.6+7.6+6.8</f>
        <v>20</v>
      </c>
      <c r="P40" s="88">
        <f>6.6+7.8+7.6</f>
        <v>22</v>
      </c>
      <c r="Q40" s="88">
        <f>9.8+7.6+6.8</f>
        <v>24.2</v>
      </c>
      <c r="R40" s="88">
        <f>4.8+5.6+4.6</f>
        <v>14.999999999999998</v>
      </c>
      <c r="S40" s="88">
        <f>5.6+4.8+7.7</f>
        <v>18.099999999999998</v>
      </c>
      <c r="T40" s="88">
        <f>6.8+6.8+7</f>
        <v>20.6</v>
      </c>
      <c r="U40" s="88">
        <f>6.2+7.6+6.6</f>
        <v>20.399999999999999</v>
      </c>
      <c r="V40" s="88">
        <f>5.4+6.6+7.6</f>
        <v>19.600000000000001</v>
      </c>
      <c r="W40" s="88">
        <f>7.8+7.7+7.9</f>
        <v>23.4</v>
      </c>
      <c r="X40" s="88">
        <f>9+9.6+9</f>
        <v>27.6</v>
      </c>
      <c r="Y40" s="88">
        <f>3.6+2.3+4.4</f>
        <v>10.3</v>
      </c>
      <c r="Z40" s="88">
        <f>5.8+6.8+7.6</f>
        <v>20.2</v>
      </c>
      <c r="AA40" s="88">
        <f>8.6+7.8+7.6</f>
        <v>24</v>
      </c>
      <c r="AB40" s="88">
        <f>8.6+9.6+7.7</f>
        <v>25.9</v>
      </c>
      <c r="AC40" s="88">
        <f>9+9.6+7.8</f>
        <v>26.400000000000002</v>
      </c>
      <c r="AD40" s="88">
        <f>4.6+5.6+7.6</f>
        <v>17.799999999999997</v>
      </c>
      <c r="AE40" s="88">
        <f>8.6+7.7+9.6</f>
        <v>25.9</v>
      </c>
      <c r="AF40" s="88"/>
      <c r="AG40" s="46">
        <f t="shared" si="0"/>
        <v>626.99999999999989</v>
      </c>
      <c r="AH40" s="48"/>
      <c r="AI40" s="48"/>
    </row>
    <row r="41" spans="1:35" s="44" customFormat="1" ht="18.75" customHeight="1" x14ac:dyDescent="0.35">
      <c r="A41" s="60" t="s">
        <v>178</v>
      </c>
      <c r="B41" s="106">
        <v>1</v>
      </c>
      <c r="C41" s="106">
        <v>1</v>
      </c>
      <c r="D41" s="106">
        <v>1</v>
      </c>
      <c r="E41" s="106">
        <v>1</v>
      </c>
      <c r="F41" s="106">
        <v>1</v>
      </c>
      <c r="G41" s="106">
        <v>1</v>
      </c>
      <c r="H41" s="106">
        <v>1.5</v>
      </c>
      <c r="I41" s="106">
        <v>1</v>
      </c>
      <c r="J41" s="106">
        <v>1</v>
      </c>
      <c r="K41" s="106">
        <v>1</v>
      </c>
      <c r="L41" s="106">
        <v>1.5</v>
      </c>
      <c r="M41" s="106">
        <v>1</v>
      </c>
      <c r="N41" s="106">
        <v>1</v>
      </c>
      <c r="O41" s="106">
        <v>11</v>
      </c>
      <c r="P41" s="106">
        <v>1</v>
      </c>
      <c r="Q41" s="106">
        <v>1</v>
      </c>
      <c r="R41" s="106">
        <v>1</v>
      </c>
      <c r="S41" s="106">
        <v>1.5</v>
      </c>
      <c r="T41" s="106">
        <v>1.5</v>
      </c>
      <c r="U41" s="106">
        <v>1</v>
      </c>
      <c r="V41" s="106">
        <v>1</v>
      </c>
      <c r="W41" s="106">
        <v>1</v>
      </c>
      <c r="X41" s="106">
        <v>1</v>
      </c>
      <c r="Y41" s="106">
        <v>1.5</v>
      </c>
      <c r="Z41" s="106">
        <v>1.5</v>
      </c>
      <c r="AA41" s="106">
        <v>1</v>
      </c>
      <c r="AB41" s="106">
        <v>1</v>
      </c>
      <c r="AC41" s="106">
        <v>0.9</v>
      </c>
      <c r="AD41" s="106">
        <v>0.9</v>
      </c>
      <c r="AE41" s="106">
        <v>0.9</v>
      </c>
      <c r="AF41" s="88"/>
      <c r="AG41" s="46">
        <f t="shared" si="0"/>
        <v>42.699999999999996</v>
      </c>
      <c r="AH41" s="48"/>
      <c r="AI41" s="48"/>
    </row>
    <row r="42" spans="1:35" s="44" customFormat="1" ht="18.75" customHeight="1" x14ac:dyDescent="0.35">
      <c r="A42" s="59" t="s">
        <v>155</v>
      </c>
      <c r="B42" s="87">
        <f>SUM(B3:B41)</f>
        <v>82.9</v>
      </c>
      <c r="C42" s="87">
        <f t="shared" ref="C42:AF42" si="1">SUM(C3:C41)</f>
        <v>94.699999999999989</v>
      </c>
      <c r="D42" s="87">
        <f t="shared" si="1"/>
        <v>105.89999999999999</v>
      </c>
      <c r="E42" s="87">
        <f t="shared" si="1"/>
        <v>108.79999999999998</v>
      </c>
      <c r="F42" s="87">
        <f t="shared" si="1"/>
        <v>107.79999999999998</v>
      </c>
      <c r="G42" s="87">
        <f t="shared" si="1"/>
        <v>123.9</v>
      </c>
      <c r="H42" s="87">
        <f t="shared" si="1"/>
        <v>172.8</v>
      </c>
      <c r="I42" s="87">
        <f t="shared" si="1"/>
        <v>99.7</v>
      </c>
      <c r="J42" s="87">
        <f t="shared" si="1"/>
        <v>114.5</v>
      </c>
      <c r="K42" s="87">
        <f t="shared" si="1"/>
        <v>102.9</v>
      </c>
      <c r="L42" s="87">
        <f t="shared" si="1"/>
        <v>105.8</v>
      </c>
      <c r="M42" s="87">
        <f t="shared" si="1"/>
        <v>111.20000000000002</v>
      </c>
      <c r="N42" s="87">
        <f t="shared" si="1"/>
        <v>98.499999999999972</v>
      </c>
      <c r="O42" s="87">
        <f t="shared" si="1"/>
        <v>105.80000000000001</v>
      </c>
      <c r="P42" s="87">
        <f t="shared" si="1"/>
        <v>99.5</v>
      </c>
      <c r="Q42" s="87">
        <f t="shared" si="1"/>
        <v>98.9</v>
      </c>
      <c r="R42" s="87">
        <f t="shared" si="1"/>
        <v>97.899999999999991</v>
      </c>
      <c r="S42" s="87">
        <f t="shared" si="1"/>
        <v>100.99999999999999</v>
      </c>
      <c r="T42" s="87">
        <f t="shared" si="1"/>
        <v>93.5</v>
      </c>
      <c r="U42" s="87">
        <f t="shared" si="1"/>
        <v>92.6</v>
      </c>
      <c r="V42" s="87">
        <f t="shared" si="1"/>
        <v>102.5</v>
      </c>
      <c r="W42" s="87">
        <f t="shared" si="1"/>
        <v>108.30000000000001</v>
      </c>
      <c r="X42" s="87">
        <f t="shared" si="1"/>
        <v>109.4</v>
      </c>
      <c r="Y42" s="87">
        <f t="shared" si="1"/>
        <v>94.999999999999986</v>
      </c>
      <c r="Z42" s="87">
        <f t="shared" si="1"/>
        <v>101.8</v>
      </c>
      <c r="AA42" s="87">
        <f t="shared" si="1"/>
        <v>111.79999999999998</v>
      </c>
      <c r="AB42" s="87">
        <f t="shared" si="1"/>
        <v>98.4</v>
      </c>
      <c r="AC42" s="87">
        <f t="shared" si="1"/>
        <v>98.3</v>
      </c>
      <c r="AD42" s="87">
        <f t="shared" si="1"/>
        <v>92</v>
      </c>
      <c r="AE42" s="87">
        <f t="shared" si="1"/>
        <v>109.70000000000002</v>
      </c>
      <c r="AF42" s="87">
        <f t="shared" si="1"/>
        <v>0</v>
      </c>
      <c r="AG42" s="84">
        <f>SUM(B42:AF42)</f>
        <v>3145.8000000000011</v>
      </c>
      <c r="AH42" s="57"/>
      <c r="AI42" s="57"/>
    </row>
    <row r="43" spans="1:35" s="2" customFormat="1" x14ac:dyDescent="0.25">
      <c r="AG43" s="24">
        <f>SUM(AG3:AG40)</f>
        <v>3103.1</v>
      </c>
    </row>
  </sheetData>
  <mergeCells count="1">
    <mergeCell ref="A1:AG1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2.85546875" customWidth="1"/>
    <col min="2" max="32" width="7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>
        <v>3.2</v>
      </c>
      <c r="C4" s="85">
        <v>3</v>
      </c>
      <c r="D4" s="85">
        <v>2.9</v>
      </c>
      <c r="E4" s="85">
        <v>2</v>
      </c>
      <c r="F4" s="85"/>
      <c r="G4" s="85"/>
      <c r="H4" s="85">
        <v>3</v>
      </c>
      <c r="I4" s="86">
        <v>2.9</v>
      </c>
      <c r="J4" s="85">
        <v>2</v>
      </c>
      <c r="K4" s="86">
        <v>3</v>
      </c>
      <c r="L4" s="85">
        <v>3.5</v>
      </c>
      <c r="M4" s="86"/>
      <c r="N4" s="85"/>
      <c r="O4" s="85"/>
      <c r="P4" s="86">
        <v>2.8</v>
      </c>
      <c r="Q4" s="85">
        <v>3.2</v>
      </c>
      <c r="R4" s="85">
        <v>3.5</v>
      </c>
      <c r="S4" s="86">
        <v>2.8</v>
      </c>
      <c r="T4" s="86"/>
      <c r="U4" s="86"/>
      <c r="V4" s="86">
        <v>3</v>
      </c>
      <c r="W4" s="85">
        <v>2.7</v>
      </c>
      <c r="X4" s="85">
        <v>3.5</v>
      </c>
      <c r="Y4" s="85">
        <v>3.7</v>
      </c>
      <c r="Z4" s="85">
        <v>2.9</v>
      </c>
      <c r="AA4" s="85"/>
      <c r="AB4" s="85"/>
      <c r="AC4" s="85">
        <v>3</v>
      </c>
      <c r="AD4" s="85">
        <v>2.8</v>
      </c>
      <c r="AE4" s="85">
        <v>3.2</v>
      </c>
      <c r="AF4" s="85">
        <v>2.5</v>
      </c>
      <c r="AG4" s="103">
        <f t="shared" ref="AG4:AG41" si="0">SUM(B4:AF4)</f>
        <v>65.099999999999994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>
        <v>2.2000000000000002</v>
      </c>
      <c r="C7" s="87">
        <v>2.7</v>
      </c>
      <c r="D7" s="87">
        <v>3</v>
      </c>
      <c r="E7" s="87">
        <v>2.6</v>
      </c>
      <c r="F7" s="87">
        <v>2</v>
      </c>
      <c r="G7" s="87">
        <v>2.2000000000000002</v>
      </c>
      <c r="H7" s="87">
        <v>4.3</v>
      </c>
      <c r="I7" s="87">
        <v>3.3</v>
      </c>
      <c r="J7" s="87">
        <v>3.1</v>
      </c>
      <c r="K7" s="87">
        <v>2.7</v>
      </c>
      <c r="L7" s="87">
        <v>2.8</v>
      </c>
      <c r="M7" s="87">
        <v>2</v>
      </c>
      <c r="N7" s="87">
        <v>2.6</v>
      </c>
      <c r="O7" s="87">
        <v>3.1</v>
      </c>
      <c r="P7" s="87">
        <v>3.3</v>
      </c>
      <c r="Q7" s="87">
        <v>2.1</v>
      </c>
      <c r="R7" s="87">
        <v>2.5</v>
      </c>
      <c r="S7" s="87">
        <v>2.7</v>
      </c>
      <c r="T7" s="87">
        <v>2</v>
      </c>
      <c r="U7" s="87">
        <v>3.6</v>
      </c>
      <c r="V7" s="87">
        <v>2.7</v>
      </c>
      <c r="W7" s="87">
        <v>2.8</v>
      </c>
      <c r="X7" s="87">
        <v>2.6</v>
      </c>
      <c r="Y7" s="87">
        <v>2.7</v>
      </c>
      <c r="Z7" s="87">
        <v>2.6</v>
      </c>
      <c r="AA7" s="87">
        <v>3</v>
      </c>
      <c r="AB7" s="87">
        <v>2.4</v>
      </c>
      <c r="AC7" s="87">
        <v>2.6</v>
      </c>
      <c r="AD7" s="87">
        <v>3.2</v>
      </c>
      <c r="AE7" s="87">
        <v>3.5</v>
      </c>
      <c r="AF7" s="87">
        <v>2.9</v>
      </c>
      <c r="AG7" s="103">
        <f t="shared" si="0"/>
        <v>85.800000000000011</v>
      </c>
      <c r="AH7" s="48"/>
      <c r="AI7" s="48"/>
    </row>
    <row r="8" spans="1:35" s="44" customFormat="1" ht="18.75" customHeight="1" x14ac:dyDescent="0.35">
      <c r="A8" s="60" t="s">
        <v>64</v>
      </c>
      <c r="B8" s="87">
        <v>8</v>
      </c>
      <c r="C8" s="87">
        <v>8.1999999999999993</v>
      </c>
      <c r="D8" s="87">
        <v>7.5</v>
      </c>
      <c r="E8" s="87">
        <v>4.2</v>
      </c>
      <c r="F8" s="87">
        <v>4</v>
      </c>
      <c r="G8" s="87">
        <v>5</v>
      </c>
      <c r="H8" s="87">
        <v>4.8</v>
      </c>
      <c r="I8" s="87">
        <v>4</v>
      </c>
      <c r="J8" s="87">
        <v>8.1999999999999993</v>
      </c>
      <c r="K8" s="87">
        <v>8.5</v>
      </c>
      <c r="L8" s="87">
        <v>8</v>
      </c>
      <c r="M8" s="87">
        <v>8</v>
      </c>
      <c r="N8" s="87">
        <v>8</v>
      </c>
      <c r="O8" s="87">
        <v>8.1999999999999993</v>
      </c>
      <c r="P8" s="87">
        <v>8.8000000000000007</v>
      </c>
      <c r="Q8" s="87">
        <v>8</v>
      </c>
      <c r="R8" s="87">
        <v>8</v>
      </c>
      <c r="S8" s="87">
        <v>8</v>
      </c>
      <c r="T8" s="87">
        <v>8</v>
      </c>
      <c r="U8" s="87">
        <v>6</v>
      </c>
      <c r="V8" s="87">
        <v>6</v>
      </c>
      <c r="W8" s="87">
        <v>6.8</v>
      </c>
      <c r="X8" s="87">
        <v>6</v>
      </c>
      <c r="Y8" s="87">
        <v>6</v>
      </c>
      <c r="Z8" s="87">
        <v>7.5</v>
      </c>
      <c r="AA8" s="87">
        <v>8</v>
      </c>
      <c r="AB8" s="87">
        <v>8</v>
      </c>
      <c r="AC8" s="87">
        <v>8.5</v>
      </c>
      <c r="AD8" s="87">
        <v>8</v>
      </c>
      <c r="AE8" s="87">
        <v>8</v>
      </c>
      <c r="AF8" s="87">
        <v>7.5</v>
      </c>
      <c r="AG8" s="103">
        <f t="shared" si="0"/>
        <v>221.7</v>
      </c>
      <c r="AH8" s="48"/>
      <c r="AI8" s="48"/>
    </row>
    <row r="9" spans="1:35" s="44" customFormat="1" ht="18.75" customHeight="1" x14ac:dyDescent="0.35">
      <c r="A9" s="60" t="s">
        <v>65</v>
      </c>
      <c r="B9" s="87">
        <v>8</v>
      </c>
      <c r="C9" s="87">
        <f>4.4+3.6</f>
        <v>8</v>
      </c>
      <c r="D9" s="87">
        <f>4+3.8</f>
        <v>7.8</v>
      </c>
      <c r="E9" s="87">
        <f>3.8+4.5</f>
        <v>8.3000000000000007</v>
      </c>
      <c r="F9" s="87">
        <f>3.2+3.8</f>
        <v>7</v>
      </c>
      <c r="G9" s="87">
        <f>4.3+4</f>
        <v>8.3000000000000007</v>
      </c>
      <c r="H9" s="87">
        <f>5+4.1</f>
        <v>9.1</v>
      </c>
      <c r="I9" s="87">
        <f>4.3+3.9</f>
        <v>8.1999999999999993</v>
      </c>
      <c r="J9" s="87">
        <f>4.5+5</f>
        <v>9.5</v>
      </c>
      <c r="K9" s="87">
        <f>3.4+3.8</f>
        <v>7.1999999999999993</v>
      </c>
      <c r="L9" s="87">
        <f>3.2+4</f>
        <v>7.2</v>
      </c>
      <c r="M9" s="87">
        <f>3.8+4.2</f>
        <v>8</v>
      </c>
      <c r="N9" s="87">
        <f>5+4.3</f>
        <v>9.3000000000000007</v>
      </c>
      <c r="O9" s="87">
        <f>4.9+3.5</f>
        <v>8.4</v>
      </c>
      <c r="P9" s="87">
        <f>4.7+5.2</f>
        <v>9.9</v>
      </c>
      <c r="Q9" s="87">
        <f>6+4.9</f>
        <v>10.9</v>
      </c>
      <c r="R9" s="87">
        <f>4.7+3.8</f>
        <v>8.5</v>
      </c>
      <c r="S9" s="87">
        <f>6+3.2</f>
        <v>9.1999999999999993</v>
      </c>
      <c r="T9" s="87">
        <f>6.7+4.3</f>
        <v>11</v>
      </c>
      <c r="U9" s="87">
        <f>3.6+4</f>
        <v>7.6</v>
      </c>
      <c r="V9" s="87">
        <f>5+4.2</f>
        <v>9.1999999999999993</v>
      </c>
      <c r="W9" s="87">
        <f>5+4.5</f>
        <v>9.5</v>
      </c>
      <c r="X9" s="87">
        <f>5.3+4.9</f>
        <v>10.199999999999999</v>
      </c>
      <c r="Y9" s="87">
        <f>5+4.8</f>
        <v>9.8000000000000007</v>
      </c>
      <c r="Z9" s="87">
        <f>5.7+4</f>
        <v>9.6999999999999993</v>
      </c>
      <c r="AA9" s="87">
        <f>4.6+4.4</f>
        <v>9</v>
      </c>
      <c r="AB9" s="87">
        <f>5.2+4</f>
        <v>9.1999999999999993</v>
      </c>
      <c r="AC9" s="87">
        <f>5.7+3.6</f>
        <v>9.3000000000000007</v>
      </c>
      <c r="AD9" s="87">
        <v>6.5</v>
      </c>
      <c r="AE9" s="87">
        <f>3.8+4.1</f>
        <v>7.8999999999999995</v>
      </c>
      <c r="AF9" s="87">
        <f>5.6+3.2</f>
        <v>8.8000000000000007</v>
      </c>
      <c r="AG9" s="103">
        <f t="shared" si="0"/>
        <v>270.5</v>
      </c>
      <c r="AH9" s="48"/>
      <c r="AI9" s="48"/>
    </row>
    <row r="10" spans="1:35" s="44" customFormat="1" ht="18.75" customHeight="1" x14ac:dyDescent="0.35">
      <c r="A10" s="60" t="s">
        <v>66</v>
      </c>
      <c r="B10" s="88">
        <v>2.4</v>
      </c>
      <c r="C10" s="88">
        <v>1.3</v>
      </c>
      <c r="D10" s="88">
        <v>1.2</v>
      </c>
      <c r="E10" s="88">
        <v>8.1999999999999993</v>
      </c>
      <c r="F10" s="88">
        <v>2.6</v>
      </c>
      <c r="G10" s="88">
        <v>2.4</v>
      </c>
      <c r="H10" s="88"/>
      <c r="I10" s="88"/>
      <c r="J10" s="88">
        <v>6.8</v>
      </c>
      <c r="K10" s="88">
        <v>2.4</v>
      </c>
      <c r="L10" s="88">
        <v>9.1999999999999993</v>
      </c>
      <c r="M10" s="88">
        <v>3.4</v>
      </c>
      <c r="N10" s="88">
        <v>1.6</v>
      </c>
      <c r="O10" s="88">
        <v>0.7</v>
      </c>
      <c r="P10" s="88">
        <v>1.3</v>
      </c>
      <c r="Q10" s="88">
        <v>1.1000000000000001</v>
      </c>
      <c r="R10" s="88">
        <v>7.9</v>
      </c>
      <c r="S10" s="88">
        <v>2.9</v>
      </c>
      <c r="T10" s="88">
        <v>3.7</v>
      </c>
      <c r="U10" s="88">
        <v>9.1</v>
      </c>
      <c r="V10" s="88">
        <v>1.2</v>
      </c>
      <c r="W10" s="88">
        <v>9.6999999999999993</v>
      </c>
      <c r="X10" s="88">
        <v>9.3000000000000007</v>
      </c>
      <c r="Y10" s="88">
        <v>7.2</v>
      </c>
      <c r="Z10" s="88">
        <v>1.7</v>
      </c>
      <c r="AA10" s="88">
        <v>4.2</v>
      </c>
      <c r="AB10" s="88">
        <v>8.3000000000000007</v>
      </c>
      <c r="AC10" s="88">
        <v>9.4</v>
      </c>
      <c r="AD10" s="88">
        <v>6.1</v>
      </c>
      <c r="AE10" s="88">
        <v>2</v>
      </c>
      <c r="AF10" s="88">
        <v>6.8</v>
      </c>
      <c r="AG10" s="103">
        <f t="shared" si="0"/>
        <v>134.10000000000002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6.3</v>
      </c>
      <c r="C11" s="87">
        <v>6.1</v>
      </c>
      <c r="D11" s="87">
        <v>6</v>
      </c>
      <c r="E11" s="87">
        <v>4.3</v>
      </c>
      <c r="F11" s="87">
        <v>6.9</v>
      </c>
      <c r="G11" s="87">
        <v>5.2</v>
      </c>
      <c r="H11" s="87">
        <v>4.2</v>
      </c>
      <c r="I11" s="87">
        <v>5.2</v>
      </c>
      <c r="J11" s="87">
        <v>6.3</v>
      </c>
      <c r="K11" s="87">
        <v>6</v>
      </c>
      <c r="L11" s="87">
        <v>6.1</v>
      </c>
      <c r="M11" s="87">
        <v>6.3</v>
      </c>
      <c r="N11" s="87">
        <v>5.9</v>
      </c>
      <c r="O11" s="87">
        <v>7.1</v>
      </c>
      <c r="P11" s="87">
        <v>7</v>
      </c>
      <c r="Q11" s="87">
        <v>6.3</v>
      </c>
      <c r="R11" s="87">
        <v>6.1</v>
      </c>
      <c r="S11" s="87">
        <v>6.4</v>
      </c>
      <c r="T11" s="87">
        <v>6.3</v>
      </c>
      <c r="U11" s="87">
        <v>6.8</v>
      </c>
      <c r="V11" s="87">
        <v>6.3</v>
      </c>
      <c r="W11" s="87">
        <v>6.1</v>
      </c>
      <c r="X11" s="87">
        <v>6.6</v>
      </c>
      <c r="Y11" s="87">
        <v>6.4</v>
      </c>
      <c r="Z11" s="87">
        <v>7.1</v>
      </c>
      <c r="AA11" s="87">
        <v>6.4</v>
      </c>
      <c r="AB11" s="87">
        <v>6.9</v>
      </c>
      <c r="AC11" s="87">
        <v>7.1</v>
      </c>
      <c r="AD11" s="87">
        <v>7.1</v>
      </c>
      <c r="AE11" s="87">
        <v>6.2</v>
      </c>
      <c r="AF11" s="87">
        <v>6.8</v>
      </c>
      <c r="AG11" s="103">
        <f t="shared" si="0"/>
        <v>193.79999999999998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3.9</v>
      </c>
      <c r="C16" s="87">
        <v>5.2</v>
      </c>
      <c r="D16" s="87">
        <v>4.7</v>
      </c>
      <c r="E16" s="87">
        <v>5.7</v>
      </c>
      <c r="F16" s="87">
        <v>5.0999999999999996</v>
      </c>
      <c r="G16" s="87">
        <v>3.9</v>
      </c>
      <c r="H16" s="87">
        <v>4.2</v>
      </c>
      <c r="I16" s="87">
        <v>5.3</v>
      </c>
      <c r="J16" s="87">
        <v>2.9</v>
      </c>
      <c r="K16" s="87">
        <v>6.1</v>
      </c>
      <c r="L16" s="87">
        <v>5.3</v>
      </c>
      <c r="M16" s="87">
        <v>3.9</v>
      </c>
      <c r="N16" s="87">
        <v>4.4000000000000004</v>
      </c>
      <c r="O16" s="87">
        <v>4.7</v>
      </c>
      <c r="P16" s="87">
        <v>1.2</v>
      </c>
      <c r="Q16" s="87">
        <v>5.3</v>
      </c>
      <c r="R16" s="87">
        <v>3.9</v>
      </c>
      <c r="S16" s="87">
        <v>2.9</v>
      </c>
      <c r="T16" s="87">
        <v>6.1</v>
      </c>
      <c r="U16" s="87">
        <v>7.2</v>
      </c>
      <c r="V16" s="87">
        <v>4.2</v>
      </c>
      <c r="W16" s="87">
        <v>5.3</v>
      </c>
      <c r="X16" s="87">
        <v>0.7</v>
      </c>
      <c r="Y16" s="87">
        <v>1.3</v>
      </c>
      <c r="Z16" s="87">
        <v>4.7</v>
      </c>
      <c r="AA16" s="87">
        <v>5.0999999999999996</v>
      </c>
      <c r="AB16" s="87">
        <v>6.1</v>
      </c>
      <c r="AC16" s="87">
        <v>3.7</v>
      </c>
      <c r="AD16" s="87">
        <v>4.2</v>
      </c>
      <c r="AE16" s="87">
        <v>1.9</v>
      </c>
      <c r="AF16" s="87">
        <v>2.7</v>
      </c>
      <c r="AG16" s="103">
        <f t="shared" si="0"/>
        <v>131.79999999999998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>
        <v>2</v>
      </c>
      <c r="C19" s="66">
        <v>2.8</v>
      </c>
      <c r="D19" s="66">
        <v>3</v>
      </c>
      <c r="E19" s="66">
        <v>3.6</v>
      </c>
      <c r="F19" s="66">
        <v>2.2999999999999998</v>
      </c>
      <c r="G19" s="66"/>
      <c r="H19" s="66">
        <v>1.5</v>
      </c>
      <c r="I19" s="66">
        <v>3</v>
      </c>
      <c r="J19" s="66">
        <v>2.6</v>
      </c>
      <c r="K19" s="66">
        <v>3.3</v>
      </c>
      <c r="L19" s="66">
        <v>2.8</v>
      </c>
      <c r="M19" s="66">
        <v>3</v>
      </c>
      <c r="N19" s="66"/>
      <c r="O19" s="66"/>
      <c r="P19" s="66">
        <v>2.4</v>
      </c>
      <c r="Q19" s="66">
        <v>2.9</v>
      </c>
      <c r="R19" s="66">
        <v>2.6</v>
      </c>
      <c r="S19" s="66">
        <v>1.9</v>
      </c>
      <c r="T19" s="66">
        <v>3.5</v>
      </c>
      <c r="U19" s="66"/>
      <c r="V19" s="66">
        <v>3.3</v>
      </c>
      <c r="W19" s="66">
        <v>2.2000000000000002</v>
      </c>
      <c r="X19" s="66">
        <v>3</v>
      </c>
      <c r="Y19" s="66">
        <v>2.7</v>
      </c>
      <c r="Z19" s="66">
        <v>2.8</v>
      </c>
      <c r="AA19" s="66">
        <v>3.3</v>
      </c>
      <c r="AB19" s="66"/>
      <c r="AC19" s="66">
        <v>3</v>
      </c>
      <c r="AD19" s="66">
        <v>2.6</v>
      </c>
      <c r="AE19" s="66">
        <v>3</v>
      </c>
      <c r="AF19" s="66">
        <v>2.8</v>
      </c>
      <c r="AG19" s="103">
        <f t="shared" si="0"/>
        <v>71.899999999999991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>
        <v>1.2</v>
      </c>
      <c r="C23" s="87">
        <v>2.4</v>
      </c>
      <c r="D23" s="87">
        <v>2.2999999999999998</v>
      </c>
      <c r="E23" s="87">
        <v>2.4</v>
      </c>
      <c r="F23" s="87">
        <v>2.2000000000000002</v>
      </c>
      <c r="G23" s="87">
        <v>2.1</v>
      </c>
      <c r="H23" s="87">
        <v>3</v>
      </c>
      <c r="I23" s="87">
        <v>2.4</v>
      </c>
      <c r="J23" s="87">
        <f>1.6+1.3</f>
        <v>2.9000000000000004</v>
      </c>
      <c r="K23" s="87">
        <f>1.5+1.2</f>
        <v>2.7</v>
      </c>
      <c r="L23" s="87">
        <f>1.7+1.4</f>
        <v>3.0999999999999996</v>
      </c>
      <c r="M23" s="87">
        <f>1.9+1.3</f>
        <v>3.2</v>
      </c>
      <c r="N23" s="87">
        <f>1.4+1.2</f>
        <v>2.5999999999999996</v>
      </c>
      <c r="O23" s="87">
        <f>1.6+1.3</f>
        <v>2.9000000000000004</v>
      </c>
      <c r="P23" s="87">
        <f>1.2+1.2</f>
        <v>2.4</v>
      </c>
      <c r="Q23" s="87">
        <f>1.3+1.7</f>
        <v>3</v>
      </c>
      <c r="R23" s="87">
        <f>1.9+1.2</f>
        <v>3.0999999999999996</v>
      </c>
      <c r="S23" s="87">
        <f>1.3+1.7</f>
        <v>3</v>
      </c>
      <c r="T23" s="87">
        <f>1.4+1.2</f>
        <v>2.5999999999999996</v>
      </c>
      <c r="U23" s="87">
        <f>1.7+1</f>
        <v>2.7</v>
      </c>
      <c r="V23" s="87">
        <f>1.4+1.3</f>
        <v>2.7</v>
      </c>
      <c r="W23" s="87">
        <f>1.6+1.3</f>
        <v>2.9000000000000004</v>
      </c>
      <c r="X23" s="87">
        <f>1.5+1.3</f>
        <v>2.8</v>
      </c>
      <c r="Y23" s="88">
        <f>1.6+1.1</f>
        <v>2.7</v>
      </c>
      <c r="Z23" s="88">
        <f>2+1.1</f>
        <v>3.1</v>
      </c>
      <c r="AA23" s="88">
        <f>1.6+1.3</f>
        <v>2.9000000000000004</v>
      </c>
      <c r="AB23" s="88">
        <f>1.4+1.7</f>
        <v>3.0999999999999996</v>
      </c>
      <c r="AC23" s="88">
        <f>1.6+1.5</f>
        <v>3.1</v>
      </c>
      <c r="AD23" s="88">
        <f>1.7+1.3</f>
        <v>3</v>
      </c>
      <c r="AE23" s="88">
        <f>1.4+1.6</f>
        <v>3</v>
      </c>
      <c r="AF23" s="88">
        <f>1.3+1.2</f>
        <v>2.5</v>
      </c>
      <c r="AG23" s="103">
        <f t="shared" si="0"/>
        <v>83.999999999999986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3.1</v>
      </c>
      <c r="C24" s="87">
        <v>4.0999999999999996</v>
      </c>
      <c r="D24" s="87">
        <v>3.8</v>
      </c>
      <c r="E24" s="87">
        <v>4.9000000000000004</v>
      </c>
      <c r="F24" s="87">
        <v>4.2</v>
      </c>
      <c r="G24" s="87">
        <v>3.8</v>
      </c>
      <c r="H24" s="87">
        <v>4.9000000000000004</v>
      </c>
      <c r="I24" s="87">
        <v>3.7</v>
      </c>
      <c r="J24" s="87">
        <v>3.1</v>
      </c>
      <c r="K24" s="87">
        <v>4.0999999999999996</v>
      </c>
      <c r="L24" s="87">
        <v>4.8</v>
      </c>
      <c r="M24" s="87">
        <v>4.9000000000000004</v>
      </c>
      <c r="N24" s="87">
        <v>3.5</v>
      </c>
      <c r="O24" s="87">
        <v>4.9000000000000004</v>
      </c>
      <c r="P24" s="87">
        <v>3.5</v>
      </c>
      <c r="Q24" s="87">
        <v>4.0999999999999996</v>
      </c>
      <c r="R24" s="87">
        <v>3.5</v>
      </c>
      <c r="S24" s="87">
        <v>4.0999999999999996</v>
      </c>
      <c r="T24" s="87">
        <v>3.5</v>
      </c>
      <c r="U24" s="87">
        <v>3.8</v>
      </c>
      <c r="V24" s="87">
        <v>5.2</v>
      </c>
      <c r="W24" s="87">
        <v>4.0999999999999996</v>
      </c>
      <c r="X24" s="87">
        <v>4.5</v>
      </c>
      <c r="Y24" s="87">
        <v>5.2</v>
      </c>
      <c r="Z24" s="87">
        <v>4.0999999999999996</v>
      </c>
      <c r="AA24" s="87">
        <v>3.8</v>
      </c>
      <c r="AB24" s="87">
        <v>5.2</v>
      </c>
      <c r="AC24" s="87">
        <v>4.0999999999999996</v>
      </c>
      <c r="AD24" s="87">
        <v>4.9000000000000004</v>
      </c>
      <c r="AE24" s="87">
        <v>5.0999999999999996</v>
      </c>
      <c r="AF24" s="87">
        <v>4.0999999999999996</v>
      </c>
      <c r="AG24" s="103">
        <f t="shared" si="0"/>
        <v>130.6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>
        <v>2.2999999999999998</v>
      </c>
      <c r="C26" s="87">
        <v>3.4</v>
      </c>
      <c r="D26" s="87">
        <v>1.7</v>
      </c>
      <c r="E26" s="87">
        <v>2.7</v>
      </c>
      <c r="F26" s="87">
        <v>3</v>
      </c>
      <c r="G26" s="87"/>
      <c r="H26" s="87">
        <v>2.9</v>
      </c>
      <c r="I26" s="87">
        <v>2</v>
      </c>
      <c r="J26" s="87">
        <v>3.2</v>
      </c>
      <c r="K26" s="87">
        <v>3.9</v>
      </c>
      <c r="L26" s="87">
        <v>1.8</v>
      </c>
      <c r="M26" s="87">
        <v>3</v>
      </c>
      <c r="N26" s="87"/>
      <c r="O26" s="87"/>
      <c r="P26" s="87">
        <v>3.7</v>
      </c>
      <c r="Q26" s="87">
        <v>4.3</v>
      </c>
      <c r="R26" s="87">
        <v>2.9</v>
      </c>
      <c r="S26" s="87">
        <v>4.9000000000000004</v>
      </c>
      <c r="T26" s="87">
        <v>3.9</v>
      </c>
      <c r="U26" s="87"/>
      <c r="V26" s="87">
        <v>3.9</v>
      </c>
      <c r="W26" s="87">
        <v>4.5</v>
      </c>
      <c r="X26" s="87">
        <v>3.8</v>
      </c>
      <c r="Y26" s="87">
        <v>4.3</v>
      </c>
      <c r="Z26" s="87">
        <v>3.6</v>
      </c>
      <c r="AA26" s="87">
        <v>4</v>
      </c>
      <c r="AB26" s="87"/>
      <c r="AC26" s="87">
        <v>4.5</v>
      </c>
      <c r="AD26" s="87">
        <v>3.9</v>
      </c>
      <c r="AE26" s="87">
        <v>4.9000000000000004</v>
      </c>
      <c r="AF26" s="87">
        <v>4.5</v>
      </c>
      <c r="AG26" s="103">
        <f t="shared" si="0"/>
        <v>91.5</v>
      </c>
      <c r="AH26" s="48"/>
      <c r="AI26" s="48"/>
    </row>
    <row r="27" spans="1:35" s="44" customFormat="1" ht="18.75" customHeight="1" x14ac:dyDescent="0.35">
      <c r="A27" s="60" t="s">
        <v>73</v>
      </c>
      <c r="B27" s="87">
        <v>3.1</v>
      </c>
      <c r="C27" s="87">
        <v>2.1</v>
      </c>
      <c r="D27" s="87">
        <v>2.5</v>
      </c>
      <c r="E27" s="87">
        <v>3.1</v>
      </c>
      <c r="F27" s="87"/>
      <c r="G27" s="87"/>
      <c r="H27" s="87">
        <v>2.1</v>
      </c>
      <c r="I27" s="87">
        <v>3.1</v>
      </c>
      <c r="J27" s="87">
        <v>3</v>
      </c>
      <c r="K27" s="87">
        <v>2.5</v>
      </c>
      <c r="L27" s="87">
        <v>3.1</v>
      </c>
      <c r="M27" s="87"/>
      <c r="N27" s="87"/>
      <c r="O27" s="87"/>
      <c r="P27" s="87">
        <v>1.9</v>
      </c>
      <c r="Q27" s="87">
        <v>2.2000000000000002</v>
      </c>
      <c r="R27" s="87">
        <v>3.5</v>
      </c>
      <c r="S27" s="87">
        <v>3.2</v>
      </c>
      <c r="T27" s="87"/>
      <c r="U27" s="87"/>
      <c r="V27" s="87">
        <v>1.7</v>
      </c>
      <c r="W27" s="87">
        <v>3.2</v>
      </c>
      <c r="X27" s="87">
        <v>2.8</v>
      </c>
      <c r="Y27" s="87">
        <v>3.1</v>
      </c>
      <c r="Z27" s="87">
        <v>3.2</v>
      </c>
      <c r="AA27" s="87"/>
      <c r="AB27" s="87"/>
      <c r="AC27" s="87">
        <v>3</v>
      </c>
      <c r="AD27" s="87">
        <v>2.7</v>
      </c>
      <c r="AE27" s="87">
        <v>1.7</v>
      </c>
      <c r="AF27" s="87">
        <v>1.3</v>
      </c>
      <c r="AG27" s="103">
        <f t="shared" si="0"/>
        <v>58.100000000000016</v>
      </c>
      <c r="AH27" s="48"/>
      <c r="AI27" s="48"/>
    </row>
    <row r="28" spans="1:35" s="44" customFormat="1" ht="18.75" customHeight="1" x14ac:dyDescent="0.35">
      <c r="A28" s="60" t="s">
        <v>92</v>
      </c>
      <c r="B28" s="87">
        <v>3</v>
      </c>
      <c r="C28" s="87">
        <v>2.8</v>
      </c>
      <c r="D28" s="87">
        <v>2.6</v>
      </c>
      <c r="E28" s="87">
        <v>3.4</v>
      </c>
      <c r="F28" s="87"/>
      <c r="G28" s="87"/>
      <c r="H28" s="87">
        <v>2.6</v>
      </c>
      <c r="I28" s="87">
        <v>3.2</v>
      </c>
      <c r="J28" s="87">
        <v>2</v>
      </c>
      <c r="K28" s="87">
        <v>3.3</v>
      </c>
      <c r="L28" s="87">
        <v>3.1</v>
      </c>
      <c r="M28" s="87"/>
      <c r="N28" s="87"/>
      <c r="O28" s="87"/>
      <c r="P28" s="87">
        <v>1.8</v>
      </c>
      <c r="Q28" s="87">
        <v>2.2000000000000002</v>
      </c>
      <c r="R28" s="87">
        <v>2.9</v>
      </c>
      <c r="S28" s="87">
        <v>3.1</v>
      </c>
      <c r="T28" s="87"/>
      <c r="U28" s="87"/>
      <c r="V28" s="87">
        <v>1.9</v>
      </c>
      <c r="W28" s="87">
        <v>3.6</v>
      </c>
      <c r="X28" s="87">
        <v>2.8</v>
      </c>
      <c r="Y28" s="87">
        <v>2.1</v>
      </c>
      <c r="Z28" s="87">
        <v>1.7</v>
      </c>
      <c r="AA28" s="87"/>
      <c r="AB28" s="87"/>
      <c r="AC28" s="87">
        <v>3.1</v>
      </c>
      <c r="AD28" s="87">
        <v>3.7</v>
      </c>
      <c r="AE28" s="87">
        <v>1.9</v>
      </c>
      <c r="AF28" s="87">
        <v>1.8</v>
      </c>
      <c r="AG28" s="103">
        <f t="shared" si="0"/>
        <v>58.600000000000009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v>4.9000000000000004</v>
      </c>
      <c r="C29" s="87">
        <v>5</v>
      </c>
      <c r="D29" s="87">
        <v>6</v>
      </c>
      <c r="E29" s="87">
        <v>6.9</v>
      </c>
      <c r="F29" s="87">
        <v>5</v>
      </c>
      <c r="G29" s="87">
        <v>9</v>
      </c>
      <c r="H29" s="87">
        <v>9.5</v>
      </c>
      <c r="I29" s="87">
        <v>3.9</v>
      </c>
      <c r="J29" s="87">
        <v>3.9</v>
      </c>
      <c r="K29" s="87">
        <v>4.9000000000000004</v>
      </c>
      <c r="L29" s="87">
        <v>5.6</v>
      </c>
      <c r="M29" s="87">
        <v>6</v>
      </c>
      <c r="N29" s="87">
        <v>4</v>
      </c>
      <c r="O29" s="87">
        <v>4.8</v>
      </c>
      <c r="P29" s="87">
        <v>4.3</v>
      </c>
      <c r="Q29" s="87">
        <v>3.8</v>
      </c>
      <c r="R29" s="87">
        <v>6.6</v>
      </c>
      <c r="S29" s="87">
        <v>4.5</v>
      </c>
      <c r="T29" s="87">
        <v>4.2</v>
      </c>
      <c r="U29" s="87">
        <v>4</v>
      </c>
      <c r="V29" s="87">
        <v>5.5</v>
      </c>
      <c r="W29" s="87">
        <v>4.2</v>
      </c>
      <c r="X29" s="87">
        <v>3.7</v>
      </c>
      <c r="Y29" s="87">
        <v>3.8</v>
      </c>
      <c r="Z29" s="87">
        <v>3.5</v>
      </c>
      <c r="AA29" s="87">
        <v>4.8</v>
      </c>
      <c r="AB29" s="87">
        <v>4.4000000000000004</v>
      </c>
      <c r="AC29" s="87">
        <v>4.0999999999999996</v>
      </c>
      <c r="AD29" s="87">
        <v>3.9</v>
      </c>
      <c r="AE29" s="87">
        <v>3.7</v>
      </c>
      <c r="AF29" s="87">
        <v>4</v>
      </c>
      <c r="AG29" s="103">
        <f t="shared" si="0"/>
        <v>152.39999999999998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>
        <v>1.8</v>
      </c>
      <c r="C31" s="87">
        <v>1.5</v>
      </c>
      <c r="D31" s="87">
        <v>2</v>
      </c>
      <c r="E31" s="87">
        <v>1.9</v>
      </c>
      <c r="F31" s="87">
        <v>2.2000000000000002</v>
      </c>
      <c r="G31" s="87"/>
      <c r="H31" s="87">
        <v>1</v>
      </c>
      <c r="I31" s="87">
        <v>1.4</v>
      </c>
      <c r="J31" s="87">
        <v>1.6</v>
      </c>
      <c r="K31" s="87">
        <v>1.7</v>
      </c>
      <c r="L31" s="87">
        <v>2.1</v>
      </c>
      <c r="M31" s="87">
        <v>2.2999999999999998</v>
      </c>
      <c r="N31" s="87"/>
      <c r="O31" s="87"/>
      <c r="P31" s="87">
        <v>0.9</v>
      </c>
      <c r="Q31" s="87">
        <v>1.3</v>
      </c>
      <c r="R31" s="87">
        <v>1.5</v>
      </c>
      <c r="S31" s="87">
        <v>1.7</v>
      </c>
      <c r="T31" s="87">
        <v>2</v>
      </c>
      <c r="U31" s="87"/>
      <c r="V31" s="87">
        <v>1.3</v>
      </c>
      <c r="W31" s="87">
        <v>2.1</v>
      </c>
      <c r="X31" s="87">
        <v>1.9</v>
      </c>
      <c r="Y31" s="87">
        <v>2.2000000000000002</v>
      </c>
      <c r="Z31" s="87">
        <v>1.8</v>
      </c>
      <c r="AA31" s="87">
        <v>2.9</v>
      </c>
      <c r="AB31" s="87"/>
      <c r="AC31" s="87">
        <v>2.2999999999999998</v>
      </c>
      <c r="AD31" s="87">
        <v>2</v>
      </c>
      <c r="AE31" s="87">
        <v>2.9</v>
      </c>
      <c r="AF31" s="87">
        <v>3</v>
      </c>
      <c r="AG31" s="103">
        <f t="shared" si="0"/>
        <v>49.3</v>
      </c>
      <c r="AH31" s="48"/>
      <c r="AI31" s="48"/>
    </row>
    <row r="32" spans="1:35" s="44" customFormat="1" ht="18.75" customHeight="1" x14ac:dyDescent="0.35">
      <c r="A32" s="60" t="s">
        <v>77</v>
      </c>
      <c r="B32" s="87">
        <v>2.2999999999999998</v>
      </c>
      <c r="C32" s="87">
        <v>2.1</v>
      </c>
      <c r="D32" s="87">
        <v>2.2000000000000002</v>
      </c>
      <c r="E32" s="87">
        <v>2.6</v>
      </c>
      <c r="F32" s="87"/>
      <c r="G32" s="87"/>
      <c r="H32" s="87">
        <v>2.1</v>
      </c>
      <c r="I32" s="87">
        <v>2.6</v>
      </c>
      <c r="J32" s="87">
        <v>2.1</v>
      </c>
      <c r="K32" s="87">
        <v>2</v>
      </c>
      <c r="L32" s="87">
        <v>2.8</v>
      </c>
      <c r="M32" s="87"/>
      <c r="N32" s="87"/>
      <c r="O32" s="87"/>
      <c r="P32" s="87">
        <v>2.2000000000000002</v>
      </c>
      <c r="Q32" s="87">
        <v>3</v>
      </c>
      <c r="R32" s="87">
        <v>2.4</v>
      </c>
      <c r="S32" s="87">
        <v>3.1</v>
      </c>
      <c r="T32" s="87"/>
      <c r="U32" s="87"/>
      <c r="V32" s="87">
        <v>2.9</v>
      </c>
      <c r="W32" s="87">
        <v>2.7</v>
      </c>
      <c r="X32" s="87">
        <v>2.8</v>
      </c>
      <c r="Y32" s="87">
        <v>3.5</v>
      </c>
      <c r="Z32" s="87">
        <v>3</v>
      </c>
      <c r="AA32" s="87"/>
      <c r="AB32" s="87"/>
      <c r="AC32" s="87">
        <v>2.4</v>
      </c>
      <c r="AD32" s="87">
        <v>2.5</v>
      </c>
      <c r="AE32" s="87">
        <v>3</v>
      </c>
      <c r="AF32" s="87">
        <v>2.8</v>
      </c>
      <c r="AG32" s="103">
        <f t="shared" si="0"/>
        <v>57.099999999999994</v>
      </c>
      <c r="AH32" s="48"/>
      <c r="AI32" s="48"/>
    </row>
    <row r="33" spans="1:35" s="44" customFormat="1" ht="18.75" customHeight="1" x14ac:dyDescent="0.35">
      <c r="A33" s="60" t="s">
        <v>78</v>
      </c>
      <c r="B33" s="87">
        <v>5</v>
      </c>
      <c r="C33" s="87">
        <v>6</v>
      </c>
      <c r="D33" s="87">
        <v>6</v>
      </c>
      <c r="E33" s="87">
        <v>7</v>
      </c>
      <c r="F33" s="87">
        <v>6</v>
      </c>
      <c r="G33" s="87">
        <v>4.5</v>
      </c>
      <c r="H33" s="87">
        <f>4.2+3.5</f>
        <v>7.7</v>
      </c>
      <c r="I33" s="87">
        <v>7</v>
      </c>
      <c r="J33" s="87">
        <v>5.2</v>
      </c>
      <c r="K33" s="87">
        <v>7</v>
      </c>
      <c r="L33" s="87">
        <v>7.5</v>
      </c>
      <c r="M33" s="87">
        <v>7</v>
      </c>
      <c r="N33" s="87">
        <v>6</v>
      </c>
      <c r="O33" s="87">
        <v>7.5</v>
      </c>
      <c r="P33" s="87">
        <f>4.5+3.7</f>
        <v>8.1999999999999993</v>
      </c>
      <c r="Q33" s="87">
        <v>6</v>
      </c>
      <c r="R33" s="87">
        <v>6</v>
      </c>
      <c r="S33" s="87">
        <v>6.7</v>
      </c>
      <c r="T33" s="87">
        <v>6.2</v>
      </c>
      <c r="U33" s="87">
        <v>7.2</v>
      </c>
      <c r="V33" s="87">
        <v>7</v>
      </c>
      <c r="W33" s="87">
        <v>9</v>
      </c>
      <c r="X33" s="87">
        <v>6</v>
      </c>
      <c r="Y33" s="87">
        <v>5</v>
      </c>
      <c r="Z33" s="87">
        <v>6</v>
      </c>
      <c r="AA33" s="87">
        <v>5</v>
      </c>
      <c r="AB33" s="87">
        <v>6</v>
      </c>
      <c r="AC33" s="87">
        <v>6</v>
      </c>
      <c r="AD33" s="87">
        <v>5.0999999999999996</v>
      </c>
      <c r="AE33" s="87">
        <v>6.5</v>
      </c>
      <c r="AF33" s="87">
        <v>6</v>
      </c>
      <c r="AG33" s="103">
        <f t="shared" si="0"/>
        <v>197.3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>
        <v>4.5</v>
      </c>
      <c r="C36" s="88">
        <v>9.1999999999999993</v>
      </c>
      <c r="D36" s="88">
        <v>3.8</v>
      </c>
      <c r="E36" s="88">
        <v>4.8</v>
      </c>
      <c r="F36" s="88">
        <v>4.2</v>
      </c>
      <c r="G36" s="88"/>
      <c r="H36" s="88">
        <v>3.9</v>
      </c>
      <c r="I36" s="88">
        <v>3</v>
      </c>
      <c r="J36" s="88">
        <v>4.5</v>
      </c>
      <c r="K36" s="88">
        <v>3</v>
      </c>
      <c r="L36" s="88">
        <v>2.9</v>
      </c>
      <c r="M36" s="88">
        <v>3.8</v>
      </c>
      <c r="N36" s="88">
        <v>5.3</v>
      </c>
      <c r="O36" s="88">
        <v>64</v>
      </c>
      <c r="P36" s="88">
        <v>4.5</v>
      </c>
      <c r="Q36" s="88">
        <v>3.9</v>
      </c>
      <c r="R36" s="88">
        <v>4.7</v>
      </c>
      <c r="S36" s="88">
        <v>2.2000000000000002</v>
      </c>
      <c r="T36" s="88">
        <v>3.8</v>
      </c>
      <c r="U36" s="88"/>
      <c r="V36" s="88">
        <v>3.9</v>
      </c>
      <c r="W36" s="88">
        <v>3.8</v>
      </c>
      <c r="X36" s="88">
        <v>4.2</v>
      </c>
      <c r="Y36" s="88">
        <v>5.3</v>
      </c>
      <c r="Z36" s="88">
        <v>6.3</v>
      </c>
      <c r="AA36" s="88">
        <v>9.3000000000000007</v>
      </c>
      <c r="AB36" s="88">
        <v>4.8</v>
      </c>
      <c r="AC36" s="88">
        <v>3.8</v>
      </c>
      <c r="AD36" s="88">
        <v>5.2</v>
      </c>
      <c r="AE36" s="88">
        <v>6.3</v>
      </c>
      <c r="AF36" s="88">
        <v>4.8</v>
      </c>
      <c r="AG36" s="103">
        <f t="shared" si="0"/>
        <v>193.70000000000007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88">
        <f>3.5+2.5+2</f>
        <v>8</v>
      </c>
      <c r="C38" s="88">
        <f>3.5+2.3+2.1</f>
        <v>7.9</v>
      </c>
      <c r="D38" s="88">
        <f>3.5+2.9+2</f>
        <v>8.4</v>
      </c>
      <c r="E38" s="88">
        <f>3.7+2.6+2</f>
        <v>8.3000000000000007</v>
      </c>
      <c r="F38" s="88">
        <f>3.4+2.9+2.4</f>
        <v>8.6999999999999993</v>
      </c>
      <c r="G38" s="88">
        <f>3.6+2.3+2.2</f>
        <v>8.1000000000000014</v>
      </c>
      <c r="H38" s="88">
        <f>3+2.7+2.4</f>
        <v>8.1</v>
      </c>
      <c r="I38" s="88">
        <f>3.6+2.5+2.1</f>
        <v>8.1999999999999993</v>
      </c>
      <c r="J38" s="88">
        <f>3+2.5+2.2</f>
        <v>7.7</v>
      </c>
      <c r="K38" s="88">
        <f>3.9+2.7+2.5</f>
        <v>9.1</v>
      </c>
      <c r="L38" s="88">
        <f>3.6+2.4+2.1</f>
        <v>8.1</v>
      </c>
      <c r="M38" s="88">
        <f>3.8+2.4+2.3</f>
        <v>8.5</v>
      </c>
      <c r="N38" s="88">
        <f>3.9+2.2+2</f>
        <v>8.1</v>
      </c>
      <c r="O38" s="88">
        <f>3.5+2.6+2.7</f>
        <v>8.8000000000000007</v>
      </c>
      <c r="P38" s="88">
        <f>3.4+2.9+2.7</f>
        <v>9</v>
      </c>
      <c r="Q38" s="88">
        <v>4</v>
      </c>
      <c r="R38" s="88">
        <f>3.4+2.5+2</f>
        <v>7.9</v>
      </c>
      <c r="S38" s="88">
        <f>3.9+2.2+2.5</f>
        <v>8.6</v>
      </c>
      <c r="T38" s="88">
        <f>2.4+2.1+2.7</f>
        <v>7.2</v>
      </c>
      <c r="U38" s="88">
        <f>2.6+2.3+1.4</f>
        <v>6.3000000000000007</v>
      </c>
      <c r="V38" s="88">
        <f>4+2.2+2</f>
        <v>8.1999999999999993</v>
      </c>
      <c r="W38" s="88">
        <f>2.4+3+2.3</f>
        <v>7.7</v>
      </c>
      <c r="X38" s="88">
        <f>2.1+2.2+2.7</f>
        <v>7.0000000000000009</v>
      </c>
      <c r="Y38" s="88">
        <f>3.1+2.4+2.2</f>
        <v>7.7</v>
      </c>
      <c r="Z38" s="88">
        <f>2.3+2.2+2.1</f>
        <v>6.6</v>
      </c>
      <c r="AA38" s="88">
        <f>2.4+2+2.1</f>
        <v>6.5</v>
      </c>
      <c r="AB38" s="88">
        <f>3.1+2+2</f>
        <v>7.1</v>
      </c>
      <c r="AC38" s="88">
        <f>3+4.1+2</f>
        <v>9.1</v>
      </c>
      <c r="AD38" s="88">
        <f>4.1+3.2+2.1</f>
        <v>9.4</v>
      </c>
      <c r="AE38" s="88">
        <f>3.1+2.2+2</f>
        <v>7.3000000000000007</v>
      </c>
      <c r="AF38" s="88">
        <f>3+2.2+2.1</f>
        <v>7.3000000000000007</v>
      </c>
      <c r="AG38" s="103">
        <f t="shared" si="0"/>
        <v>242.89999999999998</v>
      </c>
      <c r="AH38" s="48"/>
      <c r="AI38" s="48"/>
    </row>
    <row r="39" spans="1:35" s="44" customFormat="1" ht="18.75" customHeight="1" x14ac:dyDescent="0.35">
      <c r="A39" s="60" t="s">
        <v>86</v>
      </c>
      <c r="B39" s="88">
        <v>11.9</v>
      </c>
      <c r="C39" s="88">
        <v>13.1</v>
      </c>
      <c r="D39" s="88">
        <v>14.3</v>
      </c>
      <c r="E39" s="88">
        <v>10.9</v>
      </c>
      <c r="F39" s="88">
        <v>15.6</v>
      </c>
      <c r="G39" s="88">
        <v>17.2</v>
      </c>
      <c r="H39" s="88">
        <v>11.9</v>
      </c>
      <c r="I39" s="88">
        <v>11.3</v>
      </c>
      <c r="J39" s="88">
        <v>16.2</v>
      </c>
      <c r="K39" s="88">
        <v>19.3</v>
      </c>
      <c r="L39" s="88">
        <v>10.3</v>
      </c>
      <c r="M39" s="88">
        <v>15.6</v>
      </c>
      <c r="N39" s="88">
        <v>11.3</v>
      </c>
      <c r="O39" s="88">
        <v>19.100000000000001</v>
      </c>
      <c r="P39" s="88">
        <v>15.1</v>
      </c>
      <c r="Q39" s="88">
        <v>12.1</v>
      </c>
      <c r="R39" s="88">
        <v>12.3</v>
      </c>
      <c r="S39" s="88">
        <v>11.5</v>
      </c>
      <c r="T39" s="88">
        <v>16.3</v>
      </c>
      <c r="U39" s="88">
        <v>19.2</v>
      </c>
      <c r="V39" s="88">
        <v>15.1</v>
      </c>
      <c r="W39" s="88">
        <v>12.1</v>
      </c>
      <c r="X39" s="88">
        <v>13.6</v>
      </c>
      <c r="Y39" s="88">
        <v>11.5</v>
      </c>
      <c r="Z39" s="88">
        <v>11.7</v>
      </c>
      <c r="AA39" s="88"/>
      <c r="AB39" s="88">
        <v>12.6</v>
      </c>
      <c r="AC39" s="88"/>
      <c r="AD39" s="88">
        <v>10.6</v>
      </c>
      <c r="AE39" s="88">
        <v>12.1</v>
      </c>
      <c r="AF39" s="88">
        <v>14.2</v>
      </c>
      <c r="AG39" s="103">
        <f t="shared" si="0"/>
        <v>398.00000000000011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0</v>
      </c>
      <c r="AH40" s="48"/>
      <c r="AI40" s="48"/>
    </row>
    <row r="41" spans="1:35" s="44" customFormat="1" ht="18.75" customHeight="1" x14ac:dyDescent="0.35">
      <c r="A41" s="60" t="s">
        <v>178</v>
      </c>
      <c r="B41" s="88">
        <v>0.5</v>
      </c>
      <c r="C41" s="88">
        <v>0.8</v>
      </c>
      <c r="D41" s="88">
        <v>0.7</v>
      </c>
      <c r="E41" s="88">
        <v>0.5</v>
      </c>
      <c r="F41" s="88">
        <v>0.6</v>
      </c>
      <c r="G41" s="88">
        <v>0.8</v>
      </c>
      <c r="H41" s="88">
        <v>0.8</v>
      </c>
      <c r="I41" s="88">
        <v>0.7</v>
      </c>
      <c r="J41" s="88">
        <v>0.6</v>
      </c>
      <c r="K41" s="88">
        <v>0.8</v>
      </c>
      <c r="L41" s="88">
        <v>1</v>
      </c>
      <c r="M41" s="88">
        <v>1</v>
      </c>
      <c r="N41" s="88">
        <v>1.8</v>
      </c>
      <c r="O41" s="88">
        <v>0.8</v>
      </c>
      <c r="P41" s="88">
        <v>1</v>
      </c>
      <c r="Q41" s="88">
        <v>1</v>
      </c>
      <c r="R41" s="88">
        <v>1</v>
      </c>
      <c r="S41" s="88">
        <v>1</v>
      </c>
      <c r="T41" s="88">
        <v>1</v>
      </c>
      <c r="U41" s="88">
        <v>0.9</v>
      </c>
      <c r="V41" s="88">
        <v>0.8</v>
      </c>
      <c r="W41" s="88">
        <v>0.5</v>
      </c>
      <c r="X41" s="88">
        <v>0.1</v>
      </c>
      <c r="Y41" s="88">
        <v>1</v>
      </c>
      <c r="Z41" s="88">
        <v>1</v>
      </c>
      <c r="AA41" s="88">
        <v>1</v>
      </c>
      <c r="AB41" s="88">
        <v>0.9</v>
      </c>
      <c r="AC41" s="88">
        <v>0.9</v>
      </c>
      <c r="AD41" s="88">
        <v>0.8</v>
      </c>
      <c r="AE41" s="88">
        <v>1</v>
      </c>
      <c r="AF41" s="88">
        <v>1</v>
      </c>
      <c r="AG41" s="103">
        <f t="shared" si="0"/>
        <v>26.3</v>
      </c>
      <c r="AH41" s="48"/>
      <c r="AI41" s="48"/>
    </row>
    <row r="42" spans="1:35" s="44" customFormat="1" ht="18.75" customHeight="1" x14ac:dyDescent="0.35">
      <c r="A42" s="59" t="s">
        <v>155</v>
      </c>
      <c r="B42" s="87">
        <f>SUM(B4:B41)</f>
        <v>87.6</v>
      </c>
      <c r="C42" s="87">
        <f t="shared" ref="C42:AF42" si="1">SUM(C4:C41)</f>
        <v>97.699999999999989</v>
      </c>
      <c r="D42" s="87">
        <f t="shared" si="1"/>
        <v>92.4</v>
      </c>
      <c r="E42" s="87">
        <f t="shared" si="1"/>
        <v>98.3</v>
      </c>
      <c r="F42" s="87">
        <f t="shared" si="1"/>
        <v>81.599999999999994</v>
      </c>
      <c r="G42" s="87">
        <f t="shared" si="1"/>
        <v>72.5</v>
      </c>
      <c r="H42" s="87">
        <f t="shared" si="1"/>
        <v>91.6</v>
      </c>
      <c r="I42" s="87">
        <f t="shared" si="1"/>
        <v>84.4</v>
      </c>
      <c r="J42" s="87">
        <f t="shared" si="1"/>
        <v>97.4</v>
      </c>
      <c r="K42" s="87">
        <f t="shared" si="1"/>
        <v>103.49999999999999</v>
      </c>
      <c r="L42" s="87">
        <f t="shared" si="1"/>
        <v>101.09999999999998</v>
      </c>
      <c r="M42" s="87">
        <f t="shared" si="1"/>
        <v>89.899999999999991</v>
      </c>
      <c r="N42" s="87">
        <f t="shared" si="1"/>
        <v>74.399999999999991</v>
      </c>
      <c r="O42" s="87">
        <f t="shared" si="1"/>
        <v>145</v>
      </c>
      <c r="P42" s="87">
        <f t="shared" si="1"/>
        <v>95.199999999999989</v>
      </c>
      <c r="Q42" s="87">
        <f t="shared" si="1"/>
        <v>90.7</v>
      </c>
      <c r="R42" s="87">
        <f t="shared" si="1"/>
        <v>101.30000000000001</v>
      </c>
      <c r="S42" s="87">
        <f t="shared" si="1"/>
        <v>94.4</v>
      </c>
      <c r="T42" s="87">
        <f t="shared" si="1"/>
        <v>91.300000000000011</v>
      </c>
      <c r="U42" s="87">
        <f t="shared" si="1"/>
        <v>84.4</v>
      </c>
      <c r="V42" s="87">
        <f t="shared" si="1"/>
        <v>96</v>
      </c>
      <c r="W42" s="87">
        <f t="shared" si="1"/>
        <v>105.5</v>
      </c>
      <c r="X42" s="87">
        <f t="shared" si="1"/>
        <v>97.899999999999977</v>
      </c>
      <c r="Y42" s="87">
        <f t="shared" si="1"/>
        <v>97.200000000000017</v>
      </c>
      <c r="Z42" s="87">
        <f t="shared" si="1"/>
        <v>94.6</v>
      </c>
      <c r="AA42" s="87">
        <f t="shared" si="1"/>
        <v>79.199999999999989</v>
      </c>
      <c r="AB42" s="87">
        <f t="shared" si="1"/>
        <v>85</v>
      </c>
      <c r="AC42" s="87">
        <f t="shared" si="1"/>
        <v>93</v>
      </c>
      <c r="AD42" s="87">
        <f t="shared" si="1"/>
        <v>98.2</v>
      </c>
      <c r="AE42" s="87">
        <f t="shared" si="1"/>
        <v>95.1</v>
      </c>
      <c r="AF42" s="87">
        <f t="shared" si="1"/>
        <v>98.1</v>
      </c>
      <c r="AG42" s="105">
        <f>SUM(B42:AF42)</f>
        <v>2914.4999999999995</v>
      </c>
      <c r="AH42" s="57"/>
      <c r="AI42" s="57"/>
    </row>
    <row r="43" spans="1:35" s="2" customFormat="1" x14ac:dyDescent="0.25">
      <c r="AG43" s="24">
        <f>SUM(AG3:AG41)</f>
        <v>2914.5</v>
      </c>
    </row>
  </sheetData>
  <mergeCells count="1">
    <mergeCell ref="A1:AG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34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230</v>
      </c>
      <c r="B10" s="49"/>
      <c r="C10" s="51"/>
      <c r="D10" s="51"/>
      <c r="E10" s="51"/>
      <c r="F10" s="51"/>
      <c r="G10" s="51"/>
      <c r="H10" s="51"/>
      <c r="I10" s="51"/>
      <c r="J10" s="51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152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91</v>
      </c>
      <c r="B13" s="49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69</v>
      </c>
      <c r="B14" s="49"/>
      <c r="C14" s="51"/>
      <c r="D14" s="51"/>
      <c r="E14" s="51"/>
      <c r="F14" s="51"/>
      <c r="G14" s="51"/>
      <c r="H14" s="51"/>
      <c r="I14" s="51"/>
      <c r="J14" s="51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71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72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85</v>
      </c>
      <c r="B17" s="49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194</v>
      </c>
      <c r="B18" s="49"/>
      <c r="C18" s="51"/>
      <c r="D18" s="51"/>
      <c r="E18" s="51"/>
      <c r="F18" s="51"/>
      <c r="G18" s="51"/>
      <c r="H18" s="51"/>
      <c r="I18" s="51"/>
      <c r="J18" s="51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73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229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227</v>
      </c>
      <c r="B21" s="49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228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/>
      <c r="AH22" s="48"/>
      <c r="AI22" s="48"/>
    </row>
    <row r="23" spans="1:35" s="44" customFormat="1" ht="18.75" customHeight="1" x14ac:dyDescent="0.35">
      <c r="A23" s="60" t="s">
        <v>74</v>
      </c>
      <c r="B23" s="49"/>
      <c r="C23" s="51"/>
      <c r="D23" s="51"/>
      <c r="E23" s="51"/>
      <c r="F23" s="51"/>
      <c r="G23" s="51"/>
      <c r="H23" s="51"/>
      <c r="I23" s="51"/>
      <c r="J23" s="51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75</v>
      </c>
      <c r="B24" s="49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>SUM(B24:AF24)</f>
        <v>0</v>
      </c>
      <c r="AH24" s="48"/>
      <c r="AI24" s="48"/>
    </row>
    <row r="25" spans="1:35" s="44" customFormat="1" ht="18.75" customHeight="1" x14ac:dyDescent="0.35">
      <c r="A25" s="60" t="s">
        <v>77</v>
      </c>
      <c r="B25" s="49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49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>
        <v>2.2999999999999998</v>
      </c>
      <c r="C27" s="49"/>
      <c r="D27" s="51"/>
      <c r="E27" s="51"/>
      <c r="F27" s="51"/>
      <c r="G27" s="51"/>
      <c r="H27" s="51"/>
      <c r="I27" s="51"/>
      <c r="J27" s="51"/>
      <c r="K27" s="51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>SUM(C27:AF27)</f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49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Y29" s="51"/>
      <c r="Z29" s="51"/>
      <c r="AA29" s="51"/>
      <c r="AB29" s="51"/>
      <c r="AC29" s="51"/>
      <c r="AD29" s="51"/>
      <c r="AE29" s="51"/>
      <c r="AF29" s="51"/>
      <c r="AG29" s="46">
        <f>SUM(B29:AF29)</f>
        <v>0</v>
      </c>
      <c r="AH29" s="48"/>
      <c r="AI29" s="48"/>
    </row>
    <row r="30" spans="1:35" s="44" customFormat="1" ht="18.75" customHeight="1" x14ac:dyDescent="0.35">
      <c r="A30" s="60">
        <v>0.1</v>
      </c>
      <c r="C30" s="49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>SUM(C30:AF30)</f>
        <v>0</v>
      </c>
      <c r="AH30" s="48"/>
      <c r="AI30" s="48"/>
    </row>
    <row r="31" spans="1:35" s="44" customFormat="1" ht="18.75" customHeight="1" x14ac:dyDescent="0.35">
      <c r="A31" s="60" t="s">
        <v>81</v>
      </c>
      <c r="B31" s="49"/>
      <c r="C31" s="51"/>
      <c r="D31" s="51"/>
      <c r="E31" s="51"/>
      <c r="F31" s="51"/>
      <c r="G31" s="51"/>
      <c r="H31" s="51"/>
      <c r="I31" s="51"/>
      <c r="J31" s="51"/>
      <c r="K31" s="52"/>
      <c r="L31" s="52"/>
      <c r="M31" s="52"/>
      <c r="N31" s="52"/>
      <c r="O31" s="52"/>
      <c r="P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>SUM(B31:AF31)</f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49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49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 t="shared" si="0"/>
        <v>0</v>
      </c>
      <c r="AH33" s="48"/>
      <c r="AI33" s="48"/>
    </row>
    <row r="34" spans="1:35" s="44" customFormat="1" ht="18.75" customHeight="1" x14ac:dyDescent="0.35">
      <c r="A34" s="60" t="s">
        <v>178</v>
      </c>
      <c r="B34" s="49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46">
        <f t="shared" si="0"/>
        <v>0</v>
      </c>
      <c r="AH34" s="48"/>
      <c r="AI34" s="48"/>
    </row>
    <row r="35" spans="1:35" s="44" customFormat="1" ht="18.75" customHeight="1" x14ac:dyDescent="0.35">
      <c r="A35" s="59" t="s">
        <v>155</v>
      </c>
      <c r="B35" s="51">
        <f t="shared" ref="B35:AF35" si="1">SUM(B3:B34)</f>
        <v>0</v>
      </c>
      <c r="C35" s="51">
        <f t="shared" si="1"/>
        <v>0</v>
      </c>
      <c r="D35" s="51">
        <f t="shared" si="1"/>
        <v>0</v>
      </c>
      <c r="E35" s="51">
        <f t="shared" si="1"/>
        <v>0</v>
      </c>
      <c r="F35" s="51">
        <f t="shared" si="1"/>
        <v>0</v>
      </c>
      <c r="G35" s="51">
        <f t="shared" si="1"/>
        <v>0</v>
      </c>
      <c r="H35" s="51">
        <f t="shared" si="1"/>
        <v>0</v>
      </c>
      <c r="I35" s="51">
        <f t="shared" si="1"/>
        <v>0</v>
      </c>
      <c r="J35" s="51">
        <f t="shared" si="1"/>
        <v>0</v>
      </c>
      <c r="K35" s="51">
        <f t="shared" si="1"/>
        <v>0</v>
      </c>
      <c r="L35" s="51">
        <f t="shared" si="1"/>
        <v>0</v>
      </c>
      <c r="M35" s="51">
        <f t="shared" si="1"/>
        <v>0</v>
      </c>
      <c r="N35" s="51">
        <f t="shared" si="1"/>
        <v>0</v>
      </c>
      <c r="O35" s="51">
        <f t="shared" si="1"/>
        <v>0</v>
      </c>
      <c r="P35" s="51">
        <f t="shared" si="1"/>
        <v>0</v>
      </c>
      <c r="Q35" s="51">
        <f t="shared" si="1"/>
        <v>0</v>
      </c>
      <c r="R35" s="51">
        <f t="shared" si="1"/>
        <v>0</v>
      </c>
      <c r="S35" s="51">
        <f t="shared" si="1"/>
        <v>0</v>
      </c>
      <c r="T35" s="51">
        <f t="shared" si="1"/>
        <v>0</v>
      </c>
      <c r="U35" s="51">
        <f t="shared" si="1"/>
        <v>0</v>
      </c>
      <c r="V35" s="51">
        <f t="shared" si="1"/>
        <v>0</v>
      </c>
      <c r="W35" s="51">
        <f t="shared" si="1"/>
        <v>0</v>
      </c>
      <c r="X35" s="51">
        <f t="shared" si="1"/>
        <v>0</v>
      </c>
      <c r="Y35" s="51">
        <f t="shared" si="1"/>
        <v>0</v>
      </c>
      <c r="Z35" s="51">
        <f t="shared" si="1"/>
        <v>0</v>
      </c>
      <c r="AA35" s="51">
        <f t="shared" si="1"/>
        <v>0</v>
      </c>
      <c r="AB35" s="51">
        <f t="shared" si="1"/>
        <v>0</v>
      </c>
      <c r="AC35" s="51">
        <f t="shared" si="1"/>
        <v>0</v>
      </c>
      <c r="AD35" s="51">
        <f t="shared" si="1"/>
        <v>0</v>
      </c>
      <c r="AE35" s="51">
        <f t="shared" si="1"/>
        <v>0</v>
      </c>
      <c r="AF35" s="51">
        <f t="shared" si="1"/>
        <v>0</v>
      </c>
      <c r="AG35" s="56">
        <f>SUM(B35:AF35)</f>
        <v>0</v>
      </c>
      <c r="AH35" s="57"/>
      <c r="AI35" s="57"/>
    </row>
    <row r="36" spans="1:35" s="2" customFormat="1" x14ac:dyDescent="0.25">
      <c r="AG36" s="24">
        <f>SUM(AG3:AG34)</f>
        <v>0</v>
      </c>
    </row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  <row r="44" spans="1:35" s="2" customFormat="1" x14ac:dyDescent="0.25"/>
    <row r="45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5703125" customWidth="1"/>
    <col min="2" max="32" width="7.14062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>
        <v>3.7</v>
      </c>
      <c r="C4" s="85"/>
      <c r="D4" s="85"/>
      <c r="E4" s="85"/>
      <c r="F4" s="85">
        <v>3.7</v>
      </c>
      <c r="G4" s="85">
        <v>4.0999999999999996</v>
      </c>
      <c r="H4" s="85">
        <v>3.7</v>
      </c>
      <c r="I4" s="86">
        <v>2.9</v>
      </c>
      <c r="J4" s="85"/>
      <c r="K4" s="86"/>
      <c r="L4" s="85"/>
      <c r="M4" s="86">
        <v>2.7</v>
      </c>
      <c r="N4" s="85">
        <v>3.6</v>
      </c>
      <c r="O4" s="85">
        <v>3.9</v>
      </c>
      <c r="P4" s="86">
        <v>3.7</v>
      </c>
      <c r="Q4" s="85"/>
      <c r="R4" s="85"/>
      <c r="S4" s="86">
        <v>3.7</v>
      </c>
      <c r="T4" s="86">
        <v>2.5</v>
      </c>
      <c r="U4" s="86">
        <v>2</v>
      </c>
      <c r="V4" s="86">
        <v>2.8</v>
      </c>
      <c r="W4" s="85">
        <v>3.1</v>
      </c>
      <c r="X4" s="85"/>
      <c r="Y4" s="85"/>
      <c r="Z4" s="85">
        <v>3.3</v>
      </c>
      <c r="AA4" s="85">
        <v>3.4</v>
      </c>
      <c r="AB4" s="85">
        <v>3</v>
      </c>
      <c r="AC4" s="85">
        <v>2.6</v>
      </c>
      <c r="AD4" s="85">
        <v>2.5</v>
      </c>
      <c r="AE4" s="85"/>
      <c r="AF4" s="85"/>
      <c r="AG4" s="103">
        <f t="shared" ref="AG4:AG41" si="0">SUM(B4:AF4)</f>
        <v>60.899999999999991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>
        <v>8</v>
      </c>
      <c r="C8" s="87">
        <v>7.5</v>
      </c>
      <c r="D8" s="87">
        <v>8</v>
      </c>
      <c r="E8" s="87">
        <v>8.9</v>
      </c>
      <c r="F8" s="87">
        <v>7.2</v>
      </c>
      <c r="G8" s="87">
        <v>5</v>
      </c>
      <c r="H8" s="87">
        <v>5.9</v>
      </c>
      <c r="I8" s="87">
        <v>5.8</v>
      </c>
      <c r="J8" s="87">
        <v>6</v>
      </c>
      <c r="K8" s="87">
        <v>4.8</v>
      </c>
      <c r="L8" s="87">
        <v>4</v>
      </c>
      <c r="M8" s="87">
        <v>4.5</v>
      </c>
      <c r="N8" s="87">
        <v>4.4000000000000004</v>
      </c>
      <c r="O8" s="87">
        <v>5</v>
      </c>
      <c r="P8" s="87">
        <v>5</v>
      </c>
      <c r="Q8" s="87">
        <v>5.2</v>
      </c>
      <c r="R8" s="87">
        <v>4.8</v>
      </c>
      <c r="S8" s="87">
        <v>4.5</v>
      </c>
      <c r="T8" s="87">
        <v>4</v>
      </c>
      <c r="U8" s="87">
        <v>4.2</v>
      </c>
      <c r="V8" s="87">
        <v>4</v>
      </c>
      <c r="W8" s="87">
        <v>4.2</v>
      </c>
      <c r="X8" s="87">
        <v>4.5</v>
      </c>
      <c r="Y8" s="87">
        <v>4.2</v>
      </c>
      <c r="Z8" s="87">
        <v>4.3</v>
      </c>
      <c r="AA8" s="87">
        <v>4</v>
      </c>
      <c r="AB8" s="87">
        <v>5</v>
      </c>
      <c r="AC8" s="87">
        <v>4.8</v>
      </c>
      <c r="AD8" s="87">
        <v>4.9000000000000004</v>
      </c>
      <c r="AE8" s="87">
        <v>4.2</v>
      </c>
      <c r="AF8" s="87"/>
      <c r="AG8" s="103">
        <f t="shared" si="0"/>
        <v>156.80000000000001</v>
      </c>
      <c r="AH8" s="48"/>
      <c r="AI8" s="48"/>
    </row>
    <row r="9" spans="1:35" s="44" customFormat="1" ht="18.75" customHeight="1" x14ac:dyDescent="0.35">
      <c r="A9" s="60" t="s">
        <v>65</v>
      </c>
      <c r="B9" s="87">
        <f>5.5+2.9</f>
        <v>8.4</v>
      </c>
      <c r="C9" s="87">
        <f>4.9+3</f>
        <v>7.9</v>
      </c>
      <c r="D9" s="87">
        <f>6+3</f>
        <v>9</v>
      </c>
      <c r="E9" s="87">
        <f>4.3+2</f>
        <v>6.3</v>
      </c>
      <c r="F9" s="87">
        <f>5.8+3.1</f>
        <v>8.9</v>
      </c>
      <c r="G9" s="87">
        <f>4.6+2.7</f>
        <v>7.3</v>
      </c>
      <c r="H9" s="87">
        <f>3.9+3</f>
        <v>6.9</v>
      </c>
      <c r="I9" s="87">
        <f>6+3</f>
        <v>9</v>
      </c>
      <c r="J9" s="87">
        <f>6.9+3.6</f>
        <v>10.5</v>
      </c>
      <c r="K9" s="87">
        <f>6.3+3</f>
        <v>9.3000000000000007</v>
      </c>
      <c r="L9" s="87">
        <f>7+3.1</f>
        <v>10.1</v>
      </c>
      <c r="M9" s="87">
        <f>5.5+2</f>
        <v>7.5</v>
      </c>
      <c r="N9" s="87">
        <f>4.8+1.9</f>
        <v>6.6999999999999993</v>
      </c>
      <c r="O9" s="87">
        <f>3.9+2.8</f>
        <v>6.6999999999999993</v>
      </c>
      <c r="P9" s="87">
        <f>5+3.8</f>
        <v>8.8000000000000007</v>
      </c>
      <c r="Q9" s="87">
        <f>7.2+4.9</f>
        <v>12.100000000000001</v>
      </c>
      <c r="R9" s="87">
        <f>6.9+3.7</f>
        <v>10.600000000000001</v>
      </c>
      <c r="S9" s="87">
        <f>7+3</f>
        <v>10</v>
      </c>
      <c r="T9" s="87">
        <f>5.4+3.1</f>
        <v>8.5</v>
      </c>
      <c r="U9" s="87">
        <f>5.2+2</f>
        <v>7.2</v>
      </c>
      <c r="V9" s="87">
        <f>4.9+2</f>
        <v>6.9</v>
      </c>
      <c r="W9" s="87">
        <f>3.9+2.8</f>
        <v>6.6999999999999993</v>
      </c>
      <c r="X9" s="87">
        <f>4+3.1</f>
        <v>7.1</v>
      </c>
      <c r="Y9" s="87">
        <f>3.7+2.1</f>
        <v>5.8000000000000007</v>
      </c>
      <c r="Z9" s="87">
        <f>7.2+3.9</f>
        <v>11.1</v>
      </c>
      <c r="AA9" s="87">
        <f>7+4</f>
        <v>11</v>
      </c>
      <c r="AB9" s="87">
        <f>5.5+3.9</f>
        <v>9.4</v>
      </c>
      <c r="AC9" s="87">
        <f>4.3+3</f>
        <v>7.3</v>
      </c>
      <c r="AD9" s="87">
        <f>4.8+3.6</f>
        <v>8.4</v>
      </c>
      <c r="AE9" s="87">
        <f>3.7+3</f>
        <v>6.7</v>
      </c>
      <c r="AF9" s="87"/>
      <c r="AG9" s="103">
        <f t="shared" si="0"/>
        <v>252.09999999999997</v>
      </c>
      <c r="AH9" s="48"/>
      <c r="AI9" s="48"/>
    </row>
    <row r="10" spans="1:35" s="44" customFormat="1" ht="18.75" customHeight="1" x14ac:dyDescent="0.35">
      <c r="A10" s="60" t="s">
        <v>66</v>
      </c>
      <c r="B10" s="88">
        <v>3.3</v>
      </c>
      <c r="C10" s="88">
        <v>2.2000000000000002</v>
      </c>
      <c r="D10" s="88"/>
      <c r="E10" s="88"/>
      <c r="F10" s="88">
        <v>0.1</v>
      </c>
      <c r="G10" s="88">
        <v>4.2</v>
      </c>
      <c r="H10" s="88">
        <v>2.2000000000000002</v>
      </c>
      <c r="I10" s="88">
        <v>3</v>
      </c>
      <c r="J10" s="88">
        <v>2.2000000000000002</v>
      </c>
      <c r="K10" s="88">
        <v>3.1</v>
      </c>
      <c r="L10" s="88">
        <v>4.0999999999999996</v>
      </c>
      <c r="M10" s="88">
        <v>5.0999999999999996</v>
      </c>
      <c r="N10" s="88">
        <v>4.0999999999999996</v>
      </c>
      <c r="O10" s="88">
        <v>2.2000000000000002</v>
      </c>
      <c r="P10" s="88">
        <v>3.3</v>
      </c>
      <c r="Q10" s="88">
        <v>1.1000000000000001</v>
      </c>
      <c r="R10" s="88">
        <v>3.2</v>
      </c>
      <c r="S10" s="88">
        <v>4.0999999999999996</v>
      </c>
      <c r="T10" s="88"/>
      <c r="U10" s="88"/>
      <c r="V10" s="88"/>
      <c r="W10" s="88">
        <v>2.2000000000000002</v>
      </c>
      <c r="X10" s="88">
        <v>4.0999999999999996</v>
      </c>
      <c r="Y10" s="88">
        <v>3.2</v>
      </c>
      <c r="Z10" s="88">
        <v>6.2</v>
      </c>
      <c r="AA10" s="88">
        <v>5.0999999999999996</v>
      </c>
      <c r="AB10" s="88">
        <v>4.0999999999999996</v>
      </c>
      <c r="AC10" s="88">
        <v>3.1</v>
      </c>
      <c r="AD10" s="88">
        <v>4.0999999999999996</v>
      </c>
      <c r="AE10" s="88">
        <v>1.1000000000000001</v>
      </c>
      <c r="AF10" s="88"/>
      <c r="AG10" s="103">
        <f t="shared" si="0"/>
        <v>80.699999999999989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7.8</v>
      </c>
      <c r="C11" s="87">
        <v>7.8</v>
      </c>
      <c r="D11" s="87">
        <v>7.8</v>
      </c>
      <c r="E11" s="87">
        <v>7.6</v>
      </c>
      <c r="F11" s="87">
        <v>7.8</v>
      </c>
      <c r="G11" s="87">
        <v>7.8</v>
      </c>
      <c r="H11" s="87">
        <v>7.8</v>
      </c>
      <c r="I11" s="87">
        <v>6.5</v>
      </c>
      <c r="J11" s="87">
        <v>7.9</v>
      </c>
      <c r="K11" s="87">
        <v>7.9</v>
      </c>
      <c r="L11" s="87">
        <v>8.1</v>
      </c>
      <c r="M11" s="87">
        <v>7.8</v>
      </c>
      <c r="N11" s="87">
        <v>7.5</v>
      </c>
      <c r="O11" s="87">
        <v>6.9</v>
      </c>
      <c r="P11" s="87">
        <v>6.8</v>
      </c>
      <c r="Q11" s="87">
        <v>7.8</v>
      </c>
      <c r="R11" s="87">
        <v>7.8</v>
      </c>
      <c r="S11" s="87">
        <v>7.2</v>
      </c>
      <c r="T11" s="87">
        <v>7.9</v>
      </c>
      <c r="U11" s="87">
        <v>8.1</v>
      </c>
      <c r="V11" s="87">
        <v>6.9</v>
      </c>
      <c r="W11" s="87">
        <v>7.8</v>
      </c>
      <c r="X11" s="87">
        <v>7.6</v>
      </c>
      <c r="Y11" s="87">
        <v>7.8</v>
      </c>
      <c r="Z11" s="87">
        <v>7.6</v>
      </c>
      <c r="AA11" s="87">
        <v>6.5</v>
      </c>
      <c r="AB11" s="87">
        <v>8.1</v>
      </c>
      <c r="AC11" s="87">
        <v>7.7</v>
      </c>
      <c r="AD11" s="87">
        <v>7.2</v>
      </c>
      <c r="AE11" s="87">
        <v>7.2</v>
      </c>
      <c r="AF11" s="87"/>
      <c r="AG11" s="103">
        <f t="shared" si="0"/>
        <v>226.99999999999997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3.7</v>
      </c>
      <c r="C16" s="87">
        <v>4.3</v>
      </c>
      <c r="D16" s="87">
        <v>3.8</v>
      </c>
      <c r="E16" s="87">
        <v>4.7</v>
      </c>
      <c r="F16" s="87">
        <v>5.2</v>
      </c>
      <c r="G16" s="87">
        <v>3.9</v>
      </c>
      <c r="H16" s="87">
        <v>6.1</v>
      </c>
      <c r="I16" s="87">
        <v>5.3</v>
      </c>
      <c r="J16" s="87">
        <v>5.3</v>
      </c>
      <c r="K16" s="87">
        <v>4.3</v>
      </c>
      <c r="L16" s="87">
        <v>3.9</v>
      </c>
      <c r="M16" s="87">
        <v>4.0999999999999996</v>
      </c>
      <c r="N16" s="87">
        <v>3.7</v>
      </c>
      <c r="O16" s="87">
        <v>7.3</v>
      </c>
      <c r="P16" s="87">
        <v>5.9</v>
      </c>
      <c r="Q16" s="87">
        <v>6.1</v>
      </c>
      <c r="R16" s="87">
        <v>4.2</v>
      </c>
      <c r="S16" s="87">
        <v>3.1</v>
      </c>
      <c r="T16" s="87">
        <v>4.2</v>
      </c>
      <c r="U16" s="87">
        <v>3.6</v>
      </c>
      <c r="V16" s="87">
        <v>3.5</v>
      </c>
      <c r="W16" s="87">
        <v>3.8</v>
      </c>
      <c r="X16" s="87">
        <v>4.5</v>
      </c>
      <c r="Y16" s="87">
        <v>3.7</v>
      </c>
      <c r="Z16" s="87">
        <v>4.8</v>
      </c>
      <c r="AA16" s="87">
        <v>3.5</v>
      </c>
      <c r="AB16" s="87">
        <v>4.3</v>
      </c>
      <c r="AC16" s="87">
        <v>3.1</v>
      </c>
      <c r="AD16" s="87">
        <v>5.3</v>
      </c>
      <c r="AE16" s="87">
        <v>4.5999999999999996</v>
      </c>
      <c r="AF16" s="87"/>
      <c r="AG16" s="103">
        <f t="shared" si="0"/>
        <v>133.79999999999998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>
        <v>3.5</v>
      </c>
      <c r="C19" s="66">
        <v>4</v>
      </c>
      <c r="D19" s="66"/>
      <c r="E19" s="66"/>
      <c r="F19" s="66">
        <v>3.3</v>
      </c>
      <c r="G19" s="66">
        <v>4.2</v>
      </c>
      <c r="H19" s="66">
        <v>3.2</v>
      </c>
      <c r="I19" s="66">
        <v>3.6</v>
      </c>
      <c r="J19" s="66">
        <v>4</v>
      </c>
      <c r="K19" s="66"/>
      <c r="L19" s="66"/>
      <c r="M19" s="66">
        <v>3</v>
      </c>
      <c r="N19" s="66">
        <v>2.5</v>
      </c>
      <c r="O19" s="66">
        <v>3.3</v>
      </c>
      <c r="P19" s="66">
        <v>4.8</v>
      </c>
      <c r="Q19" s="66">
        <v>4.7</v>
      </c>
      <c r="R19" s="66"/>
      <c r="S19" s="66">
        <v>3.4</v>
      </c>
      <c r="T19" s="66">
        <v>3.6</v>
      </c>
      <c r="U19" s="66">
        <v>4.2</v>
      </c>
      <c r="V19" s="66">
        <v>4.4000000000000004</v>
      </c>
      <c r="W19" s="66">
        <v>3</v>
      </c>
      <c r="X19" s="66">
        <v>3.6</v>
      </c>
      <c r="Y19" s="66"/>
      <c r="Z19" s="66">
        <v>3.4</v>
      </c>
      <c r="AA19" s="66">
        <v>2.4</v>
      </c>
      <c r="AB19" s="66">
        <v>3</v>
      </c>
      <c r="AC19" s="66">
        <v>2</v>
      </c>
      <c r="AD19" s="66">
        <v>3</v>
      </c>
      <c r="AE19" s="66">
        <v>4.3</v>
      </c>
      <c r="AF19" s="66"/>
      <c r="AG19" s="103">
        <f t="shared" si="0"/>
        <v>84.4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>
        <v>1.8</v>
      </c>
      <c r="C23" s="87">
        <v>1.5</v>
      </c>
      <c r="D23" s="87">
        <v>1.9</v>
      </c>
      <c r="E23" s="87">
        <v>1.3</v>
      </c>
      <c r="F23" s="87">
        <v>1.4</v>
      </c>
      <c r="G23" s="87">
        <v>1.2</v>
      </c>
      <c r="H23" s="87">
        <v>1.1000000000000001</v>
      </c>
      <c r="I23" s="87">
        <v>2</v>
      </c>
      <c r="J23" s="87">
        <v>1.9</v>
      </c>
      <c r="K23" s="87">
        <v>1.7</v>
      </c>
      <c r="L23" s="87">
        <v>1.3</v>
      </c>
      <c r="M23" s="87">
        <v>1.7</v>
      </c>
      <c r="N23" s="87">
        <v>1.5</v>
      </c>
      <c r="O23" s="87">
        <v>1.3</v>
      </c>
      <c r="P23" s="87">
        <v>1.9</v>
      </c>
      <c r="Q23" s="87">
        <v>2.2000000000000002</v>
      </c>
      <c r="R23" s="87">
        <v>1.6</v>
      </c>
      <c r="S23" s="87">
        <v>1.5</v>
      </c>
      <c r="T23" s="87">
        <v>1.6</v>
      </c>
      <c r="U23" s="87">
        <v>1.9</v>
      </c>
      <c r="V23" s="87">
        <v>1.3</v>
      </c>
      <c r="W23" s="87">
        <v>2.2000000000000002</v>
      </c>
      <c r="X23" s="87">
        <v>2.6</v>
      </c>
      <c r="Y23" s="88">
        <v>1.2</v>
      </c>
      <c r="Z23" s="88">
        <v>1.4</v>
      </c>
      <c r="AA23" s="88">
        <v>2.7</v>
      </c>
      <c r="AB23" s="88">
        <v>2.2000000000000002</v>
      </c>
      <c r="AC23" s="88">
        <v>2.4</v>
      </c>
      <c r="AD23" s="88">
        <v>2.2000000000000002</v>
      </c>
      <c r="AE23" s="88">
        <v>2.4</v>
      </c>
      <c r="AF23" s="88"/>
      <c r="AG23" s="103">
        <f t="shared" si="0"/>
        <v>52.900000000000006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3.8</v>
      </c>
      <c r="C24" s="87">
        <v>4.5</v>
      </c>
      <c r="D24" s="87">
        <v>4.0999999999999996</v>
      </c>
      <c r="E24" s="87">
        <v>3.8</v>
      </c>
      <c r="F24" s="87">
        <v>4.2</v>
      </c>
      <c r="G24" s="87">
        <v>3.9</v>
      </c>
      <c r="H24" s="87">
        <v>4.5</v>
      </c>
      <c r="I24" s="87">
        <v>5</v>
      </c>
      <c r="J24" s="87">
        <v>4.7</v>
      </c>
      <c r="K24" s="87">
        <v>4.2</v>
      </c>
      <c r="L24" s="87">
        <v>4.5</v>
      </c>
      <c r="M24" s="87">
        <v>4.5</v>
      </c>
      <c r="N24" s="87">
        <v>4.0999999999999996</v>
      </c>
      <c r="O24" s="87">
        <v>3.9</v>
      </c>
      <c r="P24" s="87">
        <v>4.0999999999999996</v>
      </c>
      <c r="Q24" s="87">
        <v>4.5</v>
      </c>
      <c r="R24" s="87">
        <v>4.0999999999999996</v>
      </c>
      <c r="S24" s="87">
        <v>4.8</v>
      </c>
      <c r="T24" s="87">
        <v>5.0999999999999996</v>
      </c>
      <c r="U24" s="87">
        <v>4.8</v>
      </c>
      <c r="V24" s="87">
        <v>4.5</v>
      </c>
      <c r="W24" s="87">
        <v>5.2</v>
      </c>
      <c r="X24" s="87">
        <v>4.8</v>
      </c>
      <c r="Y24" s="87">
        <v>5</v>
      </c>
      <c r="Z24" s="87">
        <v>3.5</v>
      </c>
      <c r="AA24" s="87">
        <v>3.4</v>
      </c>
      <c r="AB24" s="87">
        <v>4</v>
      </c>
      <c r="AC24" s="87">
        <v>3.2</v>
      </c>
      <c r="AD24" s="87">
        <v>3.7</v>
      </c>
      <c r="AE24" s="87">
        <v>4.0999999999999996</v>
      </c>
      <c r="AF24" s="87"/>
      <c r="AG24" s="103">
        <f t="shared" si="0"/>
        <v>128.5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>
        <v>3</v>
      </c>
      <c r="C26" s="87">
        <v>3</v>
      </c>
      <c r="D26" s="87">
        <v>2.5</v>
      </c>
      <c r="E26" s="87">
        <v>3.2</v>
      </c>
      <c r="F26" s="87">
        <v>4.0999999999999996</v>
      </c>
      <c r="G26" s="87">
        <v>5</v>
      </c>
      <c r="H26" s="87">
        <v>4.8</v>
      </c>
      <c r="I26" s="87">
        <v>4.7</v>
      </c>
      <c r="J26" s="87">
        <v>3.5</v>
      </c>
      <c r="K26" s="87">
        <v>2.5</v>
      </c>
      <c r="L26" s="87">
        <v>2.9</v>
      </c>
      <c r="M26" s="87">
        <v>2.7</v>
      </c>
      <c r="N26" s="87">
        <v>3</v>
      </c>
      <c r="O26" s="87">
        <v>3</v>
      </c>
      <c r="P26" s="87">
        <v>1.9</v>
      </c>
      <c r="Q26" s="87">
        <v>2.7</v>
      </c>
      <c r="R26" s="87">
        <v>4</v>
      </c>
      <c r="S26" s="87">
        <v>5</v>
      </c>
      <c r="T26" s="87">
        <v>4.5</v>
      </c>
      <c r="U26" s="87">
        <v>3.9</v>
      </c>
      <c r="V26" s="87">
        <v>3.5</v>
      </c>
      <c r="W26" s="87">
        <v>4.2</v>
      </c>
      <c r="X26" s="87">
        <v>3.9</v>
      </c>
      <c r="Y26" s="87">
        <v>3.9</v>
      </c>
      <c r="Z26" s="87">
        <v>3</v>
      </c>
      <c r="AA26" s="87">
        <v>4.8</v>
      </c>
      <c r="AB26" s="87">
        <v>4.5</v>
      </c>
      <c r="AC26" s="87">
        <v>5.4</v>
      </c>
      <c r="AD26" s="87">
        <v>6</v>
      </c>
      <c r="AE26" s="87">
        <v>5.9</v>
      </c>
      <c r="AF26" s="87"/>
      <c r="AG26" s="103">
        <f t="shared" si="0"/>
        <v>115.00000000000003</v>
      </c>
      <c r="AH26" s="48"/>
      <c r="AI26" s="48"/>
    </row>
    <row r="27" spans="1:35" s="44" customFormat="1" ht="18.75" customHeight="1" x14ac:dyDescent="0.35">
      <c r="A27" s="60" t="s">
        <v>73</v>
      </c>
      <c r="B27" s="87">
        <v>3.4</v>
      </c>
      <c r="C27" s="87">
        <v>2.5</v>
      </c>
      <c r="D27" s="87">
        <v>1.6</v>
      </c>
      <c r="E27" s="87">
        <v>3</v>
      </c>
      <c r="F27" s="87">
        <v>4.2</v>
      </c>
      <c r="G27" s="87">
        <v>4</v>
      </c>
      <c r="H27" s="87">
        <v>2.1</v>
      </c>
      <c r="I27" s="87">
        <v>3.1</v>
      </c>
      <c r="J27" s="87">
        <v>0.5</v>
      </c>
      <c r="K27" s="87">
        <v>2.2000000000000002</v>
      </c>
      <c r="L27" s="87">
        <v>1</v>
      </c>
      <c r="M27" s="87">
        <v>1.9</v>
      </c>
      <c r="N27" s="87">
        <v>4.5</v>
      </c>
      <c r="O27" s="87">
        <v>3</v>
      </c>
      <c r="P27" s="87">
        <v>1.6</v>
      </c>
      <c r="Q27" s="87">
        <v>3.4</v>
      </c>
      <c r="R27" s="87">
        <v>5</v>
      </c>
      <c r="S27" s="87">
        <v>1.2</v>
      </c>
      <c r="T27" s="87">
        <v>3</v>
      </c>
      <c r="U27" s="87">
        <v>1.9</v>
      </c>
      <c r="V27" s="87">
        <v>1.5</v>
      </c>
      <c r="W27" s="87">
        <v>1</v>
      </c>
      <c r="X27" s="87">
        <v>1.6</v>
      </c>
      <c r="Y27" s="87">
        <v>2</v>
      </c>
      <c r="Z27" s="87">
        <v>3.1</v>
      </c>
      <c r="AA27" s="87">
        <v>4</v>
      </c>
      <c r="AB27" s="87">
        <v>2</v>
      </c>
      <c r="AC27" s="87">
        <v>1.6</v>
      </c>
      <c r="AD27" s="87">
        <v>1.1000000000000001</v>
      </c>
      <c r="AE27" s="87">
        <v>1</v>
      </c>
      <c r="AF27" s="87"/>
      <c r="AG27" s="103">
        <f t="shared" si="0"/>
        <v>72</v>
      </c>
      <c r="AH27" s="48"/>
      <c r="AI27" s="48"/>
    </row>
    <row r="28" spans="1:35" s="44" customFormat="1" ht="18.75" customHeight="1" x14ac:dyDescent="0.35">
      <c r="A28" s="60" t="s">
        <v>92</v>
      </c>
      <c r="B28" s="87">
        <v>2.5</v>
      </c>
      <c r="C28" s="87"/>
      <c r="D28" s="87"/>
      <c r="E28" s="87"/>
      <c r="F28" s="87">
        <v>3.4</v>
      </c>
      <c r="G28" s="87">
        <v>4</v>
      </c>
      <c r="H28" s="87">
        <v>1.3</v>
      </c>
      <c r="I28" s="87">
        <v>2</v>
      </c>
      <c r="J28" s="87"/>
      <c r="K28" s="87"/>
      <c r="L28" s="87"/>
      <c r="M28" s="87">
        <v>4.3</v>
      </c>
      <c r="N28" s="87">
        <v>2</v>
      </c>
      <c r="O28" s="87">
        <v>4.3</v>
      </c>
      <c r="P28" s="87">
        <v>5</v>
      </c>
      <c r="Q28" s="87"/>
      <c r="R28" s="87"/>
      <c r="S28" s="87">
        <v>3.2</v>
      </c>
      <c r="T28" s="87">
        <v>4</v>
      </c>
      <c r="U28" s="87">
        <v>3.2</v>
      </c>
      <c r="V28" s="87">
        <v>4</v>
      </c>
      <c r="W28" s="87">
        <v>1</v>
      </c>
      <c r="X28" s="87"/>
      <c r="Y28" s="87"/>
      <c r="Z28" s="87">
        <v>4.3</v>
      </c>
      <c r="AA28" s="87">
        <v>5</v>
      </c>
      <c r="AB28" s="87">
        <v>1.3</v>
      </c>
      <c r="AC28" s="87">
        <v>1</v>
      </c>
      <c r="AD28" s="87">
        <v>4</v>
      </c>
      <c r="AE28" s="87"/>
      <c r="AF28" s="87"/>
      <c r="AG28" s="103">
        <f t="shared" si="0"/>
        <v>59.8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f>5.3+4.1</f>
        <v>9.3999999999999986</v>
      </c>
      <c r="C29" s="87">
        <f>6.1+3.2</f>
        <v>9.3000000000000007</v>
      </c>
      <c r="D29" s="87">
        <f>4.4+3</f>
        <v>7.4</v>
      </c>
      <c r="E29" s="87">
        <f>5.2+4.1</f>
        <v>9.3000000000000007</v>
      </c>
      <c r="F29" s="87">
        <f>5.3+4.1</f>
        <v>9.3999999999999986</v>
      </c>
      <c r="G29" s="87">
        <f>4.4+3.5</f>
        <v>7.9</v>
      </c>
      <c r="H29" s="87">
        <f>6.2+5</f>
        <v>11.2</v>
      </c>
      <c r="I29" s="87">
        <f>5.5+3.1</f>
        <v>8.6</v>
      </c>
      <c r="J29" s="87">
        <f>6.1+3.3</f>
        <v>9.3999999999999986</v>
      </c>
      <c r="K29" s="87">
        <f>4.5+5.1</f>
        <v>9.6</v>
      </c>
      <c r="L29" s="87">
        <f>5.3+4.5</f>
        <v>9.8000000000000007</v>
      </c>
      <c r="M29" s="87">
        <f>6.1+5</f>
        <v>11.1</v>
      </c>
      <c r="N29" s="87">
        <f>4+3.8</f>
        <v>7.8</v>
      </c>
      <c r="O29" s="87">
        <f>3.9+4</f>
        <v>7.9</v>
      </c>
      <c r="P29" s="87">
        <f>5+3.5</f>
        <v>8.5</v>
      </c>
      <c r="Q29" s="87">
        <f>6+5.1</f>
        <v>11.1</v>
      </c>
      <c r="R29" s="87">
        <f>6.2+3.1</f>
        <v>9.3000000000000007</v>
      </c>
      <c r="S29" s="87">
        <f>5.3+4.1</f>
        <v>9.3999999999999986</v>
      </c>
      <c r="T29" s="87">
        <f>7.1+2.8</f>
        <v>9.8999999999999986</v>
      </c>
      <c r="U29" s="87">
        <f>5.3+2.1</f>
        <v>7.4</v>
      </c>
      <c r="V29" s="87">
        <f>3.4+4.1</f>
        <v>7.5</v>
      </c>
      <c r="W29" s="87">
        <f>5.3+2.1</f>
        <v>7.4</v>
      </c>
      <c r="X29" s="87">
        <f>4.1+3.1</f>
        <v>7.1999999999999993</v>
      </c>
      <c r="Y29" s="87">
        <f>5.3+4.1</f>
        <v>9.3999999999999986</v>
      </c>
      <c r="Z29" s="87">
        <f>6.3+2.1</f>
        <v>8.4</v>
      </c>
      <c r="AA29" s="87">
        <f>4.1+4</f>
        <v>8.1</v>
      </c>
      <c r="AB29" s="87">
        <f>4.3+2.2</f>
        <v>6.5</v>
      </c>
      <c r="AC29" s="87">
        <f>5.3+2.2</f>
        <v>7.5</v>
      </c>
      <c r="AD29" s="87">
        <f>6.2+3.2</f>
        <v>9.4</v>
      </c>
      <c r="AE29" s="87">
        <f>5.1+3.1</f>
        <v>8.1999999999999993</v>
      </c>
      <c r="AF29" s="87"/>
      <c r="AG29" s="103">
        <f t="shared" si="0"/>
        <v>263.3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>
        <v>2.9</v>
      </c>
      <c r="C31" s="87">
        <v>3</v>
      </c>
      <c r="D31" s="87"/>
      <c r="E31" s="87"/>
      <c r="F31" s="87">
        <v>1.5</v>
      </c>
      <c r="G31" s="87">
        <v>2.2999999999999998</v>
      </c>
      <c r="H31" s="87">
        <v>2.5</v>
      </c>
      <c r="I31" s="87">
        <v>3</v>
      </c>
      <c r="J31" s="87">
        <v>1</v>
      </c>
      <c r="K31" s="87"/>
      <c r="L31" s="87"/>
      <c r="M31" s="87">
        <v>2.9</v>
      </c>
      <c r="N31" s="87">
        <v>3</v>
      </c>
      <c r="O31" s="87">
        <v>2</v>
      </c>
      <c r="P31" s="87">
        <v>2.8</v>
      </c>
      <c r="Q31" s="87">
        <v>3.4</v>
      </c>
      <c r="R31" s="87"/>
      <c r="S31" s="87">
        <v>2.9</v>
      </c>
      <c r="T31" s="87">
        <v>2.5</v>
      </c>
      <c r="U31" s="87">
        <v>3</v>
      </c>
      <c r="V31" s="87">
        <v>2.8</v>
      </c>
      <c r="W31" s="87">
        <v>2</v>
      </c>
      <c r="X31" s="87">
        <v>2</v>
      </c>
      <c r="Y31" s="87"/>
      <c r="Z31" s="87">
        <v>4</v>
      </c>
      <c r="AA31" s="87">
        <v>4.9000000000000004</v>
      </c>
      <c r="AB31" s="87">
        <v>3.5</v>
      </c>
      <c r="AC31" s="87">
        <v>2.8</v>
      </c>
      <c r="AD31" s="87">
        <v>2.5</v>
      </c>
      <c r="AE31" s="87">
        <v>3.9</v>
      </c>
      <c r="AF31" s="87"/>
      <c r="AG31" s="103">
        <f t="shared" si="0"/>
        <v>67.099999999999994</v>
      </c>
      <c r="AH31" s="48"/>
      <c r="AI31" s="48"/>
    </row>
    <row r="32" spans="1:35" s="44" customFormat="1" ht="18.75" customHeight="1" x14ac:dyDescent="0.35">
      <c r="A32" s="60" t="s">
        <v>77</v>
      </c>
      <c r="B32" s="87">
        <v>1.8</v>
      </c>
      <c r="C32" s="87"/>
      <c r="D32" s="87"/>
      <c r="E32" s="87"/>
      <c r="F32" s="87">
        <v>2</v>
      </c>
      <c r="G32" s="87">
        <v>1.4</v>
      </c>
      <c r="H32" s="87">
        <v>2.5</v>
      </c>
      <c r="I32" s="87">
        <v>3.3</v>
      </c>
      <c r="J32" s="87"/>
      <c r="K32" s="87"/>
      <c r="L32" s="87"/>
      <c r="M32" s="87">
        <v>3</v>
      </c>
      <c r="N32" s="87">
        <v>2.2000000000000002</v>
      </c>
      <c r="O32" s="87">
        <v>3.5</v>
      </c>
      <c r="P32" s="87">
        <v>3.6</v>
      </c>
      <c r="Q32" s="87"/>
      <c r="R32" s="87"/>
      <c r="S32" s="87">
        <v>1.8</v>
      </c>
      <c r="T32" s="87">
        <v>2.2000000000000002</v>
      </c>
      <c r="U32" s="87">
        <v>2</v>
      </c>
      <c r="V32" s="87">
        <v>3.2</v>
      </c>
      <c r="W32" s="87">
        <v>2.6</v>
      </c>
      <c r="X32" s="87"/>
      <c r="Y32" s="87"/>
      <c r="Z32" s="87">
        <v>3</v>
      </c>
      <c r="AA32" s="87">
        <v>2</v>
      </c>
      <c r="AB32" s="87">
        <v>3.6</v>
      </c>
      <c r="AC32" s="87">
        <v>2.7</v>
      </c>
      <c r="AD32" s="87">
        <v>3</v>
      </c>
      <c r="AE32" s="87"/>
      <c r="AF32" s="87"/>
      <c r="AG32" s="103">
        <f t="shared" si="0"/>
        <v>49.400000000000006</v>
      </c>
      <c r="AH32" s="48"/>
      <c r="AI32" s="48"/>
    </row>
    <row r="33" spans="1:35" s="44" customFormat="1" ht="18.75" customHeight="1" x14ac:dyDescent="0.35">
      <c r="A33" s="60" t="s">
        <v>78</v>
      </c>
      <c r="B33" s="87">
        <f>4+2</f>
        <v>6</v>
      </c>
      <c r="C33" s="87">
        <f>4+3</f>
        <v>7</v>
      </c>
      <c r="D33" s="87">
        <f>4.2+2</f>
        <v>6.2</v>
      </c>
      <c r="E33" s="87">
        <f>4.5+3</f>
        <v>7.5</v>
      </c>
      <c r="F33" s="87">
        <f>4+3</f>
        <v>7</v>
      </c>
      <c r="G33" s="87">
        <f>4.3+3</f>
        <v>7.3</v>
      </c>
      <c r="H33" s="87">
        <f>4+2</f>
        <v>6</v>
      </c>
      <c r="I33" s="87">
        <f>4+2</f>
        <v>6</v>
      </c>
      <c r="J33" s="87">
        <f>4+3</f>
        <v>7</v>
      </c>
      <c r="K33" s="87">
        <f>5+3</f>
        <v>8</v>
      </c>
      <c r="L33" s="87">
        <f>4+2</f>
        <v>6</v>
      </c>
      <c r="M33" s="87">
        <f>4.5+3</f>
        <v>7.5</v>
      </c>
      <c r="N33" s="87">
        <f>4+2</f>
        <v>6</v>
      </c>
      <c r="O33" s="87">
        <f>4+3</f>
        <v>7</v>
      </c>
      <c r="P33" s="87">
        <f>4+2</f>
        <v>6</v>
      </c>
      <c r="Q33" s="87">
        <f>4+3</f>
        <v>7</v>
      </c>
      <c r="R33" s="87">
        <f>4+3</f>
        <v>7</v>
      </c>
      <c r="S33" s="87">
        <f>4+3</f>
        <v>7</v>
      </c>
      <c r="T33" s="87">
        <f>4+2</f>
        <v>6</v>
      </c>
      <c r="U33" s="87">
        <f>4+3</f>
        <v>7</v>
      </c>
      <c r="V33" s="87">
        <f>4+2</f>
        <v>6</v>
      </c>
      <c r="W33" s="87">
        <f>4+2</f>
        <v>6</v>
      </c>
      <c r="X33" s="87">
        <f>4+2</f>
        <v>6</v>
      </c>
      <c r="Y33" s="87">
        <f>4+3</f>
        <v>7</v>
      </c>
      <c r="Z33" s="87">
        <f>4+3</f>
        <v>7</v>
      </c>
      <c r="AA33" s="87">
        <f>4.5+3</f>
        <v>7.5</v>
      </c>
      <c r="AB33" s="87">
        <f>4+3</f>
        <v>7</v>
      </c>
      <c r="AC33" s="87">
        <f>4+3</f>
        <v>7</v>
      </c>
      <c r="AD33" s="87">
        <f>4+3</f>
        <v>7</v>
      </c>
      <c r="AE33" s="87">
        <f>4.5+2</f>
        <v>6.5</v>
      </c>
      <c r="AF33" s="87"/>
      <c r="AG33" s="103">
        <f t="shared" si="0"/>
        <v>201.5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>
        <v>3.3</v>
      </c>
      <c r="C36" s="88">
        <v>2.2000000000000002</v>
      </c>
      <c r="D36" s="88"/>
      <c r="E36" s="88"/>
      <c r="F36" s="88">
        <v>0.1</v>
      </c>
      <c r="G36" s="88">
        <v>4.2</v>
      </c>
      <c r="H36" s="88">
        <v>2.2000000000000002</v>
      </c>
      <c r="I36" s="88">
        <v>3</v>
      </c>
      <c r="J36" s="88">
        <v>2.2000000000000002</v>
      </c>
      <c r="K36" s="88">
        <v>3.1</v>
      </c>
      <c r="L36" s="88">
        <v>4.0999999999999996</v>
      </c>
      <c r="M36" s="88">
        <v>2.1</v>
      </c>
      <c r="N36" s="88">
        <v>4.0999999999999996</v>
      </c>
      <c r="O36" s="88">
        <v>2.2000000000000002</v>
      </c>
      <c r="P36" s="88">
        <v>3.3</v>
      </c>
      <c r="Q36" s="88">
        <v>1.1000000000000001</v>
      </c>
      <c r="R36" s="88"/>
      <c r="S36" s="88"/>
      <c r="T36" s="88"/>
      <c r="U36" s="88"/>
      <c r="V36" s="88">
        <v>2.2000000000000002</v>
      </c>
      <c r="W36" s="88">
        <v>4.0999999999999996</v>
      </c>
      <c r="X36" s="88">
        <v>3.2</v>
      </c>
      <c r="Y36" s="88"/>
      <c r="Z36" s="88">
        <v>6.2</v>
      </c>
      <c r="AA36" s="88">
        <v>5.0999999999999996</v>
      </c>
      <c r="AB36" s="88">
        <v>4.0999999999999996</v>
      </c>
      <c r="AC36" s="88">
        <v>3.1</v>
      </c>
      <c r="AD36" s="88">
        <v>4.0999999999999996</v>
      </c>
      <c r="AE36" s="88">
        <v>1.1000000000000001</v>
      </c>
      <c r="AF36" s="88"/>
      <c r="AG36" s="103">
        <f t="shared" si="0"/>
        <v>70.400000000000006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88">
        <v>3.1</v>
      </c>
      <c r="C38" s="88">
        <v>4.0999999999999996</v>
      </c>
      <c r="D38" s="88">
        <v>3.2</v>
      </c>
      <c r="E38" s="88">
        <v>4.5</v>
      </c>
      <c r="F38" s="88">
        <v>6.1</v>
      </c>
      <c r="G38" s="88">
        <v>3.4</v>
      </c>
      <c r="H38" s="88">
        <v>5.6</v>
      </c>
      <c r="I38" s="88">
        <v>4.3</v>
      </c>
      <c r="J38" s="88">
        <v>3.1</v>
      </c>
      <c r="K38" s="88">
        <v>3.2</v>
      </c>
      <c r="L38" s="88">
        <v>3.3</v>
      </c>
      <c r="M38" s="88">
        <v>4.5</v>
      </c>
      <c r="N38" s="88">
        <v>3.8</v>
      </c>
      <c r="O38" s="88">
        <v>4.2</v>
      </c>
      <c r="P38" s="88">
        <v>5.2</v>
      </c>
      <c r="Q38" s="88">
        <v>4.7</v>
      </c>
      <c r="R38" s="88">
        <v>3.1</v>
      </c>
      <c r="S38" s="88">
        <v>3.3</v>
      </c>
      <c r="T38" s="88">
        <v>2.5</v>
      </c>
      <c r="U38" s="88">
        <v>4.0999999999999996</v>
      </c>
      <c r="V38" s="88">
        <v>3.8</v>
      </c>
      <c r="W38" s="88">
        <v>4.5</v>
      </c>
      <c r="X38" s="88">
        <v>3.2</v>
      </c>
      <c r="Y38" s="88">
        <v>3.1</v>
      </c>
      <c r="Z38" s="88">
        <v>3.1</v>
      </c>
      <c r="AA38" s="88">
        <v>3.4</v>
      </c>
      <c r="AB38" s="88">
        <v>3.5</v>
      </c>
      <c r="AC38" s="88">
        <v>3.4</v>
      </c>
      <c r="AD38" s="88">
        <v>4.9000000000000004</v>
      </c>
      <c r="AE38" s="88">
        <v>6.1</v>
      </c>
      <c r="AF38" s="88"/>
      <c r="AG38" s="103">
        <f t="shared" si="0"/>
        <v>118.29999999999998</v>
      </c>
      <c r="AH38" s="48"/>
      <c r="AI38" s="48"/>
    </row>
    <row r="39" spans="1:35" s="44" customFormat="1" ht="18.75" customHeight="1" x14ac:dyDescent="0.35">
      <c r="A39" s="60" t="s">
        <v>86</v>
      </c>
      <c r="B39" s="88">
        <v>15.3</v>
      </c>
      <c r="C39" s="88">
        <v>14.6</v>
      </c>
      <c r="D39" s="88">
        <v>16.3</v>
      </c>
      <c r="E39" s="88">
        <v>17.600000000000001</v>
      </c>
      <c r="F39" s="88">
        <v>12.3</v>
      </c>
      <c r="G39" s="88">
        <v>16</v>
      </c>
      <c r="H39" s="88">
        <v>13.4</v>
      </c>
      <c r="I39" s="88">
        <v>15.2</v>
      </c>
      <c r="J39" s="88">
        <v>15.8</v>
      </c>
      <c r="K39" s="88">
        <v>13.6</v>
      </c>
      <c r="L39" s="88">
        <v>15.3</v>
      </c>
      <c r="M39" s="88">
        <v>16.8</v>
      </c>
      <c r="N39" s="88">
        <v>17.399999999999999</v>
      </c>
      <c r="O39" s="88">
        <v>12.1</v>
      </c>
      <c r="P39" s="88">
        <v>11.3</v>
      </c>
      <c r="Q39" s="88">
        <v>9.8000000000000007</v>
      </c>
      <c r="R39" s="88">
        <f>7.2+6.4</f>
        <v>13.600000000000001</v>
      </c>
      <c r="S39" s="88">
        <v>13.8</v>
      </c>
      <c r="T39" s="88">
        <v>15.8</v>
      </c>
      <c r="U39" s="88">
        <v>16.3</v>
      </c>
      <c r="V39" s="88">
        <v>13.5</v>
      </c>
      <c r="W39" s="88">
        <v>12.8</v>
      </c>
      <c r="X39" s="88">
        <v>14.4</v>
      </c>
      <c r="Y39" s="88">
        <v>16</v>
      </c>
      <c r="Z39" s="88">
        <v>12.3</v>
      </c>
      <c r="AA39" s="88">
        <v>13.8</v>
      </c>
      <c r="AB39" s="88">
        <v>10.199999999999999</v>
      </c>
      <c r="AC39" s="88">
        <v>12.1</v>
      </c>
      <c r="AD39" s="88">
        <v>9.5</v>
      </c>
      <c r="AE39" s="88">
        <v>11.6</v>
      </c>
      <c r="AF39" s="88"/>
      <c r="AG39" s="103">
        <f t="shared" si="0"/>
        <v>418.50000000000011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0</v>
      </c>
      <c r="AH40" s="48"/>
      <c r="AI40" s="48"/>
    </row>
    <row r="41" spans="1:35" s="44" customFormat="1" ht="18.75" customHeight="1" x14ac:dyDescent="0.35">
      <c r="A41" s="60" t="s">
        <v>178</v>
      </c>
      <c r="B41" s="88">
        <v>1.2</v>
      </c>
      <c r="C41" s="88">
        <v>1.1000000000000001</v>
      </c>
      <c r="D41" s="88">
        <v>2</v>
      </c>
      <c r="E41" s="88">
        <v>1.7</v>
      </c>
      <c r="F41" s="88">
        <v>1.2</v>
      </c>
      <c r="G41" s="88">
        <v>1.2</v>
      </c>
      <c r="H41" s="88">
        <v>1.2</v>
      </c>
      <c r="I41" s="88">
        <v>1</v>
      </c>
      <c r="J41" s="88">
        <v>1</v>
      </c>
      <c r="K41" s="88">
        <v>0.6</v>
      </c>
      <c r="L41" s="88">
        <v>0.5</v>
      </c>
      <c r="M41" s="88">
        <v>0.2</v>
      </c>
      <c r="N41" s="88">
        <v>1</v>
      </c>
      <c r="O41" s="88">
        <v>1.2</v>
      </c>
      <c r="P41" s="88">
        <v>1</v>
      </c>
      <c r="Q41" s="88">
        <v>1</v>
      </c>
      <c r="R41" s="88">
        <v>2</v>
      </c>
      <c r="S41" s="88">
        <v>1.2</v>
      </c>
      <c r="T41" s="88">
        <v>1</v>
      </c>
      <c r="U41" s="88">
        <v>0.2</v>
      </c>
      <c r="V41" s="88">
        <v>0.3</v>
      </c>
      <c r="W41" s="88">
        <v>2.1</v>
      </c>
      <c r="X41" s="88">
        <v>1</v>
      </c>
      <c r="Y41" s="88">
        <v>0.5</v>
      </c>
      <c r="Z41" s="88">
        <v>1</v>
      </c>
      <c r="AA41" s="88">
        <v>1.2</v>
      </c>
      <c r="AB41" s="88">
        <v>2</v>
      </c>
      <c r="AC41" s="88">
        <v>2</v>
      </c>
      <c r="AD41" s="88">
        <v>2.1</v>
      </c>
      <c r="AE41" s="88">
        <v>2</v>
      </c>
      <c r="AF41" s="88"/>
      <c r="AG41" s="103">
        <f t="shared" si="0"/>
        <v>35.699999999999996</v>
      </c>
      <c r="AH41" s="57"/>
      <c r="AI41" s="57"/>
    </row>
    <row r="42" spans="1:35" s="2" customFormat="1" ht="19.5" x14ac:dyDescent="0.35">
      <c r="A42" s="59" t="s">
        <v>155</v>
      </c>
      <c r="B42" s="87">
        <f>SUM(B4:B41)</f>
        <v>95.899999999999991</v>
      </c>
      <c r="C42" s="87">
        <f t="shared" ref="C42:AF42" si="1">SUM(C4:C41)</f>
        <v>86.499999999999986</v>
      </c>
      <c r="D42" s="87">
        <f t="shared" si="1"/>
        <v>73.800000000000011</v>
      </c>
      <c r="E42" s="87">
        <f t="shared" si="1"/>
        <v>79.399999999999991</v>
      </c>
      <c r="F42" s="87">
        <f t="shared" si="1"/>
        <v>93.1</v>
      </c>
      <c r="G42" s="87">
        <f t="shared" si="1"/>
        <v>98.300000000000011</v>
      </c>
      <c r="H42" s="87">
        <f t="shared" si="1"/>
        <v>94.2</v>
      </c>
      <c r="I42" s="87">
        <f t="shared" si="1"/>
        <v>97.3</v>
      </c>
      <c r="J42" s="87">
        <f t="shared" si="1"/>
        <v>86</v>
      </c>
      <c r="K42" s="87">
        <f t="shared" si="1"/>
        <v>78.100000000000009</v>
      </c>
      <c r="L42" s="87">
        <f t="shared" si="1"/>
        <v>78.900000000000006</v>
      </c>
      <c r="M42" s="87">
        <f t="shared" si="1"/>
        <v>97.899999999999991</v>
      </c>
      <c r="N42" s="87">
        <f t="shared" si="1"/>
        <v>92.899999999999977</v>
      </c>
      <c r="O42" s="87">
        <f t="shared" si="1"/>
        <v>90.899999999999991</v>
      </c>
      <c r="P42" s="87">
        <f t="shared" si="1"/>
        <v>94.499999999999986</v>
      </c>
      <c r="Q42" s="87">
        <f t="shared" si="1"/>
        <v>87.9</v>
      </c>
      <c r="R42" s="87">
        <f t="shared" si="1"/>
        <v>80.300000000000011</v>
      </c>
      <c r="S42" s="87">
        <f t="shared" si="1"/>
        <v>91.1</v>
      </c>
      <c r="T42" s="87">
        <f t="shared" si="1"/>
        <v>88.8</v>
      </c>
      <c r="U42" s="87">
        <f t="shared" si="1"/>
        <v>85</v>
      </c>
      <c r="V42" s="87">
        <f t="shared" si="1"/>
        <v>82.6</v>
      </c>
      <c r="W42" s="87">
        <f t="shared" si="1"/>
        <v>85.899999999999991</v>
      </c>
      <c r="X42" s="87">
        <f t="shared" si="1"/>
        <v>81.300000000000011</v>
      </c>
      <c r="Y42" s="87">
        <f t="shared" si="1"/>
        <v>72.8</v>
      </c>
      <c r="Z42" s="87">
        <f t="shared" si="1"/>
        <v>100.99999999999999</v>
      </c>
      <c r="AA42" s="87">
        <f t="shared" si="1"/>
        <v>101.8</v>
      </c>
      <c r="AB42" s="87">
        <f t="shared" si="1"/>
        <v>91.3</v>
      </c>
      <c r="AC42" s="87">
        <f t="shared" si="1"/>
        <v>84.8</v>
      </c>
      <c r="AD42" s="87">
        <f t="shared" si="1"/>
        <v>94.9</v>
      </c>
      <c r="AE42" s="87">
        <f t="shared" si="1"/>
        <v>80.899999999999977</v>
      </c>
      <c r="AF42" s="87">
        <f t="shared" si="1"/>
        <v>0</v>
      </c>
      <c r="AG42" s="105">
        <f>SUM(B42:AF42)</f>
        <v>2648.1000000000008</v>
      </c>
    </row>
    <row r="43" spans="1:3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4">
        <f>SUM(AG3:AG41)</f>
        <v>2648.1</v>
      </c>
    </row>
  </sheetData>
  <mergeCells count="1">
    <mergeCell ref="A1:AG1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49.5703125" customWidth="1"/>
    <col min="2" max="32" width="7" customWidth="1"/>
  </cols>
  <sheetData>
    <row r="1" spans="1:35" s="44" customFormat="1" ht="21" x14ac:dyDescent="0.35">
      <c r="A1" s="217" t="s">
        <v>188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/>
      <c r="C4" s="85">
        <v>3.1</v>
      </c>
      <c r="D4" s="85">
        <v>3.7</v>
      </c>
      <c r="E4" s="85">
        <v>2.9</v>
      </c>
      <c r="F4" s="85">
        <v>3.2</v>
      </c>
      <c r="G4" s="85">
        <v>2.8</v>
      </c>
      <c r="H4" s="85"/>
      <c r="I4" s="86"/>
      <c r="J4" s="85">
        <v>4.3</v>
      </c>
      <c r="K4" s="86">
        <v>3.8</v>
      </c>
      <c r="L4" s="85">
        <v>4.0999999999999996</v>
      </c>
      <c r="M4" s="86">
        <v>3.2</v>
      </c>
      <c r="N4" s="85">
        <v>3</v>
      </c>
      <c r="O4" s="85"/>
      <c r="P4" s="86"/>
      <c r="Q4" s="85">
        <v>3.7</v>
      </c>
      <c r="R4" s="85">
        <v>3.8</v>
      </c>
      <c r="S4" s="86">
        <v>4.2</v>
      </c>
      <c r="T4" s="86">
        <v>3.1</v>
      </c>
      <c r="U4" s="86">
        <v>3</v>
      </c>
      <c r="V4" s="86"/>
      <c r="W4" s="85"/>
      <c r="X4" s="85">
        <v>2.9</v>
      </c>
      <c r="Y4" s="85">
        <v>3.1</v>
      </c>
      <c r="Z4" s="85"/>
      <c r="AA4" s="85">
        <v>3.7</v>
      </c>
      <c r="AB4" s="85">
        <v>4.2</v>
      </c>
      <c r="AC4" s="85"/>
      <c r="AD4" s="85"/>
      <c r="AE4" s="85"/>
      <c r="AF4" s="85"/>
      <c r="AG4" s="103">
        <f t="shared" ref="AG4:AG41" si="0">SUM(B4:AF4)</f>
        <v>65.800000000000011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>
        <v>6</v>
      </c>
      <c r="C8" s="87">
        <v>5.5</v>
      </c>
      <c r="D8" s="87">
        <v>5</v>
      </c>
      <c r="E8" s="87">
        <v>4.8</v>
      </c>
      <c r="F8" s="87">
        <v>4.0999999999999996</v>
      </c>
      <c r="G8" s="87">
        <v>4</v>
      </c>
      <c r="H8" s="87">
        <v>3.8</v>
      </c>
      <c r="I8" s="87">
        <v>4</v>
      </c>
      <c r="J8" s="87">
        <v>5.2</v>
      </c>
      <c r="K8" s="87">
        <v>4.8</v>
      </c>
      <c r="L8" s="87">
        <v>4.8</v>
      </c>
      <c r="M8" s="87">
        <v>4</v>
      </c>
      <c r="N8" s="87">
        <v>4.5</v>
      </c>
      <c r="O8" s="87">
        <v>4.5</v>
      </c>
      <c r="P8" s="87">
        <v>4.8</v>
      </c>
      <c r="Q8" s="87">
        <v>4.5999999999999996</v>
      </c>
      <c r="R8" s="87">
        <v>4.5</v>
      </c>
      <c r="S8" s="87">
        <v>4.2</v>
      </c>
      <c r="T8" s="87">
        <v>4.8</v>
      </c>
      <c r="U8" s="87">
        <v>4.8</v>
      </c>
      <c r="V8" s="87">
        <v>4.5</v>
      </c>
      <c r="W8" s="87">
        <v>4.5</v>
      </c>
      <c r="X8" s="87">
        <v>4.8</v>
      </c>
      <c r="Y8" s="87">
        <v>4.7</v>
      </c>
      <c r="Z8" s="87">
        <v>4</v>
      </c>
      <c r="AA8" s="87">
        <v>4.5</v>
      </c>
      <c r="AB8" s="87">
        <v>4.8</v>
      </c>
      <c r="AC8" s="87">
        <v>4.9000000000000004</v>
      </c>
      <c r="AD8" s="87">
        <v>4.8</v>
      </c>
      <c r="AE8" s="87">
        <v>4.8</v>
      </c>
      <c r="AF8" s="87">
        <v>4.9000000000000004</v>
      </c>
      <c r="AG8" s="103">
        <f t="shared" si="0"/>
        <v>143.9</v>
      </c>
      <c r="AH8" s="48"/>
      <c r="AI8" s="48"/>
    </row>
    <row r="9" spans="1:35" s="44" customFormat="1" ht="18.75" customHeight="1" x14ac:dyDescent="0.35">
      <c r="A9" s="60" t="s">
        <v>65</v>
      </c>
      <c r="B9" s="87">
        <v>7.9</v>
      </c>
      <c r="C9" s="87">
        <v>8.1</v>
      </c>
      <c r="D9" s="87">
        <v>6.3</v>
      </c>
      <c r="E9" s="87">
        <v>7.7</v>
      </c>
      <c r="F9" s="87">
        <v>8.1999999999999993</v>
      </c>
      <c r="G9" s="87">
        <v>7.6</v>
      </c>
      <c r="H9" s="87">
        <v>7.9</v>
      </c>
      <c r="I9" s="87">
        <v>6.2</v>
      </c>
      <c r="J9" s="87">
        <v>6.9</v>
      </c>
      <c r="K9" s="87">
        <v>5.3</v>
      </c>
      <c r="L9" s="87">
        <v>8</v>
      </c>
      <c r="M9" s="87">
        <v>7.6</v>
      </c>
      <c r="N9" s="87">
        <v>6.6</v>
      </c>
      <c r="O9" s="87">
        <v>4.7</v>
      </c>
      <c r="P9" s="87">
        <v>4.5999999999999996</v>
      </c>
      <c r="Q9" s="87">
        <v>3.9</v>
      </c>
      <c r="R9" s="87">
        <v>7</v>
      </c>
      <c r="S9" s="87">
        <v>6.9</v>
      </c>
      <c r="T9" s="87">
        <v>5.3</v>
      </c>
      <c r="U9" s="87">
        <v>4.3</v>
      </c>
      <c r="V9" s="87">
        <v>5.4</v>
      </c>
      <c r="W9" s="87">
        <v>6.1</v>
      </c>
      <c r="X9" s="87">
        <v>7</v>
      </c>
      <c r="Y9" s="87">
        <v>6.6</v>
      </c>
      <c r="Z9" s="87">
        <v>7.3</v>
      </c>
      <c r="AA9" s="87">
        <v>5.4</v>
      </c>
      <c r="AB9" s="87">
        <v>3.8</v>
      </c>
      <c r="AC9" s="87">
        <v>6.3</v>
      </c>
      <c r="AD9" s="87">
        <v>4.9000000000000004</v>
      </c>
      <c r="AE9" s="87">
        <v>10.1</v>
      </c>
      <c r="AF9" s="87">
        <v>9</v>
      </c>
      <c r="AG9" s="103">
        <f t="shared" si="0"/>
        <v>202.90000000000003</v>
      </c>
      <c r="AH9" s="48"/>
      <c r="AI9" s="48"/>
    </row>
    <row r="10" spans="1:35" s="44" customFormat="1" ht="18.75" customHeight="1" x14ac:dyDescent="0.35">
      <c r="A10" s="60" t="s">
        <v>66</v>
      </c>
      <c r="B10" s="87"/>
      <c r="C10" s="87">
        <v>4.5</v>
      </c>
      <c r="D10" s="87">
        <v>1.1000000000000001</v>
      </c>
      <c r="E10" s="87">
        <v>3.8</v>
      </c>
      <c r="F10" s="87">
        <v>4.8</v>
      </c>
      <c r="G10" s="87">
        <v>4.2</v>
      </c>
      <c r="H10" s="87">
        <v>5.2</v>
      </c>
      <c r="I10" s="87"/>
      <c r="J10" s="87">
        <v>6.2</v>
      </c>
      <c r="K10" s="87">
        <v>3.1</v>
      </c>
      <c r="L10" s="87">
        <v>4.0999999999999996</v>
      </c>
      <c r="M10" s="87">
        <v>3.2</v>
      </c>
      <c r="N10" s="87">
        <v>5.2</v>
      </c>
      <c r="O10" s="87">
        <v>52.2</v>
      </c>
      <c r="P10" s="87"/>
      <c r="Q10" s="87">
        <v>4.2</v>
      </c>
      <c r="R10" s="87">
        <v>7.3</v>
      </c>
      <c r="S10" s="87">
        <v>4.2</v>
      </c>
      <c r="T10" s="87">
        <v>1.1000000000000001</v>
      </c>
      <c r="U10" s="87">
        <v>4.8</v>
      </c>
      <c r="V10" s="87">
        <v>3.9</v>
      </c>
      <c r="W10" s="87">
        <v>0.9</v>
      </c>
      <c r="X10" s="87"/>
      <c r="Y10" s="87">
        <v>4.2</v>
      </c>
      <c r="Z10" s="87">
        <v>2</v>
      </c>
      <c r="AA10" s="87">
        <v>4.2</v>
      </c>
      <c r="AB10" s="87">
        <v>5.0999999999999996</v>
      </c>
      <c r="AC10" s="87">
        <v>4.0999999999999996</v>
      </c>
      <c r="AD10" s="87">
        <v>6.2</v>
      </c>
      <c r="AE10" s="87">
        <v>4.8</v>
      </c>
      <c r="AF10" s="87">
        <v>5.3</v>
      </c>
      <c r="AG10" s="103">
        <f t="shared" si="0"/>
        <v>159.9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6.8</v>
      </c>
      <c r="C11" s="87">
        <v>7.2</v>
      </c>
      <c r="D11" s="87">
        <v>6.9</v>
      </c>
      <c r="E11" s="87">
        <v>6.5</v>
      </c>
      <c r="F11" s="87">
        <v>6.8</v>
      </c>
      <c r="G11" s="87">
        <v>7.4</v>
      </c>
      <c r="H11" s="87">
        <v>6.5</v>
      </c>
      <c r="I11" s="87">
        <v>7.8</v>
      </c>
      <c r="J11" s="87">
        <v>7.6</v>
      </c>
      <c r="K11" s="87">
        <v>6.9</v>
      </c>
      <c r="L11" s="87">
        <v>6</v>
      </c>
      <c r="M11" s="87">
        <v>7.3</v>
      </c>
      <c r="N11" s="87">
        <v>7</v>
      </c>
      <c r="O11" s="87">
        <v>7</v>
      </c>
      <c r="P11" s="87">
        <v>7</v>
      </c>
      <c r="Q11" s="87">
        <v>8</v>
      </c>
      <c r="R11" s="87">
        <v>7.5</v>
      </c>
      <c r="S11" s="87">
        <v>7</v>
      </c>
      <c r="T11" s="87">
        <v>6</v>
      </c>
      <c r="U11" s="87">
        <v>8</v>
      </c>
      <c r="V11" s="87">
        <v>7</v>
      </c>
      <c r="W11" s="87">
        <v>7.3</v>
      </c>
      <c r="X11" s="87">
        <v>6.9</v>
      </c>
      <c r="Y11" s="87">
        <v>6.9</v>
      </c>
      <c r="Z11" s="87">
        <v>8</v>
      </c>
      <c r="AA11" s="87">
        <v>7.3</v>
      </c>
      <c r="AB11" s="87">
        <v>7</v>
      </c>
      <c r="AC11" s="87">
        <v>7.3</v>
      </c>
      <c r="AD11" s="87">
        <v>7</v>
      </c>
      <c r="AE11" s="87">
        <v>7</v>
      </c>
      <c r="AF11" s="87">
        <v>7</v>
      </c>
      <c r="AG11" s="103">
        <f t="shared" si="0"/>
        <v>219.90000000000003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3.7</v>
      </c>
      <c r="C16" s="87">
        <v>4.3</v>
      </c>
      <c r="D16" s="87">
        <v>3.9</v>
      </c>
      <c r="E16" s="87">
        <v>4.0999999999999996</v>
      </c>
      <c r="F16" s="87">
        <v>3.2</v>
      </c>
      <c r="G16" s="87">
        <v>3.7</v>
      </c>
      <c r="H16" s="87">
        <v>4.0999999999999996</v>
      </c>
      <c r="I16" s="87">
        <v>3.5</v>
      </c>
      <c r="J16" s="87">
        <v>4.3</v>
      </c>
      <c r="K16" s="87">
        <v>4.1100000000000003</v>
      </c>
      <c r="L16" s="87">
        <v>3.7</v>
      </c>
      <c r="M16" s="87">
        <v>3.2</v>
      </c>
      <c r="N16" s="87">
        <v>4.0999999999999996</v>
      </c>
      <c r="O16" s="87">
        <v>3.5</v>
      </c>
      <c r="P16" s="87">
        <v>2.5</v>
      </c>
      <c r="Q16" s="87">
        <v>4.7</v>
      </c>
      <c r="R16" s="87">
        <v>4.5</v>
      </c>
      <c r="S16" s="87">
        <v>3.9</v>
      </c>
      <c r="T16" s="87">
        <v>4.0999999999999996</v>
      </c>
      <c r="U16" s="87">
        <v>3.2</v>
      </c>
      <c r="V16" s="87">
        <v>3.7</v>
      </c>
      <c r="W16" s="87">
        <v>4.5</v>
      </c>
      <c r="X16" s="87">
        <v>3.5</v>
      </c>
      <c r="Y16" s="87">
        <v>3.9</v>
      </c>
      <c r="Z16" s="87">
        <v>3.9</v>
      </c>
      <c r="AA16" s="87">
        <v>4.2</v>
      </c>
      <c r="AB16" s="87">
        <v>3.5</v>
      </c>
      <c r="AC16" s="87">
        <v>5.4</v>
      </c>
      <c r="AD16" s="87">
        <v>4.0999999999999996</v>
      </c>
      <c r="AE16" s="87">
        <v>3.5</v>
      </c>
      <c r="AF16" s="87">
        <v>4.0999999999999996</v>
      </c>
      <c r="AG16" s="103">
        <f t="shared" si="0"/>
        <v>120.61000000000003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66">
        <v>3</v>
      </c>
      <c r="D19" s="66">
        <v>3.6</v>
      </c>
      <c r="E19" s="66">
        <v>3</v>
      </c>
      <c r="F19" s="66">
        <v>4.2</v>
      </c>
      <c r="G19" s="66">
        <v>3.5</v>
      </c>
      <c r="H19" s="66">
        <v>2.8</v>
      </c>
      <c r="I19" s="66"/>
      <c r="J19" s="66">
        <v>2.5</v>
      </c>
      <c r="K19" s="66">
        <v>3.3</v>
      </c>
      <c r="L19" s="66">
        <v>2.8</v>
      </c>
      <c r="M19" s="66">
        <v>4.2</v>
      </c>
      <c r="N19" s="66">
        <v>4</v>
      </c>
      <c r="O19" s="66">
        <v>4.3</v>
      </c>
      <c r="P19" s="66"/>
      <c r="Q19" s="66">
        <v>3</v>
      </c>
      <c r="R19" s="66">
        <v>2.6</v>
      </c>
      <c r="S19" s="66">
        <v>2</v>
      </c>
      <c r="T19" s="66">
        <v>2.6</v>
      </c>
      <c r="U19" s="66">
        <v>3.3</v>
      </c>
      <c r="V19" s="66">
        <v>3.8</v>
      </c>
      <c r="W19" s="66"/>
      <c r="X19" s="66">
        <v>2</v>
      </c>
      <c r="Y19" s="66">
        <v>2.6</v>
      </c>
      <c r="Z19" s="66"/>
      <c r="AA19" s="66">
        <v>2.6</v>
      </c>
      <c r="AB19" s="66">
        <v>3</v>
      </c>
      <c r="AC19" s="66">
        <v>2.6</v>
      </c>
      <c r="AD19" s="66"/>
      <c r="AE19" s="66">
        <v>2.2000000000000002</v>
      </c>
      <c r="AF19" s="66">
        <v>4</v>
      </c>
      <c r="AG19" s="103">
        <f t="shared" si="0"/>
        <v>77.5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>
        <v>2.4</v>
      </c>
      <c r="C23" s="87">
        <v>2.2999999999999998</v>
      </c>
      <c r="D23" s="87">
        <v>2.2000000000000002</v>
      </c>
      <c r="E23" s="87">
        <v>1.9</v>
      </c>
      <c r="F23" s="87">
        <v>1.4</v>
      </c>
      <c r="G23" s="87">
        <v>1.6</v>
      </c>
      <c r="H23" s="87">
        <v>1.5</v>
      </c>
      <c r="I23" s="87">
        <v>1.2</v>
      </c>
      <c r="J23" s="87">
        <v>3</v>
      </c>
      <c r="K23" s="87">
        <v>2.7</v>
      </c>
      <c r="L23" s="87">
        <v>1.4</v>
      </c>
      <c r="M23" s="87">
        <v>1.6</v>
      </c>
      <c r="N23" s="87">
        <v>1.9</v>
      </c>
      <c r="O23" s="87">
        <v>2.2999999999999998</v>
      </c>
      <c r="P23" s="87">
        <v>1.6</v>
      </c>
      <c r="Q23" s="87">
        <v>1.5</v>
      </c>
      <c r="R23" s="87">
        <v>1.3</v>
      </c>
      <c r="S23" s="87">
        <v>1.2</v>
      </c>
      <c r="T23" s="87">
        <v>1.7</v>
      </c>
      <c r="U23" s="87">
        <v>1.3</v>
      </c>
      <c r="V23" s="87">
        <v>1.2</v>
      </c>
      <c r="W23" s="87">
        <v>1.7</v>
      </c>
      <c r="X23" s="87">
        <v>1.2</v>
      </c>
      <c r="Y23" s="88">
        <v>1.7</v>
      </c>
      <c r="Z23" s="88">
        <v>0.9</v>
      </c>
      <c r="AA23" s="88">
        <v>2.6</v>
      </c>
      <c r="AB23" s="88">
        <v>2.5</v>
      </c>
      <c r="AC23" s="88">
        <v>2.2999999999999998</v>
      </c>
      <c r="AD23" s="88">
        <v>2.6</v>
      </c>
      <c r="AE23" s="88">
        <v>1.7</v>
      </c>
      <c r="AF23" s="88">
        <v>1.9</v>
      </c>
      <c r="AG23" s="103">
        <f t="shared" si="0"/>
        <v>56.300000000000011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3.5</v>
      </c>
      <c r="C24" s="87">
        <v>4.8</v>
      </c>
      <c r="D24" s="87">
        <v>4.5</v>
      </c>
      <c r="E24" s="87">
        <v>4.8</v>
      </c>
      <c r="F24" s="87">
        <v>4.7</v>
      </c>
      <c r="G24" s="87">
        <v>4.8</v>
      </c>
      <c r="H24" s="87">
        <v>5.0999999999999996</v>
      </c>
      <c r="I24" s="87">
        <v>5</v>
      </c>
      <c r="J24" s="87">
        <v>3.1</v>
      </c>
      <c r="K24" s="87">
        <v>4.3</v>
      </c>
      <c r="L24" s="87">
        <v>4</v>
      </c>
      <c r="M24" s="87">
        <v>5</v>
      </c>
      <c r="N24" s="87">
        <v>3.5</v>
      </c>
      <c r="O24" s="87">
        <v>3</v>
      </c>
      <c r="P24" s="87">
        <v>3.1</v>
      </c>
      <c r="Q24" s="87">
        <v>5.0999999999999996</v>
      </c>
      <c r="R24" s="87">
        <v>4.8</v>
      </c>
      <c r="S24" s="87">
        <v>5</v>
      </c>
      <c r="T24" s="87">
        <v>4.8</v>
      </c>
      <c r="U24" s="87">
        <v>5.0999999999999996</v>
      </c>
      <c r="V24" s="87">
        <v>4.8</v>
      </c>
      <c r="W24" s="87">
        <v>4</v>
      </c>
      <c r="X24" s="87">
        <v>4.5</v>
      </c>
      <c r="Y24" s="87">
        <v>3.1</v>
      </c>
      <c r="Z24" s="87">
        <v>3.8</v>
      </c>
      <c r="AA24" s="87">
        <v>3.1</v>
      </c>
      <c r="AB24" s="87">
        <v>4.5</v>
      </c>
      <c r="AC24" s="87">
        <v>3.5</v>
      </c>
      <c r="AD24" s="87">
        <v>3.9</v>
      </c>
      <c r="AE24" s="87">
        <v>4.0999999999999996</v>
      </c>
      <c r="AF24" s="87">
        <v>4.8</v>
      </c>
      <c r="AG24" s="103">
        <f t="shared" si="0"/>
        <v>132.09999999999997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>
        <v>3.9</v>
      </c>
      <c r="C26" s="87">
        <v>2.7</v>
      </c>
      <c r="D26" s="87">
        <v>3.6</v>
      </c>
      <c r="E26" s="87">
        <v>4.9000000000000004</v>
      </c>
      <c r="F26" s="87">
        <v>3.5</v>
      </c>
      <c r="G26" s="87">
        <v>3.6</v>
      </c>
      <c r="H26" s="87">
        <v>4</v>
      </c>
      <c r="I26" s="87">
        <v>3.6</v>
      </c>
      <c r="J26" s="87">
        <v>3</v>
      </c>
      <c r="K26" s="87">
        <v>2.2999999999999998</v>
      </c>
      <c r="L26" s="87">
        <v>2.9</v>
      </c>
      <c r="M26" s="87">
        <v>3.6</v>
      </c>
      <c r="N26" s="87">
        <v>2.7</v>
      </c>
      <c r="O26" s="87">
        <v>2.9</v>
      </c>
      <c r="P26" s="87">
        <v>2.8</v>
      </c>
      <c r="Q26" s="87">
        <v>4</v>
      </c>
      <c r="R26" s="87">
        <v>3.9</v>
      </c>
      <c r="S26" s="87">
        <v>4.5</v>
      </c>
      <c r="T26" s="87">
        <v>5.2</v>
      </c>
      <c r="U26" s="87">
        <v>5.5</v>
      </c>
      <c r="V26" s="87">
        <v>3.4</v>
      </c>
      <c r="W26" s="87">
        <v>3.7</v>
      </c>
      <c r="X26" s="87">
        <v>2.7</v>
      </c>
      <c r="Y26" s="87">
        <v>4.9000000000000004</v>
      </c>
      <c r="Z26" s="87">
        <v>1.7</v>
      </c>
      <c r="AA26" s="87">
        <v>4.2</v>
      </c>
      <c r="AB26" s="87">
        <v>3</v>
      </c>
      <c r="AC26" s="87">
        <v>2.6</v>
      </c>
      <c r="AD26" s="87">
        <v>3.5</v>
      </c>
      <c r="AE26" s="87">
        <v>4</v>
      </c>
      <c r="AF26" s="87">
        <v>3.8</v>
      </c>
      <c r="AG26" s="103">
        <f t="shared" si="0"/>
        <v>110.60000000000001</v>
      </c>
      <c r="AH26" s="48"/>
      <c r="AI26" s="48"/>
    </row>
    <row r="27" spans="1:35" s="44" customFormat="1" ht="18.75" customHeight="1" x14ac:dyDescent="0.35">
      <c r="A27" s="60" t="s">
        <v>73</v>
      </c>
      <c r="B27" s="87">
        <v>2</v>
      </c>
      <c r="C27" s="87">
        <v>2.5</v>
      </c>
      <c r="D27" s="87">
        <v>2</v>
      </c>
      <c r="E27" s="87">
        <v>2.1</v>
      </c>
      <c r="F27" s="87">
        <v>3.2</v>
      </c>
      <c r="G27" s="87">
        <v>4.0999999999999996</v>
      </c>
      <c r="H27" s="87">
        <v>4.0999999999999996</v>
      </c>
      <c r="I27" s="87">
        <v>3</v>
      </c>
      <c r="J27" s="87">
        <v>4</v>
      </c>
      <c r="K27" s="87">
        <v>3.2</v>
      </c>
      <c r="L27" s="87">
        <v>3</v>
      </c>
      <c r="M27" s="87">
        <v>3.8</v>
      </c>
      <c r="N27" s="87">
        <v>3.9</v>
      </c>
      <c r="O27" s="87">
        <v>2.7</v>
      </c>
      <c r="P27" s="87">
        <v>4.9000000000000004</v>
      </c>
      <c r="Q27" s="87">
        <v>3.9</v>
      </c>
      <c r="R27" s="87">
        <v>2</v>
      </c>
      <c r="S27" s="87">
        <v>3</v>
      </c>
      <c r="T27" s="87">
        <v>2.8</v>
      </c>
      <c r="U27" s="87">
        <v>2.9</v>
      </c>
      <c r="V27" s="87">
        <v>3.9</v>
      </c>
      <c r="W27" s="87">
        <v>3</v>
      </c>
      <c r="X27" s="87">
        <v>2.7</v>
      </c>
      <c r="Y27" s="87">
        <v>2.9</v>
      </c>
      <c r="Z27" s="87">
        <v>2.9</v>
      </c>
      <c r="AA27" s="87">
        <v>3.9</v>
      </c>
      <c r="AB27" s="87">
        <v>4.2</v>
      </c>
      <c r="AC27" s="87">
        <v>1.5</v>
      </c>
      <c r="AD27" s="87">
        <v>2</v>
      </c>
      <c r="AE27" s="87">
        <v>2.2000000000000002</v>
      </c>
      <c r="AF27" s="87">
        <v>1.2</v>
      </c>
      <c r="AG27" s="103">
        <f t="shared" si="0"/>
        <v>93.500000000000028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87">
        <v>4.5</v>
      </c>
      <c r="D28" s="87">
        <v>1.3</v>
      </c>
      <c r="E28" s="87">
        <v>2.5</v>
      </c>
      <c r="F28" s="87">
        <v>3.4</v>
      </c>
      <c r="G28" s="87">
        <v>1.3</v>
      </c>
      <c r="H28" s="87"/>
      <c r="I28" s="87"/>
      <c r="J28" s="87">
        <v>1.4</v>
      </c>
      <c r="K28" s="87">
        <v>4.3</v>
      </c>
      <c r="L28" s="87">
        <v>4.0999999999999996</v>
      </c>
      <c r="M28" s="87">
        <v>2</v>
      </c>
      <c r="N28" s="87">
        <v>2.4</v>
      </c>
      <c r="O28" s="87"/>
      <c r="P28" s="87"/>
      <c r="Q28" s="87">
        <v>1.3</v>
      </c>
      <c r="R28" s="87">
        <v>2</v>
      </c>
      <c r="S28" s="87">
        <v>2.4</v>
      </c>
      <c r="T28" s="87">
        <v>4</v>
      </c>
      <c r="U28" s="87">
        <v>1.6</v>
      </c>
      <c r="V28" s="87"/>
      <c r="W28" s="87"/>
      <c r="X28" s="87">
        <v>4.3</v>
      </c>
      <c r="Y28" s="87">
        <v>1.5</v>
      </c>
      <c r="Z28" s="87"/>
      <c r="AA28" s="87">
        <v>1.3</v>
      </c>
      <c r="AB28" s="87">
        <v>1.4</v>
      </c>
      <c r="AC28" s="87"/>
      <c r="AD28" s="87"/>
      <c r="AE28" s="87">
        <v>2.2000000000000002</v>
      </c>
      <c r="AF28" s="87"/>
      <c r="AG28" s="103">
        <f t="shared" si="0"/>
        <v>49.2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f>4.2+3.1</f>
        <v>7.3000000000000007</v>
      </c>
      <c r="C29" s="87">
        <f>6.2+3.2</f>
        <v>9.4</v>
      </c>
      <c r="D29" s="87">
        <f>5.1+3.2</f>
        <v>8.3000000000000007</v>
      </c>
      <c r="E29" s="87">
        <f>4.3+2.1</f>
        <v>6.4</v>
      </c>
      <c r="F29" s="87">
        <f>6.2+3.2</f>
        <v>9.4</v>
      </c>
      <c r="G29" s="87">
        <f>4.3+2.1</f>
        <v>6.4</v>
      </c>
      <c r="H29" s="87">
        <f>4.8+3.2</f>
        <v>8</v>
      </c>
      <c r="I29" s="87">
        <f>6.2+3.1</f>
        <v>9.3000000000000007</v>
      </c>
      <c r="J29" s="87">
        <f>5.3+2.2</f>
        <v>7.5</v>
      </c>
      <c r="K29" s="87">
        <f>6.2+3.1</f>
        <v>9.3000000000000007</v>
      </c>
      <c r="L29" s="87">
        <f>4.5+2.1</f>
        <v>6.6</v>
      </c>
      <c r="M29" s="87">
        <f>6.3+4.2</f>
        <v>10.5</v>
      </c>
      <c r="N29" s="87">
        <f>5.3+3.1</f>
        <v>8.4</v>
      </c>
      <c r="O29" s="87">
        <f>4.9+2.8</f>
        <v>7.7</v>
      </c>
      <c r="P29" s="87">
        <f>5.6+2</f>
        <v>7.6</v>
      </c>
      <c r="Q29" s="87">
        <f>5.7+3.1</f>
        <v>8.8000000000000007</v>
      </c>
      <c r="R29" s="87">
        <f>4.4+3.1</f>
        <v>7.5</v>
      </c>
      <c r="S29" s="87">
        <f>4.9+3</f>
        <v>7.9</v>
      </c>
      <c r="T29" s="87">
        <f>5.1+4.3</f>
        <v>9.3999999999999986</v>
      </c>
      <c r="U29" s="87">
        <f>6+4</f>
        <v>10</v>
      </c>
      <c r="V29" s="87">
        <f>5.5+4.2</f>
        <v>9.6999999999999993</v>
      </c>
      <c r="W29" s="87">
        <f>5.7+4.2</f>
        <v>9.9</v>
      </c>
      <c r="X29" s="87">
        <f>4.8+4.5</f>
        <v>9.3000000000000007</v>
      </c>
      <c r="Y29" s="87">
        <f>4+4</f>
        <v>8</v>
      </c>
      <c r="Z29" s="87">
        <f>5+4.1</f>
        <v>9.1</v>
      </c>
      <c r="AA29" s="87">
        <f>4.7+3.6</f>
        <v>8.3000000000000007</v>
      </c>
      <c r="AB29" s="87">
        <f>4+2.8</f>
        <v>6.8</v>
      </c>
      <c r="AC29" s="87">
        <f>4.5+2.5</f>
        <v>7</v>
      </c>
      <c r="AD29" s="87">
        <f>4.7+3.7</f>
        <v>8.4</v>
      </c>
      <c r="AE29" s="87">
        <f>4+1.9</f>
        <v>5.9</v>
      </c>
      <c r="AF29" s="87">
        <f>4.8+2.3</f>
        <v>7.1</v>
      </c>
      <c r="AG29" s="103">
        <f t="shared" si="0"/>
        <v>255.20000000000005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>
        <v>2.9</v>
      </c>
      <c r="C31" s="87">
        <v>2.2999999999999998</v>
      </c>
      <c r="D31" s="87">
        <v>2.6</v>
      </c>
      <c r="E31" s="87">
        <v>2.4</v>
      </c>
      <c r="F31" s="87">
        <v>1.8</v>
      </c>
      <c r="G31" s="87">
        <v>2.6</v>
      </c>
      <c r="H31" s="87">
        <v>1.4</v>
      </c>
      <c r="I31" s="87">
        <v>2.2999999999999998</v>
      </c>
      <c r="J31" s="87">
        <v>3</v>
      </c>
      <c r="K31" s="87">
        <v>3.8</v>
      </c>
      <c r="L31" s="87">
        <v>4.5</v>
      </c>
      <c r="M31" s="87">
        <v>2.9</v>
      </c>
      <c r="N31" s="87">
        <v>3</v>
      </c>
      <c r="O31" s="87">
        <v>1.9</v>
      </c>
      <c r="P31" s="87"/>
      <c r="Q31" s="87">
        <v>1.4</v>
      </c>
      <c r="R31" s="87">
        <v>2.1</v>
      </c>
      <c r="S31" s="87">
        <v>2.5</v>
      </c>
      <c r="T31" s="87">
        <v>2.7</v>
      </c>
      <c r="U31" s="87">
        <v>3.2</v>
      </c>
      <c r="V31" s="87">
        <v>0.8</v>
      </c>
      <c r="W31" s="87"/>
      <c r="X31" s="87">
        <v>2.9</v>
      </c>
      <c r="Y31" s="87">
        <v>3</v>
      </c>
      <c r="Z31" s="87">
        <v>1.9</v>
      </c>
      <c r="AA31" s="87">
        <v>2.4</v>
      </c>
      <c r="AB31" s="87">
        <v>3</v>
      </c>
      <c r="AC31" s="87">
        <v>3.7</v>
      </c>
      <c r="AD31" s="87"/>
      <c r="AE31" s="87"/>
      <c r="AF31" s="87"/>
      <c r="AG31" s="103">
        <f t="shared" si="0"/>
        <v>67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87">
        <v>1.8</v>
      </c>
      <c r="D32" s="87">
        <v>2</v>
      </c>
      <c r="E32" s="87">
        <v>3.3</v>
      </c>
      <c r="F32" s="87">
        <v>2.2000000000000002</v>
      </c>
      <c r="G32" s="87">
        <v>2</v>
      </c>
      <c r="H32" s="87"/>
      <c r="I32" s="87"/>
      <c r="J32" s="87">
        <v>2.6</v>
      </c>
      <c r="K32" s="87">
        <v>1.5</v>
      </c>
      <c r="L32" s="87">
        <v>2.7</v>
      </c>
      <c r="M32" s="87">
        <v>3</v>
      </c>
      <c r="N32" s="87">
        <v>2.2000000000000002</v>
      </c>
      <c r="O32" s="87"/>
      <c r="P32" s="87"/>
      <c r="Q32" s="87">
        <v>3.3</v>
      </c>
      <c r="R32" s="87">
        <v>1.8</v>
      </c>
      <c r="S32" s="87">
        <v>2.6</v>
      </c>
      <c r="T32" s="87">
        <v>2</v>
      </c>
      <c r="U32" s="87">
        <v>2.9</v>
      </c>
      <c r="V32" s="87"/>
      <c r="W32" s="87"/>
      <c r="X32" s="87">
        <v>3.5</v>
      </c>
      <c r="Y32" s="87">
        <v>3.8</v>
      </c>
      <c r="Z32" s="87"/>
      <c r="AA32" s="87">
        <v>2.9</v>
      </c>
      <c r="AB32" s="87">
        <v>1.9</v>
      </c>
      <c r="AC32" s="87"/>
      <c r="AD32" s="87"/>
      <c r="AE32" s="87">
        <v>3</v>
      </c>
      <c r="AF32" s="87">
        <v>3.8</v>
      </c>
      <c r="AG32" s="103">
        <f t="shared" si="0"/>
        <v>54.79999999999999</v>
      </c>
      <c r="AH32" s="48"/>
      <c r="AI32" s="48"/>
    </row>
    <row r="33" spans="1:35" s="44" customFormat="1" ht="18.75" customHeight="1" x14ac:dyDescent="0.35">
      <c r="A33" s="60" t="s">
        <v>78</v>
      </c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103">
        <f t="shared" si="0"/>
        <v>0</v>
      </c>
      <c r="AH33" s="48"/>
      <c r="AI33" s="48"/>
    </row>
    <row r="34" spans="1:35" s="44" customFormat="1" ht="18.75" customHeight="1" x14ac:dyDescent="0.35">
      <c r="A34" s="60" t="s">
        <v>79</v>
      </c>
      <c r="B34" s="87">
        <v>1.5</v>
      </c>
      <c r="C34" s="87">
        <v>2</v>
      </c>
      <c r="D34" s="87">
        <v>1.6</v>
      </c>
      <c r="E34" s="87">
        <v>2</v>
      </c>
      <c r="F34" s="87">
        <v>2.5</v>
      </c>
      <c r="G34" s="87">
        <v>3</v>
      </c>
      <c r="H34" s="87">
        <v>2.5</v>
      </c>
      <c r="I34" s="87">
        <v>2</v>
      </c>
      <c r="J34" s="87">
        <v>1.5</v>
      </c>
      <c r="K34" s="87">
        <v>1.9</v>
      </c>
      <c r="L34" s="87">
        <v>2</v>
      </c>
      <c r="M34" s="87">
        <v>2.5</v>
      </c>
      <c r="N34" s="87">
        <v>1</v>
      </c>
      <c r="O34" s="87">
        <v>1.5</v>
      </c>
      <c r="P34" s="87">
        <v>2</v>
      </c>
      <c r="Q34" s="87">
        <v>2.5</v>
      </c>
      <c r="R34" s="87">
        <v>2</v>
      </c>
      <c r="S34" s="87">
        <v>2.5</v>
      </c>
      <c r="T34" s="87">
        <v>1.5</v>
      </c>
      <c r="U34" s="87">
        <v>2</v>
      </c>
      <c r="V34" s="87">
        <v>2</v>
      </c>
      <c r="W34" s="87">
        <v>2</v>
      </c>
      <c r="X34" s="87">
        <v>1.5</v>
      </c>
      <c r="Y34" s="87">
        <v>1</v>
      </c>
      <c r="Z34" s="87">
        <v>2</v>
      </c>
      <c r="AA34" s="87">
        <v>1.5</v>
      </c>
      <c r="AB34" s="87">
        <v>1.9</v>
      </c>
      <c r="AC34" s="87">
        <v>2.5</v>
      </c>
      <c r="AD34" s="87">
        <v>2</v>
      </c>
      <c r="AE34" s="87">
        <v>2</v>
      </c>
      <c r="AF34" s="87">
        <v>2.5</v>
      </c>
      <c r="AG34" s="103">
        <f t="shared" si="0"/>
        <v>60.9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/>
      <c r="C36" s="88">
        <v>4.5</v>
      </c>
      <c r="D36" s="88">
        <v>1.1000000000000001</v>
      </c>
      <c r="E36" s="88">
        <v>3.8</v>
      </c>
      <c r="F36" s="88">
        <v>4.8</v>
      </c>
      <c r="G36" s="88">
        <v>4.2</v>
      </c>
      <c r="H36" s="88">
        <v>5.2</v>
      </c>
      <c r="I36" s="88"/>
      <c r="J36" s="87">
        <v>6.2</v>
      </c>
      <c r="K36" s="87">
        <v>3.1</v>
      </c>
      <c r="L36" s="87">
        <v>4.0999999999999996</v>
      </c>
      <c r="M36" s="87">
        <v>3.1</v>
      </c>
      <c r="N36" s="87">
        <v>5.2</v>
      </c>
      <c r="O36" s="87">
        <v>2.2000000000000002</v>
      </c>
      <c r="P36" s="87"/>
      <c r="Q36" s="87">
        <v>4.2</v>
      </c>
      <c r="R36" s="87">
        <v>7.3</v>
      </c>
      <c r="S36" s="87">
        <v>4.2</v>
      </c>
      <c r="T36" s="87">
        <v>1.1000000000000001</v>
      </c>
      <c r="U36" s="87">
        <v>4.8</v>
      </c>
      <c r="V36" s="87">
        <v>3.9</v>
      </c>
      <c r="W36" s="87">
        <v>0.9</v>
      </c>
      <c r="X36" s="87"/>
      <c r="Y36" s="87">
        <v>4.2</v>
      </c>
      <c r="Z36" s="87">
        <v>2</v>
      </c>
      <c r="AA36" s="87">
        <v>1.3</v>
      </c>
      <c r="AB36" s="87">
        <v>1</v>
      </c>
      <c r="AC36" s="87">
        <v>2.2000000000000002</v>
      </c>
      <c r="AD36" s="87">
        <v>3.1</v>
      </c>
      <c r="AE36" s="87">
        <v>1.4</v>
      </c>
      <c r="AF36" s="87">
        <v>6.9</v>
      </c>
      <c r="AG36" s="103">
        <f t="shared" si="0"/>
        <v>96.000000000000028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106">
        <f>4.5+3.1+2.2</f>
        <v>9.8000000000000007</v>
      </c>
      <c r="C38" s="106">
        <f>5.1+2.2+3.1</f>
        <v>10.4</v>
      </c>
      <c r="D38" s="88">
        <f>4.5+2.5+3.5</f>
        <v>10.5</v>
      </c>
      <c r="E38" s="88">
        <f>3.1+2.2+8.1</f>
        <v>13.4</v>
      </c>
      <c r="F38" s="88">
        <f>4.1+6.3+7.1</f>
        <v>17.5</v>
      </c>
      <c r="G38" s="106">
        <f>4.5+3.3+4.5</f>
        <v>12.3</v>
      </c>
      <c r="H38" s="88">
        <f>2.3+2.2+2.5</f>
        <v>7</v>
      </c>
      <c r="I38" s="106">
        <f>2.3+1.9+6.3</f>
        <v>10.5</v>
      </c>
      <c r="J38" s="88">
        <f>3.2+2.1+1.8</f>
        <v>7.1000000000000005</v>
      </c>
      <c r="K38" s="106">
        <f>2.1+2.2+3</f>
        <v>7.3000000000000007</v>
      </c>
      <c r="L38" s="88">
        <f>3.3+2.2+4.3</f>
        <v>9.8000000000000007</v>
      </c>
      <c r="M38" s="88">
        <f>4.1+2.3+2.8</f>
        <v>9.1999999999999993</v>
      </c>
      <c r="N38" s="88">
        <f>3.1+2.3+3.3</f>
        <v>8.6999999999999993</v>
      </c>
      <c r="O38" s="88">
        <f>4.1+2.5+3.1</f>
        <v>9.6999999999999993</v>
      </c>
      <c r="P38" s="106">
        <f>3.5+2.1+2.2</f>
        <v>7.8</v>
      </c>
      <c r="Q38" s="106">
        <f>4.1+2.3+2.8</f>
        <v>9.1999999999999993</v>
      </c>
      <c r="R38" s="88">
        <f>5.6+7.1+8.3</f>
        <v>21</v>
      </c>
      <c r="S38" s="88">
        <f>4.1+5.6+7.8</f>
        <v>17.5</v>
      </c>
      <c r="T38" s="88">
        <f>3.8+7.3+9.1</f>
        <v>20.2</v>
      </c>
      <c r="U38" s="106">
        <f>8.3+7.2+7</f>
        <v>22.5</v>
      </c>
      <c r="V38" s="106">
        <f>10.1+3.9+7.8</f>
        <v>21.8</v>
      </c>
      <c r="W38" s="106">
        <f>3.5+9.2+8.4</f>
        <v>21.1</v>
      </c>
      <c r="X38" s="106">
        <f>5.6+6.8+9.3</f>
        <v>21.7</v>
      </c>
      <c r="Y38" s="88">
        <f>9.5+3.8+5.9</f>
        <v>19.200000000000003</v>
      </c>
      <c r="Z38" s="106">
        <f>3.9+3.8+4.6</f>
        <v>12.299999999999999</v>
      </c>
      <c r="AA38" s="106">
        <f>4.5+6.1+7.8</f>
        <v>18.399999999999999</v>
      </c>
      <c r="AB38" s="106">
        <f>8.4+2.5+6.7</f>
        <v>17.600000000000001</v>
      </c>
      <c r="AC38" s="106">
        <f>4.3+2.5+6.2</f>
        <v>13</v>
      </c>
      <c r="AD38" s="106">
        <f>4.8+5.6+10.9</f>
        <v>21.299999999999997</v>
      </c>
      <c r="AE38" s="106">
        <f>8.3+6.8+7.8</f>
        <v>22.900000000000002</v>
      </c>
      <c r="AF38" s="88">
        <f>4.5+2.3+2.8</f>
        <v>9.6</v>
      </c>
      <c r="AG38" s="103">
        <f t="shared" si="0"/>
        <v>440.3</v>
      </c>
      <c r="AH38" s="48"/>
      <c r="AI38" s="48"/>
    </row>
    <row r="39" spans="1:35" s="44" customFormat="1" ht="18.75" customHeight="1" x14ac:dyDescent="0.35">
      <c r="A39" s="60" t="s">
        <v>86</v>
      </c>
      <c r="B39" s="88">
        <v>12.4</v>
      </c>
      <c r="C39" s="88">
        <v>11.5</v>
      </c>
      <c r="D39" s="88">
        <v>8.3000000000000007</v>
      </c>
      <c r="E39" s="88">
        <v>10.6</v>
      </c>
      <c r="F39" s="88">
        <v>7.1</v>
      </c>
      <c r="G39" s="88">
        <v>14.1</v>
      </c>
      <c r="H39" s="88"/>
      <c r="I39" s="88">
        <v>13.8</v>
      </c>
      <c r="J39" s="88">
        <v>8.5</v>
      </c>
      <c r="K39" s="88">
        <v>12.1</v>
      </c>
      <c r="L39" s="88">
        <v>8.3000000000000007</v>
      </c>
      <c r="M39" s="88">
        <v>10.4</v>
      </c>
      <c r="N39" s="88">
        <v>9.3000000000000007</v>
      </c>
      <c r="O39" s="88">
        <v>10.4</v>
      </c>
      <c r="P39" s="88">
        <v>7.3</v>
      </c>
      <c r="Q39" s="88">
        <v>12.8</v>
      </c>
      <c r="R39" s="88">
        <v>9.3000000000000007</v>
      </c>
      <c r="S39" s="88">
        <v>12.5</v>
      </c>
      <c r="T39" s="88">
        <v>6.3</v>
      </c>
      <c r="U39" s="88">
        <v>10.8</v>
      </c>
      <c r="V39" s="88">
        <v>9.3000000000000007</v>
      </c>
      <c r="W39" s="88">
        <v>10</v>
      </c>
      <c r="X39" s="88"/>
      <c r="Y39" s="88"/>
      <c r="Z39" s="88"/>
      <c r="AA39" s="88"/>
      <c r="AB39" s="88"/>
      <c r="AC39" s="88"/>
      <c r="AD39" s="88"/>
      <c r="AE39" s="88"/>
      <c r="AF39" s="88"/>
      <c r="AG39" s="103">
        <f t="shared" si="0"/>
        <v>215.10000000000005</v>
      </c>
      <c r="AH39" s="48"/>
      <c r="AI39" s="48"/>
    </row>
    <row r="40" spans="1:35" s="44" customFormat="1" ht="18.75" customHeight="1" x14ac:dyDescent="0.35">
      <c r="A40" s="60" t="s">
        <v>82</v>
      </c>
      <c r="B40" s="88">
        <v>4.5</v>
      </c>
      <c r="C40" s="88">
        <v>4.8</v>
      </c>
      <c r="D40" s="88">
        <v>3.8</v>
      </c>
      <c r="E40" s="88">
        <v>5</v>
      </c>
      <c r="F40" s="88">
        <v>3.7</v>
      </c>
      <c r="G40" s="88">
        <v>5.8</v>
      </c>
      <c r="H40" s="88">
        <v>3.5</v>
      </c>
      <c r="I40" s="88">
        <v>4</v>
      </c>
      <c r="J40" s="88">
        <v>3.5</v>
      </c>
      <c r="K40" s="88">
        <v>4.0999999999999996</v>
      </c>
      <c r="L40" s="88">
        <v>2.8</v>
      </c>
      <c r="M40" s="88">
        <v>3.5</v>
      </c>
      <c r="N40" s="88">
        <v>4</v>
      </c>
      <c r="O40" s="88">
        <v>3.5</v>
      </c>
      <c r="P40" s="88">
        <v>4.2</v>
      </c>
      <c r="Q40" s="88">
        <v>3.8</v>
      </c>
      <c r="R40" s="88">
        <v>2.8</v>
      </c>
      <c r="S40" s="88">
        <v>4.7</v>
      </c>
      <c r="T40" s="88">
        <v>3.9</v>
      </c>
      <c r="U40" s="88">
        <v>3.5</v>
      </c>
      <c r="V40" s="88">
        <v>4.2</v>
      </c>
      <c r="W40" s="88">
        <v>3.8</v>
      </c>
      <c r="X40" s="88">
        <v>2.8</v>
      </c>
      <c r="Y40" s="88">
        <v>4</v>
      </c>
      <c r="Z40" s="88">
        <v>3</v>
      </c>
      <c r="AA40" s="88">
        <v>3.2</v>
      </c>
      <c r="AB40" s="88">
        <v>4.2</v>
      </c>
      <c r="AC40" s="88">
        <v>3.5</v>
      </c>
      <c r="AD40" s="88">
        <v>3</v>
      </c>
      <c r="AE40" s="88">
        <v>3.8</v>
      </c>
      <c r="AF40" s="88">
        <v>4.2</v>
      </c>
      <c r="AG40" s="103">
        <f t="shared" si="0"/>
        <v>119.10000000000001</v>
      </c>
      <c r="AH40" s="48"/>
      <c r="AI40" s="48"/>
    </row>
    <row r="41" spans="1:35" s="44" customFormat="1" ht="18.75" customHeight="1" x14ac:dyDescent="0.35">
      <c r="A41" s="60" t="s">
        <v>178</v>
      </c>
      <c r="B41" s="88">
        <v>2.1</v>
      </c>
      <c r="C41" s="88">
        <v>2.1</v>
      </c>
      <c r="D41" s="88">
        <v>3.1</v>
      </c>
      <c r="E41" s="88">
        <v>2.1</v>
      </c>
      <c r="F41" s="88">
        <v>1.5</v>
      </c>
      <c r="G41" s="88">
        <v>2.1</v>
      </c>
      <c r="H41" s="88">
        <v>3.1</v>
      </c>
      <c r="I41" s="88"/>
      <c r="J41" s="88">
        <v>2</v>
      </c>
      <c r="K41" s="88">
        <v>3</v>
      </c>
      <c r="L41" s="88">
        <v>2.1</v>
      </c>
      <c r="M41" s="88">
        <v>2.1</v>
      </c>
      <c r="N41" s="88">
        <v>3</v>
      </c>
      <c r="O41" s="88">
        <v>2.2999999999999998</v>
      </c>
      <c r="P41" s="88">
        <v>2</v>
      </c>
      <c r="Q41" s="88">
        <v>2</v>
      </c>
      <c r="R41" s="88">
        <v>2</v>
      </c>
      <c r="S41" s="88">
        <v>1.9</v>
      </c>
      <c r="T41" s="88">
        <v>1.2</v>
      </c>
      <c r="U41" s="88">
        <v>2</v>
      </c>
      <c r="V41" s="88">
        <v>2</v>
      </c>
      <c r="W41" s="88">
        <v>2</v>
      </c>
      <c r="X41" s="88">
        <v>2</v>
      </c>
      <c r="Y41" s="88">
        <v>2</v>
      </c>
      <c r="Z41" s="88">
        <v>2</v>
      </c>
      <c r="AA41" s="88">
        <v>2.2999999999999998</v>
      </c>
      <c r="AB41" s="88">
        <v>2.5</v>
      </c>
      <c r="AC41" s="88">
        <v>2</v>
      </c>
      <c r="AD41" s="88">
        <v>2</v>
      </c>
      <c r="AE41" s="88">
        <v>2</v>
      </c>
      <c r="AF41" s="88">
        <v>2.1</v>
      </c>
      <c r="AG41" s="103">
        <f t="shared" si="0"/>
        <v>64.600000000000009</v>
      </c>
      <c r="AH41" s="57"/>
      <c r="AI41" s="57"/>
    </row>
    <row r="42" spans="1:35" s="2" customFormat="1" ht="19.5" x14ac:dyDescent="0.35">
      <c r="A42" s="59" t="s">
        <v>155</v>
      </c>
      <c r="B42" s="87">
        <f>SUM(B4:B41)</f>
        <v>76.7</v>
      </c>
      <c r="C42" s="87">
        <f t="shared" ref="C42:AF42" si="1">SUM(C4:C41)</f>
        <v>101.29999999999998</v>
      </c>
      <c r="D42" s="87">
        <f t="shared" si="1"/>
        <v>85.4</v>
      </c>
      <c r="E42" s="87">
        <f t="shared" si="1"/>
        <v>97.999999999999986</v>
      </c>
      <c r="F42" s="87">
        <f t="shared" si="1"/>
        <v>101.19999999999999</v>
      </c>
      <c r="G42" s="87">
        <f t="shared" si="1"/>
        <v>101.09999999999998</v>
      </c>
      <c r="H42" s="87">
        <f t="shared" si="1"/>
        <v>75.699999999999989</v>
      </c>
      <c r="I42" s="87">
        <f t="shared" si="1"/>
        <v>76.199999999999989</v>
      </c>
      <c r="J42" s="87">
        <f t="shared" si="1"/>
        <v>93.399999999999991</v>
      </c>
      <c r="K42" s="87">
        <f t="shared" si="1"/>
        <v>94.20999999999998</v>
      </c>
      <c r="L42" s="87">
        <f t="shared" si="1"/>
        <v>91.799999999999983</v>
      </c>
      <c r="M42" s="87">
        <f t="shared" si="1"/>
        <v>95.899999999999991</v>
      </c>
      <c r="N42" s="87">
        <f t="shared" si="1"/>
        <v>93.6</v>
      </c>
      <c r="O42" s="87">
        <f t="shared" si="1"/>
        <v>126.30000000000003</v>
      </c>
      <c r="P42" s="87">
        <f t="shared" si="1"/>
        <v>62.2</v>
      </c>
      <c r="Q42" s="87">
        <f t="shared" si="1"/>
        <v>95.899999999999991</v>
      </c>
      <c r="R42" s="87">
        <f t="shared" si="1"/>
        <v>106.99999999999999</v>
      </c>
      <c r="S42" s="87">
        <f t="shared" si="1"/>
        <v>104.80000000000001</v>
      </c>
      <c r="T42" s="87">
        <f t="shared" si="1"/>
        <v>93.800000000000011</v>
      </c>
      <c r="U42" s="87">
        <f t="shared" si="1"/>
        <v>109.5</v>
      </c>
      <c r="V42" s="87">
        <f t="shared" si="1"/>
        <v>95.3</v>
      </c>
      <c r="W42" s="87">
        <f t="shared" si="1"/>
        <v>85.399999999999991</v>
      </c>
      <c r="X42" s="87">
        <f t="shared" si="1"/>
        <v>86.199999999999989</v>
      </c>
      <c r="Y42" s="87">
        <f t="shared" si="1"/>
        <v>91.3</v>
      </c>
      <c r="Z42" s="87">
        <f t="shared" si="1"/>
        <v>66.8</v>
      </c>
      <c r="AA42" s="87">
        <f t="shared" si="1"/>
        <v>87.299999999999983</v>
      </c>
      <c r="AB42" s="87">
        <f t="shared" si="1"/>
        <v>85.899999999999991</v>
      </c>
      <c r="AC42" s="87">
        <f t="shared" si="1"/>
        <v>74.400000000000006</v>
      </c>
      <c r="AD42" s="87">
        <f t="shared" si="1"/>
        <v>78.8</v>
      </c>
      <c r="AE42" s="87">
        <f t="shared" si="1"/>
        <v>87.600000000000009</v>
      </c>
      <c r="AF42" s="87">
        <f t="shared" si="1"/>
        <v>82.199999999999989</v>
      </c>
      <c r="AG42" s="105">
        <f>SUM(B42:AF42)</f>
        <v>2805.21</v>
      </c>
    </row>
    <row r="43" spans="1:3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4">
        <f>SUM(AG4:AG41)</f>
        <v>2805.21</v>
      </c>
    </row>
  </sheetData>
  <mergeCells count="1">
    <mergeCell ref="A1:AG1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4"/>
  <sheetViews>
    <sheetView workbookViewId="0">
      <selection sqref="A1:AG1"/>
    </sheetView>
  </sheetViews>
  <sheetFormatPr baseColWidth="10" defaultRowHeight="15" x14ac:dyDescent="0.25"/>
  <cols>
    <col min="1" max="1" width="55.5703125" customWidth="1"/>
    <col min="2" max="32" width="7.28515625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21" x14ac:dyDescent="0.35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6">
        <f>SUM(B3:AF3)</f>
        <v>0</v>
      </c>
      <c r="AH3" s="47"/>
      <c r="AI3" s="48"/>
    </row>
    <row r="4" spans="1:35" s="44" customFormat="1" ht="30.75" customHeight="1" x14ac:dyDescent="0.35">
      <c r="A4" s="78" t="s">
        <v>94</v>
      </c>
      <c r="B4" s="85"/>
      <c r="C4" s="85"/>
      <c r="D4" s="85"/>
      <c r="E4" s="85"/>
      <c r="F4" s="85"/>
      <c r="G4" s="85"/>
      <c r="H4" s="85"/>
      <c r="I4" s="86"/>
      <c r="J4" s="85"/>
      <c r="K4" s="86"/>
      <c r="L4" s="85"/>
      <c r="M4" s="86"/>
      <c r="N4" s="85"/>
      <c r="O4" s="85"/>
      <c r="P4" s="86"/>
      <c r="Q4" s="85"/>
      <c r="R4" s="85"/>
      <c r="S4" s="86"/>
      <c r="T4" s="86"/>
      <c r="U4" s="86"/>
      <c r="V4" s="86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03">
        <f t="shared" ref="AG4:AG40" si="0">SUM(B4:AF4)</f>
        <v>0</v>
      </c>
      <c r="AH4" s="47"/>
      <c r="AI4" s="48"/>
    </row>
    <row r="5" spans="1:35" s="44" customFormat="1" ht="18.75" customHeight="1" x14ac:dyDescent="0.35">
      <c r="A5" s="79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79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79" t="s">
        <v>84</v>
      </c>
      <c r="B7" s="87">
        <v>4.5999999999999996</v>
      </c>
      <c r="C7" s="87">
        <v>4</v>
      </c>
      <c r="D7" s="87">
        <v>4.7</v>
      </c>
      <c r="E7" s="87">
        <v>4.2</v>
      </c>
      <c r="F7" s="87">
        <v>4</v>
      </c>
      <c r="G7" s="87">
        <v>4.4000000000000004</v>
      </c>
      <c r="H7" s="87">
        <v>4.5999999999999996</v>
      </c>
      <c r="I7" s="87">
        <v>4.3</v>
      </c>
      <c r="J7" s="87">
        <v>4.0999999999999996</v>
      </c>
      <c r="K7" s="87">
        <v>4.3</v>
      </c>
      <c r="L7" s="87">
        <v>4.5</v>
      </c>
      <c r="M7" s="87">
        <v>4</v>
      </c>
      <c r="N7" s="87">
        <v>4.9000000000000004</v>
      </c>
      <c r="O7" s="87">
        <v>4.7</v>
      </c>
      <c r="P7" s="87">
        <v>4.4000000000000004</v>
      </c>
      <c r="Q7" s="87">
        <v>4.8</v>
      </c>
      <c r="R7" s="87">
        <v>4.0999999999999996</v>
      </c>
      <c r="S7" s="87">
        <v>4.3</v>
      </c>
      <c r="T7" s="87">
        <v>4</v>
      </c>
      <c r="U7" s="87">
        <v>4.5999999999999996</v>
      </c>
      <c r="V7" s="87">
        <v>4.9000000000000004</v>
      </c>
      <c r="W7" s="87">
        <v>4</v>
      </c>
      <c r="X7" s="87">
        <v>4.9000000000000004</v>
      </c>
      <c r="Y7" s="87">
        <v>4.7</v>
      </c>
      <c r="Z7" s="87">
        <v>4.4000000000000004</v>
      </c>
      <c r="AA7" s="87">
        <v>4.0999999999999996</v>
      </c>
      <c r="AB7" s="87">
        <v>5.0999999999999996</v>
      </c>
      <c r="AC7" s="87">
        <v>4.9000000000000004</v>
      </c>
      <c r="AD7" s="87">
        <v>4.4000000000000004</v>
      </c>
      <c r="AE7" s="87">
        <v>4.2</v>
      </c>
      <c r="AF7" s="87"/>
      <c r="AG7" s="103">
        <f t="shared" si="0"/>
        <v>133.1</v>
      </c>
      <c r="AH7" s="48"/>
      <c r="AI7" s="48"/>
    </row>
    <row r="8" spans="1:35" s="44" customFormat="1" ht="18.75" customHeight="1" x14ac:dyDescent="0.35">
      <c r="A8" s="79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79" t="s">
        <v>65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103">
        <f t="shared" si="0"/>
        <v>0</v>
      </c>
      <c r="AH9" s="48"/>
      <c r="AI9" s="48"/>
    </row>
    <row r="10" spans="1:35" s="44" customFormat="1" ht="18.75" customHeight="1" x14ac:dyDescent="0.35">
      <c r="A10" s="79" t="s">
        <v>66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103">
        <f t="shared" si="0"/>
        <v>0</v>
      </c>
      <c r="AH10" s="48"/>
      <c r="AI10" s="48"/>
    </row>
    <row r="11" spans="1:35" s="44" customFormat="1" ht="18.75" customHeight="1" x14ac:dyDescent="0.35">
      <c r="A11" s="79" t="s">
        <v>67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103">
        <f t="shared" si="0"/>
        <v>0</v>
      </c>
      <c r="AH11" s="48"/>
      <c r="AI11" s="48"/>
    </row>
    <row r="12" spans="1:35" s="44" customFormat="1" ht="33" customHeight="1" x14ac:dyDescent="0.35">
      <c r="A12" s="79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79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79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79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79" t="s">
        <v>91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103">
        <f t="shared" si="0"/>
        <v>0</v>
      </c>
      <c r="AH16" s="48"/>
      <c r="AI16" s="48"/>
    </row>
    <row r="17" spans="1:35" s="44" customFormat="1" ht="18.75" customHeight="1" x14ac:dyDescent="0.35">
      <c r="A17" s="79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79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79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79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80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79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79" t="s">
        <v>71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8"/>
      <c r="Z23" s="88"/>
      <c r="AA23" s="88"/>
      <c r="AB23" s="88"/>
      <c r="AC23" s="88"/>
      <c r="AD23" s="88"/>
      <c r="AE23" s="88"/>
      <c r="AF23" s="88"/>
      <c r="AG23" s="103">
        <f t="shared" si="0"/>
        <v>0</v>
      </c>
      <c r="AH23" s="48"/>
      <c r="AI23" s="48"/>
    </row>
    <row r="24" spans="1:35" s="44" customFormat="1" ht="18.75" customHeight="1" x14ac:dyDescent="0.35">
      <c r="A24" s="79" t="s">
        <v>72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103">
        <f t="shared" si="0"/>
        <v>0</v>
      </c>
      <c r="AH24" s="48"/>
      <c r="AI24" s="48"/>
    </row>
    <row r="25" spans="1:35" s="44" customFormat="1" ht="18.75" customHeight="1" x14ac:dyDescent="0.35">
      <c r="A25" s="79" t="s">
        <v>85</v>
      </c>
      <c r="B25" s="87"/>
      <c r="C25" s="87">
        <v>3</v>
      </c>
      <c r="D25" s="87">
        <v>6</v>
      </c>
      <c r="E25" s="87">
        <v>10</v>
      </c>
      <c r="F25" s="87">
        <v>6</v>
      </c>
      <c r="G25" s="87">
        <v>2</v>
      </c>
      <c r="H25" s="87"/>
      <c r="I25" s="87"/>
      <c r="J25" s="87">
        <v>7</v>
      </c>
      <c r="K25" s="87">
        <v>15</v>
      </c>
      <c r="L25" s="87">
        <v>2</v>
      </c>
      <c r="M25" s="87">
        <v>8</v>
      </c>
      <c r="N25" s="87"/>
      <c r="O25" s="87"/>
      <c r="P25" s="87"/>
      <c r="Q25" s="87">
        <v>13</v>
      </c>
      <c r="R25" s="87">
        <v>10</v>
      </c>
      <c r="S25" s="87">
        <v>11</v>
      </c>
      <c r="T25" s="87">
        <v>1</v>
      </c>
      <c r="U25" s="87">
        <v>15</v>
      </c>
      <c r="V25" s="87">
        <v>3</v>
      </c>
      <c r="W25" s="87"/>
      <c r="X25" s="87"/>
      <c r="Y25" s="87">
        <v>68</v>
      </c>
      <c r="Z25" s="87">
        <v>11</v>
      </c>
      <c r="AA25" s="87">
        <v>12</v>
      </c>
      <c r="AB25" s="87">
        <v>60</v>
      </c>
      <c r="AC25" s="87"/>
      <c r="AD25" s="87">
        <v>3</v>
      </c>
      <c r="AE25" s="87"/>
      <c r="AF25" s="87"/>
      <c r="AG25" s="103">
        <f t="shared" si="0"/>
        <v>266</v>
      </c>
      <c r="AH25" s="48"/>
      <c r="AI25" s="48"/>
    </row>
    <row r="26" spans="1:35" s="44" customFormat="1" ht="18.75" customHeight="1" x14ac:dyDescent="0.35">
      <c r="A26" s="79" t="s">
        <v>153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103">
        <f t="shared" si="0"/>
        <v>0</v>
      </c>
      <c r="AH26" s="48"/>
      <c r="AI26" s="48"/>
    </row>
    <row r="27" spans="1:35" s="44" customFormat="1" ht="18.75" customHeight="1" x14ac:dyDescent="0.35">
      <c r="A27" s="79" t="s">
        <v>73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103">
        <f t="shared" si="0"/>
        <v>0</v>
      </c>
      <c r="AH27" s="48"/>
      <c r="AI27" s="48"/>
    </row>
    <row r="28" spans="1:35" s="44" customFormat="1" ht="18.75" customHeight="1" x14ac:dyDescent="0.35">
      <c r="A28" s="79" t="s">
        <v>92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103">
        <f t="shared" si="0"/>
        <v>0</v>
      </c>
      <c r="AH28" s="48"/>
      <c r="AI28" s="48"/>
    </row>
    <row r="29" spans="1:35" s="44" customFormat="1" ht="18.75" customHeight="1" x14ac:dyDescent="0.35">
      <c r="A29" s="79" t="s">
        <v>89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103">
        <f t="shared" si="0"/>
        <v>0</v>
      </c>
      <c r="AH29" s="48"/>
      <c r="AI29" s="48"/>
    </row>
    <row r="30" spans="1:35" s="44" customFormat="1" ht="18.75" customHeight="1" x14ac:dyDescent="0.35">
      <c r="A30" s="79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79" t="s">
        <v>75</v>
      </c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103">
        <f t="shared" si="0"/>
        <v>0</v>
      </c>
      <c r="AH31" s="48"/>
      <c r="AI31" s="48"/>
    </row>
    <row r="32" spans="1:35" s="44" customFormat="1" ht="18.75" customHeight="1" x14ac:dyDescent="0.35">
      <c r="A32" s="79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79" t="s">
        <v>78</v>
      </c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103">
        <f t="shared" si="0"/>
        <v>0</v>
      </c>
      <c r="AH33" s="48"/>
      <c r="AI33" s="48"/>
    </row>
    <row r="34" spans="1:35" s="44" customFormat="1" ht="18.75" customHeight="1" x14ac:dyDescent="0.35">
      <c r="A34" s="79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79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79" t="s">
        <v>80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103">
        <f t="shared" si="0"/>
        <v>0</v>
      </c>
      <c r="AH36" s="48"/>
      <c r="AI36" s="48"/>
    </row>
    <row r="37" spans="1:35" s="44" customFormat="1" ht="18.75" customHeight="1" x14ac:dyDescent="0.35">
      <c r="A37" s="79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79" t="s">
        <v>81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103">
        <f t="shared" si="0"/>
        <v>0</v>
      </c>
      <c r="AH38" s="48"/>
      <c r="AI38" s="48"/>
    </row>
    <row r="39" spans="1:35" s="44" customFormat="1" ht="18.75" customHeight="1" x14ac:dyDescent="0.35">
      <c r="A39" s="79" t="s">
        <v>86</v>
      </c>
      <c r="B39" s="88">
        <v>11.8</v>
      </c>
      <c r="C39" s="88">
        <v>12.5</v>
      </c>
      <c r="D39" s="88">
        <v>22.3</v>
      </c>
      <c r="E39" s="88">
        <v>10.199999999999999</v>
      </c>
      <c r="F39" s="88">
        <v>12.3</v>
      </c>
      <c r="G39" s="88">
        <v>10.5</v>
      </c>
      <c r="H39" s="88">
        <v>18.600000000000001</v>
      </c>
      <c r="I39" s="88">
        <v>12.6</v>
      </c>
      <c r="J39" s="88">
        <f>16.3+6.2</f>
        <v>22.5</v>
      </c>
      <c r="K39" s="88">
        <v>13.2</v>
      </c>
      <c r="L39" s="88">
        <f>12.3+10.2</f>
        <v>22.5</v>
      </c>
      <c r="M39" s="88">
        <v>14.3</v>
      </c>
      <c r="N39" s="88">
        <f>10.6+12.5</f>
        <v>23.1</v>
      </c>
      <c r="O39" s="88">
        <v>14.8</v>
      </c>
      <c r="P39" s="88">
        <f>10.5+10.4</f>
        <v>20.9</v>
      </c>
      <c r="Q39" s="88">
        <v>12.8</v>
      </c>
      <c r="R39" s="88">
        <v>10.5</v>
      </c>
      <c r="S39" s="88">
        <v>13.1</v>
      </c>
      <c r="T39" s="88">
        <v>19.8</v>
      </c>
      <c r="U39" s="88">
        <v>17.5</v>
      </c>
      <c r="V39" s="88">
        <f>14.3+10.2</f>
        <v>24.5</v>
      </c>
      <c r="W39" s="88">
        <v>20.3</v>
      </c>
      <c r="X39" s="88">
        <f>10.5+8.7</f>
        <v>19.2</v>
      </c>
      <c r="Y39" s="88">
        <f>9.7+8.3</f>
        <v>18</v>
      </c>
      <c r="Z39" s="88">
        <f>9.8+8.3</f>
        <v>18.100000000000001</v>
      </c>
      <c r="AA39" s="88">
        <f>8.9+8.3</f>
        <v>17.200000000000003</v>
      </c>
      <c r="AB39" s="88">
        <f>8.9+6.3</f>
        <v>15.2</v>
      </c>
      <c r="AC39" s="88">
        <v>6.3</v>
      </c>
      <c r="AD39" s="88">
        <f>7.1+7.8</f>
        <v>14.899999999999999</v>
      </c>
      <c r="AE39" s="88">
        <v>5.8</v>
      </c>
      <c r="AF39" s="88"/>
      <c r="AG39" s="103">
        <f t="shared" si="0"/>
        <v>475.3</v>
      </c>
      <c r="AH39" s="48"/>
      <c r="AI39" s="48"/>
    </row>
    <row r="40" spans="1:35" s="44" customFormat="1" ht="18.75" customHeight="1" x14ac:dyDescent="0.35">
      <c r="A40" s="79" t="s">
        <v>82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0</v>
      </c>
      <c r="AH40" s="48"/>
      <c r="AI40" s="48"/>
    </row>
    <row r="41" spans="1:35" s="44" customFormat="1" ht="18.75" customHeight="1" x14ac:dyDescent="0.35">
      <c r="A41" s="104" t="s">
        <v>155</v>
      </c>
      <c r="B41" s="87">
        <f>SUM(B4:B40)</f>
        <v>16.399999999999999</v>
      </c>
      <c r="C41" s="87">
        <f t="shared" ref="C41:AF41" si="1">SUM(C4:C40)</f>
        <v>19.5</v>
      </c>
      <c r="D41" s="87">
        <f t="shared" si="1"/>
        <v>33</v>
      </c>
      <c r="E41" s="87">
        <f t="shared" si="1"/>
        <v>24.4</v>
      </c>
      <c r="F41" s="87">
        <f t="shared" si="1"/>
        <v>22.3</v>
      </c>
      <c r="G41" s="87">
        <f t="shared" si="1"/>
        <v>16.899999999999999</v>
      </c>
      <c r="H41" s="87">
        <f t="shared" si="1"/>
        <v>23.200000000000003</v>
      </c>
      <c r="I41" s="87">
        <f t="shared" si="1"/>
        <v>16.899999999999999</v>
      </c>
      <c r="J41" s="87">
        <f t="shared" si="1"/>
        <v>33.6</v>
      </c>
      <c r="K41" s="87">
        <f t="shared" si="1"/>
        <v>32.5</v>
      </c>
      <c r="L41" s="87">
        <f t="shared" si="1"/>
        <v>29</v>
      </c>
      <c r="M41" s="87">
        <f t="shared" si="1"/>
        <v>26.3</v>
      </c>
      <c r="N41" s="87">
        <f t="shared" si="1"/>
        <v>28</v>
      </c>
      <c r="O41" s="87">
        <f t="shared" si="1"/>
        <v>19.5</v>
      </c>
      <c r="P41" s="87">
        <f t="shared" si="1"/>
        <v>25.299999999999997</v>
      </c>
      <c r="Q41" s="87">
        <f t="shared" si="1"/>
        <v>30.6</v>
      </c>
      <c r="R41" s="87">
        <f t="shared" si="1"/>
        <v>24.6</v>
      </c>
      <c r="S41" s="87">
        <f t="shared" si="1"/>
        <v>28.4</v>
      </c>
      <c r="T41" s="87">
        <f t="shared" si="1"/>
        <v>24.8</v>
      </c>
      <c r="U41" s="87">
        <f t="shared" si="1"/>
        <v>37.1</v>
      </c>
      <c r="V41" s="87">
        <f t="shared" si="1"/>
        <v>32.4</v>
      </c>
      <c r="W41" s="87">
        <f t="shared" si="1"/>
        <v>24.3</v>
      </c>
      <c r="X41" s="87">
        <f t="shared" si="1"/>
        <v>24.1</v>
      </c>
      <c r="Y41" s="87">
        <f t="shared" si="1"/>
        <v>90.7</v>
      </c>
      <c r="Z41" s="87">
        <f t="shared" si="1"/>
        <v>33.5</v>
      </c>
      <c r="AA41" s="87">
        <f t="shared" si="1"/>
        <v>33.300000000000004</v>
      </c>
      <c r="AB41" s="87">
        <f t="shared" si="1"/>
        <v>80.3</v>
      </c>
      <c r="AC41" s="87">
        <f t="shared" si="1"/>
        <v>11.2</v>
      </c>
      <c r="AD41" s="87">
        <f t="shared" si="1"/>
        <v>22.299999999999997</v>
      </c>
      <c r="AE41" s="87">
        <f t="shared" si="1"/>
        <v>10</v>
      </c>
      <c r="AF41" s="87">
        <f t="shared" si="1"/>
        <v>0</v>
      </c>
      <c r="AG41" s="105">
        <f>SUM(B41:AF41)</f>
        <v>874.4</v>
      </c>
      <c r="AH41" s="57"/>
      <c r="AI41" s="57"/>
    </row>
    <row r="42" spans="1:35" s="2" customFormat="1" x14ac:dyDescent="0.25">
      <c r="AG42" s="24">
        <f>SUM(AG3:AG40)</f>
        <v>874.40000000000009</v>
      </c>
    </row>
    <row r="43" spans="1:35" s="2" customFormat="1" x14ac:dyDescent="0.25"/>
    <row r="44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4"/>
  <sheetViews>
    <sheetView workbookViewId="0">
      <selection sqref="A1:AG1"/>
    </sheetView>
  </sheetViews>
  <sheetFormatPr baseColWidth="10" defaultRowHeight="15" x14ac:dyDescent="0.25"/>
  <cols>
    <col min="1" max="1" width="56.28515625" customWidth="1"/>
    <col min="2" max="32" width="6.85546875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21" x14ac:dyDescent="0.35">
      <c r="A3" s="45" t="s">
        <v>61</v>
      </c>
      <c r="B3" s="92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108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93"/>
      <c r="C4" s="93"/>
      <c r="D4" s="93"/>
      <c r="E4" s="93"/>
      <c r="F4" s="93"/>
      <c r="G4" s="93"/>
      <c r="H4" s="93"/>
      <c r="I4" s="94"/>
      <c r="J4" s="93"/>
      <c r="K4" s="94"/>
      <c r="L4" s="93"/>
      <c r="M4" s="94"/>
      <c r="N4" s="93"/>
      <c r="O4" s="93"/>
      <c r="P4" s="94"/>
      <c r="Q4" s="93"/>
      <c r="R4" s="93"/>
      <c r="S4" s="94"/>
      <c r="T4" s="94"/>
      <c r="U4" s="94"/>
      <c r="V4" s="94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108">
        <f t="shared" ref="AG4:AG40" si="0">SUM(B4:AF4)</f>
        <v>0</v>
      </c>
      <c r="AH4" s="47"/>
      <c r="AI4" s="48"/>
    </row>
    <row r="5" spans="1:35" s="44" customFormat="1" ht="18.75" customHeight="1" x14ac:dyDescent="0.35">
      <c r="A5" s="60" t="s">
        <v>149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108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95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108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95">
        <v>4.7</v>
      </c>
      <c r="C7" s="95">
        <v>4.3</v>
      </c>
      <c r="D7" s="95">
        <v>4.8</v>
      </c>
      <c r="E7" s="95">
        <v>4</v>
      </c>
      <c r="F7" s="95">
        <v>4.0999999999999996</v>
      </c>
      <c r="G7" s="95">
        <v>4.4000000000000004</v>
      </c>
      <c r="H7" s="95">
        <v>4.9000000000000004</v>
      </c>
      <c r="I7" s="95">
        <v>5</v>
      </c>
      <c r="J7" s="95">
        <v>5.0999999999999996</v>
      </c>
      <c r="K7" s="95">
        <v>3.9</v>
      </c>
      <c r="L7" s="95">
        <v>4.8</v>
      </c>
      <c r="M7" s="95">
        <v>4.3</v>
      </c>
      <c r="N7" s="95">
        <v>4.5999999999999996</v>
      </c>
      <c r="O7" s="95">
        <v>4</v>
      </c>
      <c r="P7" s="95">
        <v>4.0999999999999996</v>
      </c>
      <c r="Q7" s="95">
        <v>4.4000000000000004</v>
      </c>
      <c r="R7" s="95">
        <v>4.8</v>
      </c>
      <c r="S7" s="95">
        <v>4.5</v>
      </c>
      <c r="T7" s="95">
        <v>4.3</v>
      </c>
      <c r="U7" s="95">
        <v>4.9000000000000004</v>
      </c>
      <c r="V7" s="95">
        <v>5.0999999999999996</v>
      </c>
      <c r="W7" s="95">
        <v>5.2</v>
      </c>
      <c r="X7" s="95">
        <v>4.9000000000000004</v>
      </c>
      <c r="Y7" s="95">
        <v>4.5</v>
      </c>
      <c r="Z7" s="95">
        <v>4.3</v>
      </c>
      <c r="AA7" s="95">
        <v>4</v>
      </c>
      <c r="AB7" s="95">
        <v>4.2</v>
      </c>
      <c r="AC7" s="95">
        <v>4.3</v>
      </c>
      <c r="AD7" s="95">
        <v>4.7</v>
      </c>
      <c r="AE7" s="95">
        <v>4.4000000000000004</v>
      </c>
      <c r="AF7" s="95">
        <v>4</v>
      </c>
      <c r="AG7" s="108">
        <f t="shared" si="0"/>
        <v>139.5</v>
      </c>
      <c r="AH7" s="48"/>
      <c r="AI7" s="48"/>
    </row>
    <row r="8" spans="1:35" s="44" customFormat="1" ht="18.75" customHeight="1" x14ac:dyDescent="0.35">
      <c r="A8" s="60" t="s">
        <v>64</v>
      </c>
      <c r="B8" s="95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108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95"/>
      <c r="C9" s="95"/>
      <c r="D9" s="95"/>
      <c r="E9" s="95"/>
      <c r="F9" s="95"/>
      <c r="G9" s="95"/>
      <c r="H9" s="95"/>
      <c r="I9" s="95"/>
      <c r="J9" s="95"/>
      <c r="K9" s="95"/>
      <c r="L9" s="95"/>
      <c r="M9" s="95"/>
      <c r="N9" s="95"/>
      <c r="O9" s="95"/>
      <c r="P9" s="95"/>
      <c r="Q9" s="95"/>
      <c r="R9" s="95"/>
      <c r="S9" s="95"/>
      <c r="T9" s="95"/>
      <c r="U9" s="95"/>
      <c r="V9" s="95"/>
      <c r="W9" s="95"/>
      <c r="X9" s="95"/>
      <c r="Y9" s="95"/>
      <c r="Z9" s="95"/>
      <c r="AA9" s="95"/>
      <c r="AB9" s="95"/>
      <c r="AC9" s="95"/>
      <c r="AD9" s="95"/>
      <c r="AE9" s="95"/>
      <c r="AF9" s="95"/>
      <c r="AG9" s="108">
        <f t="shared" si="0"/>
        <v>0</v>
      </c>
      <c r="AH9" s="48"/>
      <c r="AI9" s="48"/>
    </row>
    <row r="10" spans="1:35" s="44" customFormat="1" ht="18.75" customHeight="1" x14ac:dyDescent="0.35">
      <c r="A10" s="60" t="s">
        <v>66</v>
      </c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108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95"/>
      <c r="C11" s="95"/>
      <c r="D11" s="95"/>
      <c r="E11" s="95"/>
      <c r="F11" s="95"/>
      <c r="G11" s="95"/>
      <c r="H11" s="95"/>
      <c r="I11" s="95"/>
      <c r="J11" s="95"/>
      <c r="K11" s="95"/>
      <c r="L11" s="95"/>
      <c r="M11" s="95"/>
      <c r="N11" s="95"/>
      <c r="O11" s="95"/>
      <c r="P11" s="95"/>
      <c r="Q11" s="95"/>
      <c r="R11" s="95"/>
      <c r="S11" s="95"/>
      <c r="T11" s="95"/>
      <c r="U11" s="95"/>
      <c r="V11" s="95"/>
      <c r="W11" s="95"/>
      <c r="X11" s="95"/>
      <c r="Y11" s="95"/>
      <c r="Z11" s="95"/>
      <c r="AA11" s="95"/>
      <c r="AB11" s="95"/>
      <c r="AC11" s="95"/>
      <c r="AD11" s="95"/>
      <c r="AE11" s="95"/>
      <c r="AF11" s="95"/>
      <c r="AG11" s="108">
        <f t="shared" si="0"/>
        <v>0</v>
      </c>
      <c r="AH11" s="48"/>
      <c r="AI11" s="48"/>
    </row>
    <row r="12" spans="1:35" s="44" customFormat="1" ht="33" customHeight="1" x14ac:dyDescent="0.35">
      <c r="A12" s="62" t="s">
        <v>90</v>
      </c>
      <c r="B12" s="95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7"/>
      <c r="P12" s="98"/>
      <c r="Q12" s="98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108">
        <f t="shared" si="0"/>
        <v>0</v>
      </c>
    </row>
    <row r="13" spans="1:35" s="44" customFormat="1" ht="31.5" customHeight="1" x14ac:dyDescent="0.35">
      <c r="A13" s="62" t="s">
        <v>93</v>
      </c>
      <c r="B13" s="95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108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95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108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95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108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95"/>
      <c r="C16" s="95"/>
      <c r="D16" s="95"/>
      <c r="E16" s="95"/>
      <c r="F16" s="95"/>
      <c r="G16" s="95"/>
      <c r="H16" s="95"/>
      <c r="I16" s="95"/>
      <c r="J16" s="95"/>
      <c r="K16" s="95"/>
      <c r="L16" s="95"/>
      <c r="M16" s="95"/>
      <c r="N16" s="95"/>
      <c r="O16" s="95"/>
      <c r="P16" s="95"/>
      <c r="Q16" s="95"/>
      <c r="R16" s="95"/>
      <c r="S16" s="95"/>
      <c r="T16" s="95"/>
      <c r="U16" s="95"/>
      <c r="V16" s="95"/>
      <c r="W16" s="95"/>
      <c r="X16" s="95"/>
      <c r="Y16" s="95"/>
      <c r="Z16" s="95"/>
      <c r="AA16" s="95"/>
      <c r="AB16" s="95"/>
      <c r="AC16" s="95"/>
      <c r="AD16" s="95"/>
      <c r="AE16" s="95"/>
      <c r="AF16" s="95"/>
      <c r="AG16" s="108">
        <f t="shared" si="0"/>
        <v>0</v>
      </c>
      <c r="AH16" s="48"/>
      <c r="AI16" s="48"/>
    </row>
    <row r="17" spans="1:35" s="44" customFormat="1" ht="18.75" customHeight="1" x14ac:dyDescent="0.35">
      <c r="A17" s="60" t="s">
        <v>68</v>
      </c>
      <c r="B17" s="95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108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95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108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99"/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108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95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108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95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108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95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108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95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6"/>
      <c r="Z23" s="96"/>
      <c r="AA23" s="96"/>
      <c r="AB23" s="96"/>
      <c r="AC23" s="96"/>
      <c r="AD23" s="96"/>
      <c r="AE23" s="96"/>
      <c r="AF23" s="96"/>
      <c r="AG23" s="108">
        <f t="shared" si="0"/>
        <v>0</v>
      </c>
      <c r="AH23" s="48"/>
      <c r="AI23" s="48"/>
    </row>
    <row r="24" spans="1:35" s="44" customFormat="1" ht="18.75" customHeight="1" x14ac:dyDescent="0.35">
      <c r="A24" s="60" t="s">
        <v>72</v>
      </c>
      <c r="B24" s="95"/>
      <c r="C24" s="95"/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108">
        <f t="shared" si="0"/>
        <v>0</v>
      </c>
      <c r="AH24" s="48"/>
      <c r="AI24" s="48"/>
    </row>
    <row r="25" spans="1:35" s="44" customFormat="1" ht="18.75" customHeight="1" x14ac:dyDescent="0.35">
      <c r="A25" s="60" t="s">
        <v>85</v>
      </c>
      <c r="B25" s="95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108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95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108">
        <f t="shared" si="0"/>
        <v>0</v>
      </c>
      <c r="AH26" s="48"/>
      <c r="AI26" s="48"/>
    </row>
    <row r="27" spans="1:35" s="44" customFormat="1" ht="18.75" customHeight="1" x14ac:dyDescent="0.35">
      <c r="A27" s="60" t="s">
        <v>73</v>
      </c>
      <c r="B27" s="95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108">
        <f t="shared" si="0"/>
        <v>0</v>
      </c>
      <c r="AH27" s="48"/>
      <c r="AI27" s="48"/>
    </row>
    <row r="28" spans="1:35" s="44" customFormat="1" ht="18.75" customHeight="1" x14ac:dyDescent="0.35">
      <c r="A28" s="60" t="s">
        <v>92</v>
      </c>
      <c r="B28" s="95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108">
        <f t="shared" si="0"/>
        <v>0</v>
      </c>
      <c r="AH28" s="48"/>
      <c r="AI28" s="48"/>
    </row>
    <row r="29" spans="1:35" s="44" customFormat="1" ht="18.75" customHeight="1" x14ac:dyDescent="0.35">
      <c r="A29" s="60" t="s">
        <v>89</v>
      </c>
      <c r="B29" s="95"/>
      <c r="C29" s="95"/>
      <c r="D29" s="95"/>
      <c r="E29" s="95"/>
      <c r="F29" s="95"/>
      <c r="G29" s="95"/>
      <c r="H29" s="95"/>
      <c r="I29" s="95"/>
      <c r="J29" s="95"/>
      <c r="K29" s="95"/>
      <c r="L29" s="95"/>
      <c r="M29" s="95"/>
      <c r="N29" s="95"/>
      <c r="O29" s="95"/>
      <c r="P29" s="95"/>
      <c r="Q29" s="95"/>
      <c r="R29" s="95"/>
      <c r="S29" s="95"/>
      <c r="T29" s="95"/>
      <c r="U29" s="95"/>
      <c r="V29" s="95"/>
      <c r="W29" s="95"/>
      <c r="X29" s="95"/>
      <c r="Y29" s="95"/>
      <c r="Z29" s="95"/>
      <c r="AA29" s="95"/>
      <c r="AB29" s="95"/>
      <c r="AC29" s="95"/>
      <c r="AD29" s="95"/>
      <c r="AE29" s="95"/>
      <c r="AF29" s="95"/>
      <c r="AG29" s="108">
        <f t="shared" si="0"/>
        <v>0</v>
      </c>
      <c r="AH29" s="48"/>
      <c r="AI29" s="48"/>
    </row>
    <row r="30" spans="1:35" s="44" customFormat="1" ht="18.75" customHeight="1" x14ac:dyDescent="0.35">
      <c r="A30" s="60" t="s">
        <v>74</v>
      </c>
      <c r="B30" s="95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108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95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108">
        <f t="shared" si="0"/>
        <v>0</v>
      </c>
      <c r="AH31" s="48"/>
      <c r="AI31" s="48"/>
    </row>
    <row r="32" spans="1:35" s="44" customFormat="1" ht="18.75" customHeight="1" x14ac:dyDescent="0.35">
      <c r="A32" s="60" t="s">
        <v>77</v>
      </c>
      <c r="B32" s="95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108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95"/>
      <c r="C33" s="95"/>
      <c r="D33" s="95"/>
      <c r="E33" s="95"/>
      <c r="F33" s="95"/>
      <c r="G33" s="95"/>
      <c r="H33" s="95"/>
      <c r="I33" s="95"/>
      <c r="J33" s="95"/>
      <c r="K33" s="95"/>
      <c r="L33" s="95"/>
      <c r="M33" s="95"/>
      <c r="N33" s="95"/>
      <c r="O33" s="95"/>
      <c r="P33" s="95"/>
      <c r="Q33" s="95"/>
      <c r="R33" s="95"/>
      <c r="S33" s="95"/>
      <c r="T33" s="95"/>
      <c r="U33" s="95"/>
      <c r="V33" s="95"/>
      <c r="W33" s="95"/>
      <c r="X33" s="95"/>
      <c r="Y33" s="95"/>
      <c r="Z33" s="95"/>
      <c r="AA33" s="95"/>
      <c r="AB33" s="95"/>
      <c r="AC33" s="95"/>
      <c r="AD33" s="95"/>
      <c r="AE33" s="95"/>
      <c r="AF33" s="95"/>
      <c r="AG33" s="108">
        <f t="shared" si="0"/>
        <v>0</v>
      </c>
      <c r="AH33" s="48"/>
      <c r="AI33" s="48"/>
    </row>
    <row r="34" spans="1:35" s="44" customFormat="1" ht="18.75" customHeight="1" x14ac:dyDescent="0.35">
      <c r="A34" s="60" t="s">
        <v>79</v>
      </c>
      <c r="B34" s="95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108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108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108">
        <f t="shared" si="0"/>
        <v>0</v>
      </c>
      <c r="AH36" s="48"/>
      <c r="AI36" s="48"/>
    </row>
    <row r="37" spans="1:35" s="44" customFormat="1" ht="18.75" customHeight="1" x14ac:dyDescent="0.35">
      <c r="A37" s="60" t="s">
        <v>76</v>
      </c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108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  <c r="N38" s="96"/>
      <c r="O38" s="96"/>
      <c r="P38" s="96"/>
      <c r="Q38" s="96"/>
      <c r="R38" s="96"/>
      <c r="S38" s="96"/>
      <c r="T38" s="96"/>
      <c r="U38" s="96"/>
      <c r="V38" s="96"/>
      <c r="W38" s="96"/>
      <c r="X38" s="96"/>
      <c r="Y38" s="96"/>
      <c r="Z38" s="96"/>
      <c r="AA38" s="96"/>
      <c r="AB38" s="96"/>
      <c r="AC38" s="96"/>
      <c r="AD38" s="96"/>
      <c r="AE38" s="96"/>
      <c r="AF38" s="96"/>
      <c r="AG38" s="108">
        <f t="shared" si="0"/>
        <v>0</v>
      </c>
      <c r="AH38" s="48"/>
      <c r="AI38" s="48"/>
    </row>
    <row r="39" spans="1:35" s="44" customFormat="1" ht="18.75" customHeight="1" x14ac:dyDescent="0.35">
      <c r="A39" s="60" t="s">
        <v>86</v>
      </c>
      <c r="B39" s="96">
        <v>20.2</v>
      </c>
      <c r="C39" s="96">
        <v>12.3</v>
      </c>
      <c r="D39" s="96">
        <v>23.6</v>
      </c>
      <c r="E39" s="96">
        <v>18.600000000000001</v>
      </c>
      <c r="F39" s="96">
        <v>23.9</v>
      </c>
      <c r="G39" s="96">
        <v>20.2</v>
      </c>
      <c r="H39" s="96">
        <v>29.6</v>
      </c>
      <c r="I39" s="96">
        <v>28.8</v>
      </c>
      <c r="J39" s="96">
        <v>22.8</v>
      </c>
      <c r="K39" s="96">
        <v>20.3</v>
      </c>
      <c r="L39" s="96">
        <v>24.2</v>
      </c>
      <c r="M39" s="96">
        <v>16.5</v>
      </c>
      <c r="N39" s="96">
        <v>25</v>
      </c>
      <c r="O39" s="96">
        <v>15.8</v>
      </c>
      <c r="P39" s="96">
        <v>27.6</v>
      </c>
      <c r="Q39" s="96">
        <v>20.8</v>
      </c>
      <c r="R39" s="96">
        <v>29.4</v>
      </c>
      <c r="S39" s="96">
        <v>20.6</v>
      </c>
      <c r="T39" s="96">
        <v>30.1</v>
      </c>
      <c r="U39" s="96">
        <v>17.8</v>
      </c>
      <c r="V39" s="96">
        <v>25.4</v>
      </c>
      <c r="W39" s="96">
        <v>19.8</v>
      </c>
      <c r="X39" s="96">
        <v>24.6</v>
      </c>
      <c r="Y39" s="96">
        <v>68.2</v>
      </c>
      <c r="Z39" s="96">
        <v>62.7</v>
      </c>
      <c r="AA39" s="96"/>
      <c r="AB39" s="96">
        <v>58.9</v>
      </c>
      <c r="AC39" s="96"/>
      <c r="AD39" s="96">
        <v>63.1</v>
      </c>
      <c r="AE39" s="96">
        <v>68.099999999999994</v>
      </c>
      <c r="AF39" s="96">
        <v>70.3</v>
      </c>
      <c r="AG39" s="108">
        <f t="shared" si="0"/>
        <v>909.20000000000016</v>
      </c>
      <c r="AH39" s="48"/>
      <c r="AI39" s="48"/>
    </row>
    <row r="40" spans="1:35" s="44" customFormat="1" ht="18.75" customHeight="1" x14ac:dyDescent="0.35">
      <c r="A40" s="60" t="s">
        <v>82</v>
      </c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108">
        <f t="shared" si="0"/>
        <v>0</v>
      </c>
      <c r="AH40" s="48"/>
      <c r="AI40" s="48"/>
    </row>
    <row r="41" spans="1:35" s="44" customFormat="1" ht="18.75" customHeight="1" x14ac:dyDescent="0.35">
      <c r="A41" s="59" t="s">
        <v>155</v>
      </c>
      <c r="B41" s="95">
        <f>SUM(B4:B40)</f>
        <v>24.9</v>
      </c>
      <c r="C41" s="95">
        <f t="shared" ref="C41:AF41" si="1">SUM(C4:C40)</f>
        <v>16.600000000000001</v>
      </c>
      <c r="D41" s="95">
        <f t="shared" si="1"/>
        <v>28.400000000000002</v>
      </c>
      <c r="E41" s="95">
        <f t="shared" si="1"/>
        <v>22.6</v>
      </c>
      <c r="F41" s="95">
        <f t="shared" si="1"/>
        <v>28</v>
      </c>
      <c r="G41" s="95">
        <f t="shared" si="1"/>
        <v>24.6</v>
      </c>
      <c r="H41" s="95">
        <f t="shared" si="1"/>
        <v>34.5</v>
      </c>
      <c r="I41" s="95">
        <f t="shared" si="1"/>
        <v>33.799999999999997</v>
      </c>
      <c r="J41" s="95">
        <f t="shared" si="1"/>
        <v>27.9</v>
      </c>
      <c r="K41" s="95">
        <f t="shared" si="1"/>
        <v>24.2</v>
      </c>
      <c r="L41" s="95">
        <f t="shared" si="1"/>
        <v>29</v>
      </c>
      <c r="M41" s="95">
        <f t="shared" si="1"/>
        <v>20.8</v>
      </c>
      <c r="N41" s="95">
        <f t="shared" si="1"/>
        <v>29.6</v>
      </c>
      <c r="O41" s="95">
        <f t="shared" si="1"/>
        <v>19.8</v>
      </c>
      <c r="P41" s="95">
        <f t="shared" si="1"/>
        <v>31.700000000000003</v>
      </c>
      <c r="Q41" s="95">
        <f t="shared" si="1"/>
        <v>25.200000000000003</v>
      </c>
      <c r="R41" s="95">
        <f t="shared" si="1"/>
        <v>34.199999999999996</v>
      </c>
      <c r="S41" s="95">
        <f t="shared" si="1"/>
        <v>25.1</v>
      </c>
      <c r="T41" s="95">
        <f t="shared" si="1"/>
        <v>34.4</v>
      </c>
      <c r="U41" s="95">
        <f t="shared" si="1"/>
        <v>22.700000000000003</v>
      </c>
      <c r="V41" s="95">
        <f t="shared" si="1"/>
        <v>30.5</v>
      </c>
      <c r="W41" s="95">
        <f t="shared" si="1"/>
        <v>25</v>
      </c>
      <c r="X41" s="95">
        <f t="shared" si="1"/>
        <v>29.5</v>
      </c>
      <c r="Y41" s="95">
        <f t="shared" si="1"/>
        <v>72.7</v>
      </c>
      <c r="Z41" s="95">
        <f t="shared" si="1"/>
        <v>67</v>
      </c>
      <c r="AA41" s="95">
        <f t="shared" si="1"/>
        <v>4</v>
      </c>
      <c r="AB41" s="95">
        <f t="shared" si="1"/>
        <v>63.1</v>
      </c>
      <c r="AC41" s="95">
        <f t="shared" si="1"/>
        <v>4.3</v>
      </c>
      <c r="AD41" s="95">
        <f t="shared" si="1"/>
        <v>67.8</v>
      </c>
      <c r="AE41" s="95">
        <f t="shared" si="1"/>
        <v>72.5</v>
      </c>
      <c r="AF41" s="95">
        <f t="shared" si="1"/>
        <v>74.3</v>
      </c>
      <c r="AG41" s="109">
        <f>SUM(B41:AF41)</f>
        <v>1048.7</v>
      </c>
      <c r="AH41" s="57"/>
      <c r="AI41" s="57"/>
    </row>
    <row r="42" spans="1:35" s="2" customFormat="1" x14ac:dyDescent="0.25">
      <c r="AG42" s="24">
        <f>SUM(AG3:AG40)</f>
        <v>1048.7000000000003</v>
      </c>
    </row>
    <row r="43" spans="1:35" s="2" customFormat="1" x14ac:dyDescent="0.25"/>
    <row r="44" spans="1:35" s="2" customFormat="1" x14ac:dyDescent="0.25"/>
  </sheetData>
  <mergeCells count="1">
    <mergeCell ref="A1:AG1"/>
  </mergeCells>
  <pageMargins left="0.7" right="0.7" top="0.75" bottom="0.75" header="0.3" footer="0.3"/>
  <pageSetup orientation="portrait" horizontalDpi="0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4"/>
  <sheetViews>
    <sheetView workbookViewId="0">
      <selection sqref="A1:AG1"/>
    </sheetView>
  </sheetViews>
  <sheetFormatPr baseColWidth="10" defaultRowHeight="15" x14ac:dyDescent="0.25"/>
  <cols>
    <col min="1" max="1" width="60.7109375" customWidth="1"/>
    <col min="2" max="32" width="7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/>
      <c r="C4" s="85"/>
      <c r="D4" s="85"/>
      <c r="E4" s="85"/>
      <c r="F4" s="85"/>
      <c r="G4" s="85"/>
      <c r="H4" s="85"/>
      <c r="I4" s="86"/>
      <c r="J4" s="85"/>
      <c r="K4" s="86"/>
      <c r="L4" s="85"/>
      <c r="M4" s="86"/>
      <c r="N4" s="85"/>
      <c r="O4" s="85"/>
      <c r="P4" s="86"/>
      <c r="Q4" s="85"/>
      <c r="R4" s="85"/>
      <c r="S4" s="86"/>
      <c r="T4" s="86"/>
      <c r="U4" s="86"/>
      <c r="V4" s="86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03">
        <f t="shared" ref="AG4:AG40" si="0">SUM(B4:AF4)</f>
        <v>0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103">
        <f t="shared" si="0"/>
        <v>0</v>
      </c>
      <c r="AH9" s="48"/>
      <c r="AI9" s="48"/>
    </row>
    <row r="10" spans="1:35" s="44" customFormat="1" ht="18.75" customHeight="1" x14ac:dyDescent="0.35">
      <c r="A10" s="60" t="s">
        <v>66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103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103">
        <f t="shared" si="0"/>
        <v>0</v>
      </c>
      <c r="AH11" s="48"/>
      <c r="AI11" s="48"/>
    </row>
    <row r="12" spans="1:35" s="44" customFormat="1" ht="33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103">
        <f t="shared" si="0"/>
        <v>0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8"/>
      <c r="Z23" s="88"/>
      <c r="AA23" s="88"/>
      <c r="AB23" s="88"/>
      <c r="AC23" s="88"/>
      <c r="AD23" s="88"/>
      <c r="AE23" s="88"/>
      <c r="AF23" s="88"/>
      <c r="AG23" s="103">
        <f t="shared" si="0"/>
        <v>0</v>
      </c>
      <c r="AH23" s="48"/>
      <c r="AI23" s="48"/>
    </row>
    <row r="24" spans="1:35" s="44" customFormat="1" ht="18.75" customHeight="1" x14ac:dyDescent="0.35">
      <c r="A24" s="60" t="s">
        <v>72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103">
        <f t="shared" si="0"/>
        <v>0</v>
      </c>
      <c r="AH24" s="48"/>
      <c r="AI24" s="48"/>
    </row>
    <row r="25" spans="1:35" s="44" customFormat="1" ht="18.75" customHeight="1" x14ac:dyDescent="0.35">
      <c r="A25" s="60" t="s">
        <v>85</v>
      </c>
      <c r="B25" s="87">
        <v>13</v>
      </c>
      <c r="C25" s="87">
        <v>6</v>
      </c>
      <c r="D25" s="87"/>
      <c r="E25" s="87">
        <v>3</v>
      </c>
      <c r="F25" s="87">
        <v>7</v>
      </c>
      <c r="G25" s="87">
        <v>3</v>
      </c>
      <c r="H25" s="87"/>
      <c r="I25" s="87">
        <v>7</v>
      </c>
      <c r="J25" s="87"/>
      <c r="K25" s="87"/>
      <c r="L25" s="87"/>
      <c r="M25" s="87">
        <v>6</v>
      </c>
      <c r="N25" s="87">
        <v>11</v>
      </c>
      <c r="O25" s="87">
        <v>1</v>
      </c>
      <c r="P25" s="87">
        <v>20</v>
      </c>
      <c r="Q25" s="87">
        <v>12</v>
      </c>
      <c r="R25" s="87"/>
      <c r="S25" s="87">
        <v>7</v>
      </c>
      <c r="T25" s="87">
        <v>10</v>
      </c>
      <c r="U25" s="87">
        <v>8</v>
      </c>
      <c r="V25" s="87">
        <v>19</v>
      </c>
      <c r="W25" s="87">
        <v>1</v>
      </c>
      <c r="X25" s="87"/>
      <c r="Y25" s="87">
        <v>18</v>
      </c>
      <c r="Z25" s="87"/>
      <c r="AA25" s="87">
        <v>22</v>
      </c>
      <c r="AB25" s="87">
        <v>2</v>
      </c>
      <c r="AC25" s="87">
        <v>20</v>
      </c>
      <c r="AD25" s="87">
        <v>15</v>
      </c>
      <c r="AE25" s="87"/>
      <c r="AF25" s="87"/>
      <c r="AG25" s="103">
        <f t="shared" si="0"/>
        <v>211</v>
      </c>
      <c r="AH25" s="48"/>
      <c r="AI25" s="48"/>
    </row>
    <row r="26" spans="1:35" s="44" customFormat="1" ht="18.75" customHeight="1" x14ac:dyDescent="0.35">
      <c r="A26" s="60" t="s">
        <v>153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103">
        <f t="shared" si="0"/>
        <v>0</v>
      </c>
      <c r="AH26" s="48"/>
      <c r="AI26" s="48"/>
    </row>
    <row r="27" spans="1:35" s="44" customFormat="1" ht="18.75" customHeight="1" x14ac:dyDescent="0.35">
      <c r="A27" s="60" t="s">
        <v>73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103">
        <f t="shared" si="0"/>
        <v>0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103">
        <f t="shared" si="0"/>
        <v>0</v>
      </c>
      <c r="AH28" s="48"/>
      <c r="AI28" s="48"/>
    </row>
    <row r="29" spans="1:35" s="44" customFormat="1" ht="18.75" customHeight="1" x14ac:dyDescent="0.35">
      <c r="A29" s="60" t="s">
        <v>89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103">
        <f t="shared" si="0"/>
        <v>0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103">
        <f t="shared" si="0"/>
        <v>0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103">
        <f t="shared" si="0"/>
        <v>0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103">
        <f t="shared" si="0"/>
        <v>0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88"/>
      <c r="C38" s="88"/>
      <c r="D38" s="88"/>
      <c r="E38" s="88"/>
      <c r="F38" s="88"/>
      <c r="G38" s="88"/>
      <c r="H38" s="88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103">
        <f t="shared" si="0"/>
        <v>0</v>
      </c>
      <c r="AH38" s="48"/>
      <c r="AI38" s="48"/>
    </row>
    <row r="39" spans="1:35" s="44" customFormat="1" ht="18.75" customHeight="1" x14ac:dyDescent="0.35">
      <c r="A39" s="60" t="s">
        <v>86</v>
      </c>
      <c r="B39" s="88">
        <v>68.900000000000006</v>
      </c>
      <c r="C39" s="88">
        <v>70.8</v>
      </c>
      <c r="D39" s="88">
        <v>76.400000000000006</v>
      </c>
      <c r="E39" s="88">
        <v>73.2</v>
      </c>
      <c r="F39" s="88">
        <v>56.9</v>
      </c>
      <c r="G39" s="88">
        <v>74.2</v>
      </c>
      <c r="H39" s="88">
        <v>62.1</v>
      </c>
      <c r="I39" s="88">
        <v>86</v>
      </c>
      <c r="J39" s="88">
        <v>73.099999999999994</v>
      </c>
      <c r="K39" s="88">
        <v>48.9</v>
      </c>
      <c r="L39" s="88">
        <v>74.2</v>
      </c>
      <c r="M39" s="88">
        <v>71.5</v>
      </c>
      <c r="N39" s="88">
        <v>49</v>
      </c>
      <c r="O39" s="88">
        <v>79.900000000000006</v>
      </c>
      <c r="P39" s="88">
        <v>87.3</v>
      </c>
      <c r="Q39" s="88">
        <v>77.3</v>
      </c>
      <c r="R39" s="88">
        <f>37.6+36.4</f>
        <v>74</v>
      </c>
      <c r="S39" s="88">
        <v>40.6</v>
      </c>
      <c r="T39" s="88">
        <v>76.5</v>
      </c>
      <c r="U39" s="88">
        <v>40.5</v>
      </c>
      <c r="V39" s="88">
        <v>40.1</v>
      </c>
      <c r="W39" s="88">
        <v>97</v>
      </c>
      <c r="X39" s="88">
        <v>38.5</v>
      </c>
      <c r="Y39" s="88">
        <v>38.4</v>
      </c>
      <c r="Z39" s="88">
        <v>85.4</v>
      </c>
      <c r="AA39" s="88">
        <v>75.599999999999994</v>
      </c>
      <c r="AB39" s="88">
        <v>88.8</v>
      </c>
      <c r="AC39" s="88">
        <v>38.9</v>
      </c>
      <c r="AD39" s="88">
        <v>54.6</v>
      </c>
      <c r="AE39" s="88">
        <v>59.3</v>
      </c>
      <c r="AF39" s="88"/>
      <c r="AG39" s="103">
        <f t="shared" si="0"/>
        <v>1977.8999999999999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0</v>
      </c>
      <c r="AH40" s="48"/>
      <c r="AI40" s="48"/>
    </row>
    <row r="41" spans="1:35" s="44" customFormat="1" ht="18.75" customHeight="1" x14ac:dyDescent="0.35">
      <c r="A41" s="59" t="s">
        <v>155</v>
      </c>
      <c r="B41" s="87">
        <f>SUM(B3:B40)</f>
        <v>81.900000000000006</v>
      </c>
      <c r="C41" s="87">
        <f t="shared" ref="C41:AF41" si="1">SUM(C3:C40)</f>
        <v>76.8</v>
      </c>
      <c r="D41" s="87">
        <f t="shared" si="1"/>
        <v>76.400000000000006</v>
      </c>
      <c r="E41" s="87">
        <f t="shared" si="1"/>
        <v>76.2</v>
      </c>
      <c r="F41" s="87">
        <f t="shared" si="1"/>
        <v>63.9</v>
      </c>
      <c r="G41" s="87">
        <f t="shared" si="1"/>
        <v>77.2</v>
      </c>
      <c r="H41" s="87">
        <f t="shared" si="1"/>
        <v>62.1</v>
      </c>
      <c r="I41" s="87">
        <f t="shared" si="1"/>
        <v>93</v>
      </c>
      <c r="J41" s="87">
        <f t="shared" si="1"/>
        <v>73.099999999999994</v>
      </c>
      <c r="K41" s="87">
        <f t="shared" si="1"/>
        <v>48.9</v>
      </c>
      <c r="L41" s="87">
        <f t="shared" si="1"/>
        <v>74.2</v>
      </c>
      <c r="M41" s="87">
        <f t="shared" si="1"/>
        <v>77.5</v>
      </c>
      <c r="N41" s="87">
        <f t="shared" si="1"/>
        <v>60</v>
      </c>
      <c r="O41" s="87">
        <f t="shared" si="1"/>
        <v>80.900000000000006</v>
      </c>
      <c r="P41" s="87">
        <f t="shared" si="1"/>
        <v>107.3</v>
      </c>
      <c r="Q41" s="87">
        <f t="shared" si="1"/>
        <v>89.3</v>
      </c>
      <c r="R41" s="87">
        <f t="shared" si="1"/>
        <v>74</v>
      </c>
      <c r="S41" s="87">
        <f t="shared" si="1"/>
        <v>47.6</v>
      </c>
      <c r="T41" s="87">
        <f t="shared" si="1"/>
        <v>86.5</v>
      </c>
      <c r="U41" s="87">
        <f t="shared" si="1"/>
        <v>48.5</v>
      </c>
      <c r="V41" s="87">
        <f t="shared" si="1"/>
        <v>59.1</v>
      </c>
      <c r="W41" s="87">
        <f t="shared" si="1"/>
        <v>98</v>
      </c>
      <c r="X41" s="87">
        <f t="shared" si="1"/>
        <v>38.5</v>
      </c>
      <c r="Y41" s="87">
        <f t="shared" si="1"/>
        <v>56.4</v>
      </c>
      <c r="Z41" s="87">
        <f t="shared" si="1"/>
        <v>85.4</v>
      </c>
      <c r="AA41" s="87">
        <f t="shared" si="1"/>
        <v>97.6</v>
      </c>
      <c r="AB41" s="87">
        <f t="shared" si="1"/>
        <v>90.8</v>
      </c>
      <c r="AC41" s="87">
        <f t="shared" si="1"/>
        <v>58.9</v>
      </c>
      <c r="AD41" s="87">
        <f t="shared" si="1"/>
        <v>69.599999999999994</v>
      </c>
      <c r="AE41" s="87">
        <f t="shared" si="1"/>
        <v>59.3</v>
      </c>
      <c r="AF41" s="87">
        <f t="shared" si="1"/>
        <v>0</v>
      </c>
      <c r="AG41" s="105">
        <f>SUM(B41:AF41)</f>
        <v>2188.9</v>
      </c>
      <c r="AH41" s="57"/>
      <c r="AI41" s="57"/>
    </row>
    <row r="42" spans="1:35" s="2" customFormat="1" x14ac:dyDescent="0.25">
      <c r="AG42" s="24">
        <f>SUM(AG3:AG40)</f>
        <v>2188.8999999999996</v>
      </c>
    </row>
    <row r="43" spans="1:35" s="2" customFormat="1" x14ac:dyDescent="0.25"/>
    <row r="44" spans="1:35" s="2" customFormat="1" x14ac:dyDescent="0.25"/>
  </sheetData>
  <mergeCells count="1">
    <mergeCell ref="A1:AG1"/>
  </mergeCells>
  <pageMargins left="0.7" right="0.7" top="0.75" bottom="0.75" header="0.3" footer="0.3"/>
  <pageSetup paperSize="9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4"/>
  <sheetViews>
    <sheetView workbookViewId="0">
      <selection sqref="A1:AG1"/>
    </sheetView>
  </sheetViews>
  <sheetFormatPr baseColWidth="10" defaultRowHeight="15" x14ac:dyDescent="0.25"/>
  <cols>
    <col min="1" max="1" width="52.42578125" customWidth="1"/>
    <col min="2" max="32" width="7.140625" customWidth="1"/>
  </cols>
  <sheetData>
    <row r="1" spans="1:35" s="44" customFormat="1" ht="21" x14ac:dyDescent="0.35">
      <c r="A1" s="217" t="s">
        <v>185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/>
      <c r="C4" s="85"/>
      <c r="D4" s="85"/>
      <c r="E4" s="85"/>
      <c r="F4" s="85"/>
      <c r="G4" s="85"/>
      <c r="H4" s="85"/>
      <c r="I4" s="86"/>
      <c r="J4" s="85"/>
      <c r="K4" s="86"/>
      <c r="L4" s="85"/>
      <c r="M4" s="86"/>
      <c r="N4" s="85"/>
      <c r="O4" s="85"/>
      <c r="P4" s="86"/>
      <c r="Q4" s="85"/>
      <c r="R4" s="85"/>
      <c r="S4" s="86"/>
      <c r="T4" s="86"/>
      <c r="U4" s="86"/>
      <c r="V4" s="86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03">
        <f t="shared" ref="AG4:AG41" si="0">SUM(B4:AF4)</f>
        <v>0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87"/>
      <c r="C9" s="87"/>
      <c r="D9" s="87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103">
        <f t="shared" si="0"/>
        <v>0</v>
      </c>
      <c r="AH9" s="48"/>
      <c r="AI9" s="48"/>
    </row>
    <row r="10" spans="1:35" s="44" customFormat="1" ht="18.75" customHeight="1" x14ac:dyDescent="0.35">
      <c r="A10" s="60" t="s">
        <v>66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103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103">
        <f t="shared" si="0"/>
        <v>0</v>
      </c>
      <c r="AH11" s="48"/>
      <c r="AI11" s="48"/>
    </row>
    <row r="12" spans="1:35" s="44" customFormat="1" ht="33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103">
        <f t="shared" si="0"/>
        <v>0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8"/>
      <c r="Z23" s="88"/>
      <c r="AA23" s="88"/>
      <c r="AB23" s="88"/>
      <c r="AC23" s="88"/>
      <c r="AD23" s="88"/>
      <c r="AE23" s="88"/>
      <c r="AF23" s="88"/>
      <c r="AG23" s="103">
        <f t="shared" si="0"/>
        <v>0</v>
      </c>
      <c r="AH23" s="48"/>
      <c r="AI23" s="48"/>
    </row>
    <row r="24" spans="1:35" s="44" customFormat="1" ht="18.75" customHeight="1" x14ac:dyDescent="0.35">
      <c r="A24" s="60" t="s">
        <v>72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103">
        <f t="shared" si="0"/>
        <v>0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>
        <v>5</v>
      </c>
      <c r="D25" s="87">
        <v>11</v>
      </c>
      <c r="E25" s="87">
        <v>3</v>
      </c>
      <c r="F25" s="87">
        <v>1</v>
      </c>
      <c r="G25" s="87">
        <v>2</v>
      </c>
      <c r="H25" s="87">
        <v>6</v>
      </c>
      <c r="I25" s="87"/>
      <c r="J25" s="87">
        <v>1</v>
      </c>
      <c r="K25" s="87">
        <v>1</v>
      </c>
      <c r="L25" s="87">
        <v>2</v>
      </c>
      <c r="M25" s="87">
        <v>12</v>
      </c>
      <c r="N25" s="87">
        <v>22</v>
      </c>
      <c r="O25" s="87">
        <v>15</v>
      </c>
      <c r="P25" s="87"/>
      <c r="Q25" s="87">
        <v>13</v>
      </c>
      <c r="R25" s="87">
        <v>10</v>
      </c>
      <c r="S25" s="87">
        <v>6</v>
      </c>
      <c r="T25" s="87">
        <v>4</v>
      </c>
      <c r="U25" s="87">
        <v>1</v>
      </c>
      <c r="V25" s="87">
        <v>17</v>
      </c>
      <c r="W25" s="87"/>
      <c r="X25" s="87">
        <v>1</v>
      </c>
      <c r="Y25" s="87">
        <v>13</v>
      </c>
      <c r="Z25" s="87">
        <v>15</v>
      </c>
      <c r="AA25" s="87">
        <v>1</v>
      </c>
      <c r="AB25" s="87">
        <v>22</v>
      </c>
      <c r="AC25" s="87"/>
      <c r="AD25" s="87">
        <v>10</v>
      </c>
      <c r="AE25" s="87"/>
      <c r="AF25" s="87"/>
      <c r="AG25" s="103">
        <f t="shared" si="0"/>
        <v>194</v>
      </c>
      <c r="AH25" s="48"/>
      <c r="AI25" s="48"/>
    </row>
    <row r="26" spans="1:35" s="44" customFormat="1" ht="18.75" customHeight="1" x14ac:dyDescent="0.35">
      <c r="A26" s="60" t="s">
        <v>153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103">
        <f t="shared" si="0"/>
        <v>0</v>
      </c>
      <c r="AH26" s="48"/>
      <c r="AI26" s="48"/>
    </row>
    <row r="27" spans="1:35" s="44" customFormat="1" ht="18.75" customHeight="1" x14ac:dyDescent="0.35">
      <c r="A27" s="60" t="s">
        <v>73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103">
        <f t="shared" si="0"/>
        <v>0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103">
        <f t="shared" si="0"/>
        <v>0</v>
      </c>
      <c r="AH28" s="48"/>
      <c r="AI28" s="48"/>
    </row>
    <row r="29" spans="1:35" s="44" customFormat="1" ht="18.75" customHeight="1" x14ac:dyDescent="0.35">
      <c r="A29" s="60" t="s">
        <v>89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103">
        <f t="shared" si="0"/>
        <v>0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103">
        <f t="shared" si="0"/>
        <v>0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103">
        <f t="shared" si="0"/>
        <v>0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/>
      <c r="C36" s="88"/>
      <c r="D36" s="88"/>
      <c r="E36" s="88"/>
      <c r="F36" s="88"/>
      <c r="G36" s="88"/>
      <c r="H36" s="88"/>
      <c r="I36" s="88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103">
        <f t="shared" si="0"/>
        <v>0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106"/>
      <c r="C38" s="106"/>
      <c r="D38" s="88"/>
      <c r="E38" s="88"/>
      <c r="F38" s="88"/>
      <c r="G38" s="106"/>
      <c r="H38" s="88"/>
      <c r="I38" s="106"/>
      <c r="J38" s="88"/>
      <c r="K38" s="106"/>
      <c r="L38" s="88"/>
      <c r="M38" s="88"/>
      <c r="N38" s="88"/>
      <c r="O38" s="88"/>
      <c r="P38" s="106"/>
      <c r="Q38" s="106"/>
      <c r="R38" s="88"/>
      <c r="S38" s="88"/>
      <c r="T38" s="88"/>
      <c r="U38" s="106"/>
      <c r="V38" s="106"/>
      <c r="W38" s="106"/>
      <c r="X38" s="106"/>
      <c r="Y38" s="88"/>
      <c r="Z38" s="106"/>
      <c r="AA38" s="106"/>
      <c r="AB38" s="106"/>
      <c r="AC38" s="106"/>
      <c r="AD38" s="106"/>
      <c r="AE38" s="106"/>
      <c r="AF38" s="88"/>
      <c r="AG38" s="103">
        <f t="shared" si="0"/>
        <v>0</v>
      </c>
      <c r="AH38" s="48"/>
      <c r="AI38" s="48"/>
    </row>
    <row r="39" spans="1:35" s="44" customFormat="1" ht="18.75" customHeight="1" x14ac:dyDescent="0.35">
      <c r="A39" s="60" t="s">
        <v>86</v>
      </c>
      <c r="B39" s="88">
        <f>82.1-25</f>
        <v>57.099999999999994</v>
      </c>
      <c r="C39" s="88">
        <f>80.5-25</f>
        <v>55.5</v>
      </c>
      <c r="D39" s="88">
        <f>79.3-25</f>
        <v>54.3</v>
      </c>
      <c r="E39" s="88">
        <f>73.8-25</f>
        <v>48.8</v>
      </c>
      <c r="F39" s="88">
        <f>69.2-25</f>
        <v>44.2</v>
      </c>
      <c r="G39" s="88">
        <f>80.3-25</f>
        <v>55.3</v>
      </c>
      <c r="H39" s="88">
        <f>63.1-25</f>
        <v>38.1</v>
      </c>
      <c r="I39" s="88">
        <f>98.1-25</f>
        <v>73.099999999999994</v>
      </c>
      <c r="J39" s="88">
        <f>80.2-25</f>
        <v>55.2</v>
      </c>
      <c r="K39" s="88">
        <f>87.8-25</f>
        <v>62.8</v>
      </c>
      <c r="L39" s="88">
        <f>75.3-25</f>
        <v>50.3</v>
      </c>
      <c r="M39" s="88">
        <f>83.2-25</f>
        <v>58.2</v>
      </c>
      <c r="N39" s="88">
        <f>79.2-25</f>
        <v>54.2</v>
      </c>
      <c r="O39" s="88">
        <f>80.6-25</f>
        <v>55.599999999999994</v>
      </c>
      <c r="P39" s="88">
        <f>82.6-25</f>
        <v>57.599999999999994</v>
      </c>
      <c r="Q39" s="88">
        <f>87.8-25</f>
        <v>62.8</v>
      </c>
      <c r="R39" s="88">
        <f>81.3-25</f>
        <v>56.3</v>
      </c>
      <c r="S39" s="88">
        <f>101-25</f>
        <v>76</v>
      </c>
      <c r="T39" s="88">
        <f>79.5-25</f>
        <v>54.5</v>
      </c>
      <c r="U39" s="88">
        <f>93.1-25</f>
        <v>68.099999999999994</v>
      </c>
      <c r="V39" s="88">
        <f>73.2-25</f>
        <v>48.2</v>
      </c>
      <c r="W39" s="88">
        <f>90.6-25</f>
        <v>65.599999999999994</v>
      </c>
      <c r="X39" s="88">
        <f>71.6-25</f>
        <v>46.599999999999994</v>
      </c>
      <c r="Y39" s="88">
        <f>88.7-25</f>
        <v>63.7</v>
      </c>
      <c r="Z39" s="88">
        <f>76.3-25</f>
        <v>51.3</v>
      </c>
      <c r="AA39" s="88">
        <f>101-25</f>
        <v>76</v>
      </c>
      <c r="AB39" s="88">
        <f>65.3-25</f>
        <v>40.299999999999997</v>
      </c>
      <c r="AC39" s="88">
        <f>93.5-25</f>
        <v>68.5</v>
      </c>
      <c r="AD39" s="88">
        <f>83-25</f>
        <v>58</v>
      </c>
      <c r="AE39" s="88">
        <f>87.1-25</f>
        <v>62.099999999999994</v>
      </c>
      <c r="AF39" s="88"/>
      <c r="AG39" s="103">
        <f t="shared" si="0"/>
        <v>1718.2999999999997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0</v>
      </c>
      <c r="AH40" s="48"/>
      <c r="AI40" s="48"/>
    </row>
    <row r="41" spans="1:35" s="44" customFormat="1" ht="18.75" customHeight="1" x14ac:dyDescent="0.35">
      <c r="A41" s="60" t="s">
        <v>178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103">
        <f t="shared" si="0"/>
        <v>0</v>
      </c>
      <c r="AH41" s="57"/>
      <c r="AI41" s="57"/>
    </row>
    <row r="42" spans="1:35" s="2" customFormat="1" ht="19.5" x14ac:dyDescent="0.35">
      <c r="A42" s="59" t="s">
        <v>155</v>
      </c>
      <c r="B42" s="87">
        <f>SUM(B4:B41)</f>
        <v>57.099999999999994</v>
      </c>
      <c r="C42" s="87">
        <f t="shared" ref="C42:AF42" si="1">SUM(C4:C41)</f>
        <v>60.5</v>
      </c>
      <c r="D42" s="87">
        <f t="shared" si="1"/>
        <v>65.3</v>
      </c>
      <c r="E42" s="87">
        <f t="shared" si="1"/>
        <v>51.8</v>
      </c>
      <c r="F42" s="87">
        <f t="shared" si="1"/>
        <v>45.2</v>
      </c>
      <c r="G42" s="87">
        <f t="shared" si="1"/>
        <v>57.3</v>
      </c>
      <c r="H42" s="87">
        <f t="shared" si="1"/>
        <v>44.1</v>
      </c>
      <c r="I42" s="87">
        <f t="shared" si="1"/>
        <v>73.099999999999994</v>
      </c>
      <c r="J42" s="87">
        <f t="shared" si="1"/>
        <v>56.2</v>
      </c>
      <c r="K42" s="87">
        <f t="shared" si="1"/>
        <v>63.8</v>
      </c>
      <c r="L42" s="87">
        <f t="shared" si="1"/>
        <v>52.3</v>
      </c>
      <c r="M42" s="87">
        <f t="shared" si="1"/>
        <v>70.2</v>
      </c>
      <c r="N42" s="87">
        <f t="shared" si="1"/>
        <v>76.2</v>
      </c>
      <c r="O42" s="87">
        <f t="shared" si="1"/>
        <v>70.599999999999994</v>
      </c>
      <c r="P42" s="87">
        <f t="shared" si="1"/>
        <v>57.599999999999994</v>
      </c>
      <c r="Q42" s="87">
        <f t="shared" si="1"/>
        <v>75.8</v>
      </c>
      <c r="R42" s="87">
        <f t="shared" si="1"/>
        <v>66.3</v>
      </c>
      <c r="S42" s="87">
        <f t="shared" si="1"/>
        <v>82</v>
      </c>
      <c r="T42" s="87">
        <f t="shared" si="1"/>
        <v>58.5</v>
      </c>
      <c r="U42" s="87">
        <f t="shared" si="1"/>
        <v>69.099999999999994</v>
      </c>
      <c r="V42" s="87">
        <f t="shared" si="1"/>
        <v>65.2</v>
      </c>
      <c r="W42" s="87">
        <f t="shared" si="1"/>
        <v>65.599999999999994</v>
      </c>
      <c r="X42" s="87">
        <f t="shared" si="1"/>
        <v>47.599999999999994</v>
      </c>
      <c r="Y42" s="87">
        <f t="shared" si="1"/>
        <v>76.7</v>
      </c>
      <c r="Z42" s="87">
        <f t="shared" si="1"/>
        <v>66.3</v>
      </c>
      <c r="AA42" s="87">
        <f t="shared" si="1"/>
        <v>77</v>
      </c>
      <c r="AB42" s="87">
        <f t="shared" si="1"/>
        <v>62.3</v>
      </c>
      <c r="AC42" s="87">
        <f t="shared" si="1"/>
        <v>68.5</v>
      </c>
      <c r="AD42" s="87">
        <f t="shared" si="1"/>
        <v>68</v>
      </c>
      <c r="AE42" s="87">
        <f t="shared" si="1"/>
        <v>62.099999999999994</v>
      </c>
      <c r="AF42" s="87">
        <f t="shared" si="1"/>
        <v>0</v>
      </c>
      <c r="AG42" s="105">
        <f>SUM(B42:AF42)</f>
        <v>1912.2999999999997</v>
      </c>
    </row>
    <row r="43" spans="1:35" s="2" customFormat="1" x14ac:dyDescent="0.25">
      <c r="AG43" s="24">
        <f>SUM(AG4:AG41)</f>
        <v>1912.2999999999997</v>
      </c>
    </row>
    <row r="44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RowHeight="15" x14ac:dyDescent="0.25"/>
  <cols>
    <col min="1" max="1" width="44" customWidth="1"/>
    <col min="2" max="25" width="6.42578125" customWidth="1"/>
    <col min="26" max="32" width="8" customWidth="1"/>
  </cols>
  <sheetData>
    <row r="1" spans="1:35" s="44" customFormat="1" ht="21" x14ac:dyDescent="0.35">
      <c r="A1" s="217" t="s">
        <v>209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>
        <v>1.2</v>
      </c>
      <c r="C3" s="50">
        <v>3</v>
      </c>
      <c r="D3" s="49">
        <v>2.9</v>
      </c>
      <c r="E3" s="49">
        <v>3.1</v>
      </c>
      <c r="F3" s="49">
        <v>1.9</v>
      </c>
      <c r="G3" s="49">
        <v>3.1</v>
      </c>
      <c r="H3" s="49">
        <v>1.8</v>
      </c>
      <c r="I3" s="50">
        <v>2.2999999999999998</v>
      </c>
      <c r="J3" s="49">
        <v>3.2</v>
      </c>
      <c r="K3" s="50">
        <v>1.9</v>
      </c>
      <c r="L3" s="50">
        <v>3</v>
      </c>
      <c r="M3" s="50">
        <v>1.8</v>
      </c>
      <c r="N3" s="49">
        <v>1.4</v>
      </c>
      <c r="O3" s="49">
        <v>2.8</v>
      </c>
      <c r="P3" s="50">
        <v>3.2</v>
      </c>
      <c r="Q3" s="49">
        <v>2.8</v>
      </c>
      <c r="R3" s="50">
        <v>3</v>
      </c>
      <c r="S3" s="50">
        <v>1.8</v>
      </c>
      <c r="T3" s="50">
        <v>1.9</v>
      </c>
      <c r="U3" s="50">
        <v>3.1</v>
      </c>
      <c r="V3" s="50">
        <v>3</v>
      </c>
      <c r="W3" s="49">
        <v>2.9</v>
      </c>
      <c r="X3" s="50">
        <v>1.8</v>
      </c>
      <c r="Y3" s="50">
        <v>2.9</v>
      </c>
      <c r="Z3" s="50">
        <v>1.9</v>
      </c>
      <c r="AA3" s="50">
        <v>3</v>
      </c>
      <c r="AB3" s="50">
        <v>2.5</v>
      </c>
      <c r="AC3" s="50">
        <v>2</v>
      </c>
      <c r="AD3" s="50">
        <v>3</v>
      </c>
      <c r="AE3" s="50">
        <v>1.8</v>
      </c>
      <c r="AF3" s="49"/>
      <c r="AG3" s="46">
        <f>SUM(B3:AF3)</f>
        <v>73.999999999999986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0"/>
      <c r="Y4" s="50"/>
      <c r="Z4" s="50"/>
      <c r="AA4" s="50"/>
      <c r="AB4" s="50"/>
      <c r="AC4" s="50"/>
      <c r="AD4" s="50"/>
      <c r="AE4" s="50"/>
      <c r="AF4" s="51"/>
      <c r="AG4" s="46">
        <f t="shared" ref="AG4:AG33" si="0">SUM(B4:AF4)</f>
        <v>0</v>
      </c>
      <c r="AH4" s="48"/>
      <c r="AI4" s="48"/>
    </row>
    <row r="5" spans="1:35" s="44" customFormat="1" ht="35.25" customHeight="1" x14ac:dyDescent="0.35">
      <c r="A5" s="60" t="s">
        <v>193</v>
      </c>
      <c r="B5" s="49">
        <v>0.7</v>
      </c>
      <c r="C5" s="49">
        <v>0.6</v>
      </c>
      <c r="D5" s="49">
        <v>0.4</v>
      </c>
      <c r="E5" s="49">
        <v>0.7</v>
      </c>
      <c r="F5" s="49">
        <v>0.5</v>
      </c>
      <c r="G5" s="49">
        <v>0</v>
      </c>
      <c r="H5" s="49">
        <v>0.6</v>
      </c>
      <c r="I5" s="50">
        <v>0.4</v>
      </c>
      <c r="J5" s="49">
        <v>0.5</v>
      </c>
      <c r="K5" s="50">
        <v>1.3</v>
      </c>
      <c r="L5" s="49">
        <v>1.1000000000000001</v>
      </c>
      <c r="M5" s="50">
        <v>2.1</v>
      </c>
      <c r="N5" s="49">
        <v>3.2</v>
      </c>
      <c r="O5" s="49">
        <v>4.0999999999999996</v>
      </c>
      <c r="P5" s="50">
        <v>3.3</v>
      </c>
      <c r="Q5" s="49">
        <v>1.1000000000000001</v>
      </c>
      <c r="R5" s="49">
        <v>0.3</v>
      </c>
      <c r="S5" s="50">
        <v>0.4</v>
      </c>
      <c r="T5" s="50">
        <v>5.0999999999999996</v>
      </c>
      <c r="U5" s="50">
        <v>0.7</v>
      </c>
      <c r="V5" s="50">
        <v>0.5</v>
      </c>
      <c r="W5" s="49">
        <v>0.4</v>
      </c>
      <c r="X5" s="50">
        <v>0.6</v>
      </c>
      <c r="Y5" s="50">
        <v>0.4</v>
      </c>
      <c r="Z5" s="50">
        <v>0.7</v>
      </c>
      <c r="AA5" s="50">
        <v>0.5</v>
      </c>
      <c r="AB5" s="50">
        <v>0.6</v>
      </c>
      <c r="AC5" s="50">
        <v>0.5</v>
      </c>
      <c r="AD5" s="50">
        <v>0.3</v>
      </c>
      <c r="AE5" s="50">
        <v>0.7</v>
      </c>
      <c r="AF5" s="70"/>
      <c r="AG5" s="46">
        <f t="shared" ref="AG5" si="1">SUM(B5:AF5)</f>
        <v>32.299999999999997</v>
      </c>
      <c r="AH5" s="48"/>
      <c r="AI5" s="48"/>
    </row>
    <row r="6" spans="1:35" s="44" customFormat="1" ht="18.75" customHeight="1" x14ac:dyDescent="0.35">
      <c r="A6" s="60" t="s">
        <v>83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0"/>
      <c r="Y6" s="50"/>
      <c r="Z6" s="50"/>
      <c r="AA6" s="50"/>
      <c r="AB6" s="50"/>
      <c r="AC6" s="50"/>
      <c r="AD6" s="50"/>
      <c r="AE6" s="50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0"/>
      <c r="Y7" s="50"/>
      <c r="Z7" s="50"/>
      <c r="AA7" s="50"/>
      <c r="AB7" s="50"/>
      <c r="AC7" s="50"/>
      <c r="AD7" s="50"/>
      <c r="AE7" s="50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0"/>
      <c r="Y8" s="50"/>
      <c r="Z8" s="50"/>
      <c r="AA8" s="50"/>
      <c r="AB8" s="50"/>
      <c r="AC8" s="50"/>
      <c r="AD8" s="50"/>
      <c r="AE8" s="50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51">
        <v>0</v>
      </c>
      <c r="C9" s="51">
        <v>0.9</v>
      </c>
      <c r="D9" s="51">
        <v>0.3</v>
      </c>
      <c r="E9" s="51">
        <v>0</v>
      </c>
      <c r="F9" s="51">
        <v>1.2</v>
      </c>
      <c r="G9" s="51">
        <v>0.9</v>
      </c>
      <c r="H9" s="51">
        <v>0</v>
      </c>
      <c r="I9" s="51">
        <v>0</v>
      </c>
      <c r="J9" s="51">
        <v>0</v>
      </c>
      <c r="K9" s="51">
        <v>0</v>
      </c>
      <c r="L9" s="51">
        <v>4</v>
      </c>
      <c r="M9" s="51">
        <v>2.5</v>
      </c>
      <c r="N9" s="51">
        <v>1.2</v>
      </c>
      <c r="O9" s="51">
        <v>0.9</v>
      </c>
      <c r="P9" s="51">
        <v>0</v>
      </c>
      <c r="Q9" s="51">
        <v>1</v>
      </c>
      <c r="R9" s="51">
        <v>1.5</v>
      </c>
      <c r="S9" s="51">
        <v>0</v>
      </c>
      <c r="T9" s="51">
        <v>3</v>
      </c>
      <c r="U9" s="51">
        <v>0</v>
      </c>
      <c r="V9" s="51">
        <v>3.1</v>
      </c>
      <c r="W9" s="51">
        <v>0</v>
      </c>
      <c r="X9" s="50">
        <v>2.1</v>
      </c>
      <c r="Y9" s="50">
        <v>0</v>
      </c>
      <c r="Z9" s="50">
        <v>0</v>
      </c>
      <c r="AA9" s="50">
        <v>0</v>
      </c>
      <c r="AB9" s="50">
        <v>4.3</v>
      </c>
      <c r="AC9" s="50">
        <v>2.9</v>
      </c>
      <c r="AD9" s="50">
        <v>0.8</v>
      </c>
      <c r="AE9" s="50">
        <v>0.9</v>
      </c>
      <c r="AF9" s="51"/>
      <c r="AG9" s="46">
        <f t="shared" si="0"/>
        <v>31.5</v>
      </c>
      <c r="AH9" s="48"/>
      <c r="AI9" s="48"/>
    </row>
    <row r="10" spans="1:35" s="44" customFormat="1" ht="18.75" customHeight="1" x14ac:dyDescent="0.35">
      <c r="A10" s="60" t="s">
        <v>66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114"/>
      <c r="Y10" s="114"/>
      <c r="Z10" s="114"/>
      <c r="AA10" s="114"/>
      <c r="AB10" s="114"/>
      <c r="AC10" s="114"/>
      <c r="AD10" s="114"/>
      <c r="AE10" s="114"/>
      <c r="AF10" s="52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0"/>
      <c r="Y11" s="50"/>
      <c r="Z11" s="50"/>
      <c r="AA11" s="50"/>
      <c r="AB11" s="50"/>
      <c r="AC11" s="50"/>
      <c r="AD11" s="50"/>
      <c r="AE11" s="50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152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0"/>
      <c r="Y12" s="50"/>
      <c r="Z12" s="50"/>
      <c r="AA12" s="50"/>
      <c r="AB12" s="50"/>
      <c r="AC12" s="50"/>
      <c r="AD12" s="50"/>
      <c r="AE12" s="50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91</v>
      </c>
      <c r="B13" s="51">
        <v>0.6</v>
      </c>
      <c r="C13" s="51">
        <v>2</v>
      </c>
      <c r="D13" s="51">
        <v>0.5</v>
      </c>
      <c r="E13" s="51">
        <v>0.7</v>
      </c>
      <c r="F13" s="51">
        <v>0.9</v>
      </c>
      <c r="G13" s="51">
        <v>1</v>
      </c>
      <c r="H13" s="51">
        <v>1.1000000000000001</v>
      </c>
      <c r="I13" s="51">
        <v>0.5</v>
      </c>
      <c r="J13" s="51">
        <v>0.3</v>
      </c>
      <c r="K13" s="51">
        <v>0.8</v>
      </c>
      <c r="L13" s="51">
        <v>1</v>
      </c>
      <c r="M13" s="51">
        <v>1.2</v>
      </c>
      <c r="N13" s="51">
        <v>0.4</v>
      </c>
      <c r="O13" s="51">
        <v>0.7</v>
      </c>
      <c r="P13" s="51">
        <v>0.6</v>
      </c>
      <c r="Q13" s="51">
        <v>1.1000000000000001</v>
      </c>
      <c r="R13" s="51">
        <v>1</v>
      </c>
      <c r="S13" s="51">
        <v>1.9</v>
      </c>
      <c r="T13" s="51">
        <v>1</v>
      </c>
      <c r="U13" s="51">
        <v>1.5</v>
      </c>
      <c r="V13" s="51">
        <v>0.6</v>
      </c>
      <c r="W13" s="51">
        <v>0.9</v>
      </c>
      <c r="X13" s="50">
        <v>0.8</v>
      </c>
      <c r="Y13" s="50">
        <v>1.9</v>
      </c>
      <c r="Z13" s="50">
        <v>1</v>
      </c>
      <c r="AA13" s="50">
        <v>0.8</v>
      </c>
      <c r="AB13" s="50">
        <v>1</v>
      </c>
      <c r="AC13" s="50">
        <v>2</v>
      </c>
      <c r="AD13" s="50">
        <v>1</v>
      </c>
      <c r="AE13" s="50">
        <v>1</v>
      </c>
      <c r="AF13" s="51"/>
      <c r="AG13" s="46">
        <f t="shared" si="0"/>
        <v>29.799999999999997</v>
      </c>
      <c r="AH13" s="48"/>
      <c r="AI13" s="48"/>
    </row>
    <row r="14" spans="1:35" s="44" customFormat="1" ht="18.75" customHeight="1" x14ac:dyDescent="0.35">
      <c r="A14" s="60" t="s">
        <v>69</v>
      </c>
      <c r="B14" s="55">
        <v>3.5</v>
      </c>
      <c r="C14" s="55">
        <v>2.9</v>
      </c>
      <c r="D14" s="55">
        <v>4.2</v>
      </c>
      <c r="E14" s="55">
        <v>3.5</v>
      </c>
      <c r="F14" s="55">
        <v>4.5</v>
      </c>
      <c r="G14" s="55">
        <v>3.8</v>
      </c>
      <c r="H14" s="55">
        <v>3.2</v>
      </c>
      <c r="I14" s="55">
        <v>4.9000000000000004</v>
      </c>
      <c r="J14" s="55">
        <v>4.8</v>
      </c>
      <c r="K14" s="55">
        <v>5</v>
      </c>
      <c r="L14" s="55">
        <v>3.7</v>
      </c>
      <c r="M14" s="55">
        <v>3.2</v>
      </c>
      <c r="N14" s="55">
        <v>4</v>
      </c>
      <c r="O14" s="55">
        <v>3.5</v>
      </c>
      <c r="P14" s="55">
        <v>3.9</v>
      </c>
      <c r="Q14" s="55">
        <v>3.8</v>
      </c>
      <c r="R14" s="55">
        <v>4.2</v>
      </c>
      <c r="S14" s="55">
        <v>3.9</v>
      </c>
      <c r="T14" s="55">
        <v>3.8</v>
      </c>
      <c r="U14" s="55">
        <v>3.5</v>
      </c>
      <c r="V14" s="55">
        <v>4</v>
      </c>
      <c r="W14" s="55">
        <v>4.0999999999999996</v>
      </c>
      <c r="X14" s="126">
        <v>3.3</v>
      </c>
      <c r="Y14" s="126">
        <v>3.8</v>
      </c>
      <c r="Z14" s="126">
        <v>3.7</v>
      </c>
      <c r="AA14" s="126">
        <v>3.5</v>
      </c>
      <c r="AB14" s="126">
        <v>3.2</v>
      </c>
      <c r="AC14" s="126">
        <v>4</v>
      </c>
      <c r="AD14" s="126">
        <v>4.2</v>
      </c>
      <c r="AE14" s="126">
        <v>3.9</v>
      </c>
      <c r="AF14" s="55"/>
      <c r="AG14" s="46">
        <f t="shared" si="0"/>
        <v>115.5</v>
      </c>
      <c r="AH14" s="48"/>
      <c r="AI14" s="48"/>
    </row>
    <row r="15" spans="1:35" s="44" customFormat="1" ht="18.75" customHeight="1" x14ac:dyDescent="0.35">
      <c r="A15" s="60" t="s">
        <v>71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0"/>
      <c r="Y15" s="114"/>
      <c r="Z15" s="114"/>
      <c r="AA15" s="114"/>
      <c r="AB15" s="114"/>
      <c r="AC15" s="114"/>
      <c r="AD15" s="114"/>
      <c r="AE15" s="114"/>
      <c r="AF15" s="52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72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0"/>
      <c r="Y16" s="50"/>
      <c r="Z16" s="50"/>
      <c r="AA16" s="50"/>
      <c r="AB16" s="50"/>
      <c r="AC16" s="50"/>
      <c r="AD16" s="50"/>
      <c r="AE16" s="50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85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194</v>
      </c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73</v>
      </c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92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89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74</v>
      </c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75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77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78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79</v>
      </c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154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80</v>
      </c>
      <c r="B28" s="114">
        <v>3.2</v>
      </c>
      <c r="C28" s="114">
        <v>3.2</v>
      </c>
      <c r="D28" s="114">
        <v>2</v>
      </c>
      <c r="E28" s="114">
        <v>2.1</v>
      </c>
      <c r="F28" s="114">
        <v>0</v>
      </c>
      <c r="G28" s="114">
        <v>2.2000000000000002</v>
      </c>
      <c r="H28" s="114">
        <v>2</v>
      </c>
      <c r="I28" s="114">
        <v>0</v>
      </c>
      <c r="J28" s="114">
        <v>0</v>
      </c>
      <c r="K28" s="114">
        <v>2.2000000000000002</v>
      </c>
      <c r="L28" s="114">
        <v>1</v>
      </c>
      <c r="M28" s="114">
        <v>1.5</v>
      </c>
      <c r="N28" s="114">
        <v>0</v>
      </c>
      <c r="O28" s="114">
        <v>0</v>
      </c>
      <c r="P28" s="114">
        <v>0</v>
      </c>
      <c r="Q28" s="114">
        <v>2.2999999999999998</v>
      </c>
      <c r="R28" s="114">
        <v>2.2000000000000002</v>
      </c>
      <c r="S28" s="114">
        <v>0</v>
      </c>
      <c r="T28" s="114">
        <v>0</v>
      </c>
      <c r="U28" s="114">
        <v>2.1</v>
      </c>
      <c r="V28" s="114">
        <v>0</v>
      </c>
      <c r="W28" s="114">
        <v>0</v>
      </c>
      <c r="X28" s="114">
        <v>2</v>
      </c>
      <c r="Y28" s="114">
        <v>2.2999999999999998</v>
      </c>
      <c r="Z28" s="114">
        <v>0</v>
      </c>
      <c r="AA28" s="114">
        <v>0</v>
      </c>
      <c r="AB28" s="114">
        <v>2.1</v>
      </c>
      <c r="AC28" s="114">
        <v>2.2999999999999998</v>
      </c>
      <c r="AD28" s="114">
        <v>0</v>
      </c>
      <c r="AE28" s="114">
        <v>0</v>
      </c>
      <c r="AF28" s="114"/>
      <c r="AG28" s="46">
        <f t="shared" si="0"/>
        <v>34.699999999999996</v>
      </c>
      <c r="AH28" s="48"/>
      <c r="AI28" s="48"/>
    </row>
    <row r="29" spans="1:35" s="44" customFormat="1" ht="18.75" customHeight="1" x14ac:dyDescent="0.35">
      <c r="A29" s="60" t="s">
        <v>76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81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86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82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178</v>
      </c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46">
        <f t="shared" si="0"/>
        <v>0</v>
      </c>
      <c r="AH33" s="48"/>
      <c r="AI33" s="48"/>
    </row>
    <row r="34" spans="1:35" s="44" customFormat="1" ht="18.75" customHeight="1" x14ac:dyDescent="0.35">
      <c r="A34" s="59" t="s">
        <v>155</v>
      </c>
      <c r="B34" s="51">
        <f>SUM(B3:B33)</f>
        <v>9.1999999999999993</v>
      </c>
      <c r="C34" s="51">
        <f t="shared" ref="C34:AF34" si="2">SUM(C3:C33)</f>
        <v>12.600000000000001</v>
      </c>
      <c r="D34" s="51">
        <f t="shared" si="2"/>
        <v>10.3</v>
      </c>
      <c r="E34" s="51">
        <f t="shared" si="2"/>
        <v>10.1</v>
      </c>
      <c r="F34" s="51">
        <f t="shared" si="2"/>
        <v>9</v>
      </c>
      <c r="G34" s="51">
        <f t="shared" si="2"/>
        <v>11</v>
      </c>
      <c r="H34" s="51">
        <f t="shared" si="2"/>
        <v>8.6999999999999993</v>
      </c>
      <c r="I34" s="51">
        <f t="shared" si="2"/>
        <v>8.1</v>
      </c>
      <c r="J34" s="51">
        <f t="shared" si="2"/>
        <v>8.8000000000000007</v>
      </c>
      <c r="K34" s="51">
        <f t="shared" si="2"/>
        <v>11.2</v>
      </c>
      <c r="L34" s="51">
        <f t="shared" si="2"/>
        <v>13.8</v>
      </c>
      <c r="M34" s="51">
        <f t="shared" si="2"/>
        <v>12.3</v>
      </c>
      <c r="N34" s="51">
        <f t="shared" si="2"/>
        <v>10.199999999999999</v>
      </c>
      <c r="O34" s="51">
        <f t="shared" si="2"/>
        <v>12</v>
      </c>
      <c r="P34" s="51">
        <f t="shared" si="2"/>
        <v>11</v>
      </c>
      <c r="Q34" s="51">
        <f t="shared" si="2"/>
        <v>12.100000000000001</v>
      </c>
      <c r="R34" s="51">
        <f t="shared" si="2"/>
        <v>12.2</v>
      </c>
      <c r="S34" s="51">
        <f t="shared" si="2"/>
        <v>8</v>
      </c>
      <c r="T34" s="51">
        <f t="shared" si="2"/>
        <v>14.8</v>
      </c>
      <c r="U34" s="51">
        <f t="shared" si="2"/>
        <v>10.9</v>
      </c>
      <c r="V34" s="51">
        <f t="shared" si="2"/>
        <v>11.2</v>
      </c>
      <c r="W34" s="51">
        <f t="shared" si="2"/>
        <v>8.3000000000000007</v>
      </c>
      <c r="X34" s="51">
        <f t="shared" si="2"/>
        <v>10.6</v>
      </c>
      <c r="Y34" s="51">
        <f t="shared" si="2"/>
        <v>11.3</v>
      </c>
      <c r="Z34" s="51">
        <f t="shared" si="2"/>
        <v>7.3</v>
      </c>
      <c r="AA34" s="51">
        <f t="shared" si="2"/>
        <v>7.8</v>
      </c>
      <c r="AB34" s="51">
        <f t="shared" si="2"/>
        <v>13.700000000000001</v>
      </c>
      <c r="AC34" s="51">
        <f t="shared" si="2"/>
        <v>13.7</v>
      </c>
      <c r="AD34" s="51">
        <f t="shared" si="2"/>
        <v>9.3000000000000007</v>
      </c>
      <c r="AE34" s="51">
        <f t="shared" si="2"/>
        <v>8.3000000000000007</v>
      </c>
      <c r="AF34" s="51">
        <f t="shared" si="2"/>
        <v>0</v>
      </c>
      <c r="AG34" s="56">
        <f>SUM(B34:AF34)</f>
        <v>317.8</v>
      </c>
      <c r="AH34" s="57"/>
      <c r="AI34" s="57"/>
    </row>
    <row r="35" spans="1:35" ht="21" x14ac:dyDescent="0.35">
      <c r="AG35" s="128">
        <f>SUM(AG3:AG33)</f>
        <v>317.79999999999995</v>
      </c>
    </row>
  </sheetData>
  <mergeCells count="1">
    <mergeCell ref="A1:AG1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RowHeight="15" x14ac:dyDescent="0.25"/>
  <cols>
    <col min="1" max="1" width="39.85546875" customWidth="1"/>
    <col min="2" max="32" width="6.7109375" customWidth="1"/>
    <col min="33" max="33" width="12.28515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3" si="0">SUM(B4:AF4)</f>
        <v>0</v>
      </c>
      <c r="AH4" s="48"/>
      <c r="AI4" s="48"/>
    </row>
    <row r="5" spans="1:35" s="44" customFormat="1" ht="35.25" customHeight="1" x14ac:dyDescent="0.35">
      <c r="A5" s="60" t="s">
        <v>193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46">
        <f t="shared" ref="AG5" si="1">SUM(B5:AF5)</f>
        <v>0</v>
      </c>
      <c r="AH5" s="48"/>
      <c r="AI5" s="48"/>
    </row>
    <row r="6" spans="1:35" s="44" customFormat="1" ht="18.75" customHeight="1" x14ac:dyDescent="0.35">
      <c r="A6" s="60" t="s">
        <v>83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51"/>
      <c r="C8" s="51">
        <v>0.3</v>
      </c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0.3</v>
      </c>
      <c r="AH8" s="48"/>
      <c r="AI8" s="48"/>
    </row>
    <row r="9" spans="1:35" s="44" customFormat="1" ht="18.75" customHeight="1" x14ac:dyDescent="0.35">
      <c r="A9" s="60" t="s">
        <v>65</v>
      </c>
      <c r="B9" s="51">
        <v>5</v>
      </c>
      <c r="C9" s="51">
        <v>4.9000000000000004</v>
      </c>
      <c r="D9" s="51">
        <v>3.9</v>
      </c>
      <c r="E9" s="51">
        <v>5</v>
      </c>
      <c r="F9" s="51">
        <v>4.8</v>
      </c>
      <c r="G9" s="51">
        <v>3.8</v>
      </c>
      <c r="H9" s="51">
        <v>4.3</v>
      </c>
      <c r="I9" s="51">
        <v>4.3</v>
      </c>
      <c r="J9" s="51">
        <v>4.0999999999999996</v>
      </c>
      <c r="K9" s="51">
        <v>4.3</v>
      </c>
      <c r="L9" s="51">
        <v>4.0999999999999996</v>
      </c>
      <c r="M9" s="51">
        <v>4.9000000000000004</v>
      </c>
      <c r="N9" s="51">
        <v>5</v>
      </c>
      <c r="O9" s="51">
        <v>4.9000000000000004</v>
      </c>
      <c r="P9" s="51">
        <v>4.8</v>
      </c>
      <c r="Q9" s="51">
        <v>4.9000000000000004</v>
      </c>
      <c r="R9" s="51">
        <v>5</v>
      </c>
      <c r="S9" s="51">
        <v>4.8</v>
      </c>
      <c r="T9" s="51">
        <v>4.7</v>
      </c>
      <c r="U9" s="51">
        <v>3.1</v>
      </c>
      <c r="V9" s="51">
        <v>4</v>
      </c>
      <c r="W9" s="51">
        <v>4.2</v>
      </c>
      <c r="X9" s="51">
        <v>3.4</v>
      </c>
      <c r="Y9" s="51">
        <v>3.1</v>
      </c>
      <c r="Z9" s="51">
        <v>4</v>
      </c>
      <c r="AA9" s="51">
        <v>4.0999999999999996</v>
      </c>
      <c r="AB9" s="51">
        <v>4.3</v>
      </c>
      <c r="AC9" s="51">
        <v>4.2</v>
      </c>
      <c r="AD9" s="51">
        <v>4.5</v>
      </c>
      <c r="AE9" s="51">
        <v>5</v>
      </c>
      <c r="AF9" s="51"/>
      <c r="AG9" s="46">
        <f t="shared" si="0"/>
        <v>131.39999999999998</v>
      </c>
      <c r="AH9" s="48"/>
      <c r="AI9" s="48"/>
    </row>
    <row r="10" spans="1:35" s="44" customFormat="1" ht="18.75" customHeight="1" x14ac:dyDescent="0.35">
      <c r="A10" s="60" t="s">
        <v>66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152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91</v>
      </c>
      <c r="B13" s="51">
        <v>3</v>
      </c>
      <c r="C13" s="51">
        <v>2.6</v>
      </c>
      <c r="D13" s="51">
        <v>2.8</v>
      </c>
      <c r="E13" s="51">
        <v>3.1</v>
      </c>
      <c r="F13" s="51">
        <v>3.3</v>
      </c>
      <c r="G13" s="51">
        <v>3.1</v>
      </c>
      <c r="H13" s="51">
        <v>2.9</v>
      </c>
      <c r="I13" s="51">
        <v>2</v>
      </c>
      <c r="J13" s="51">
        <v>1.9</v>
      </c>
      <c r="K13" s="51">
        <v>2.5</v>
      </c>
      <c r="L13" s="51">
        <v>2.9</v>
      </c>
      <c r="M13" s="51">
        <v>2.1</v>
      </c>
      <c r="N13" s="51">
        <v>2.5</v>
      </c>
      <c r="O13" s="51">
        <v>3</v>
      </c>
      <c r="P13" s="51">
        <v>3.6</v>
      </c>
      <c r="Q13" s="51">
        <v>3</v>
      </c>
      <c r="R13" s="51">
        <v>3.4</v>
      </c>
      <c r="S13" s="51">
        <v>3.1</v>
      </c>
      <c r="T13" s="51">
        <v>3.2</v>
      </c>
      <c r="U13" s="51">
        <v>3</v>
      </c>
      <c r="V13" s="51">
        <v>3.8</v>
      </c>
      <c r="W13" s="51">
        <v>2.6</v>
      </c>
      <c r="X13" s="51">
        <v>2.4</v>
      </c>
      <c r="Y13" s="51">
        <v>2</v>
      </c>
      <c r="Z13" s="51">
        <v>2.7</v>
      </c>
      <c r="AA13" s="51">
        <v>2.1</v>
      </c>
      <c r="AB13" s="51">
        <v>2.1</v>
      </c>
      <c r="AC13" s="51">
        <v>2.2000000000000002</v>
      </c>
      <c r="AD13" s="51">
        <v>2.1</v>
      </c>
      <c r="AE13" s="51">
        <v>2.1</v>
      </c>
      <c r="AF13" s="51"/>
      <c r="AG13" s="46">
        <f t="shared" si="0"/>
        <v>81.09999999999998</v>
      </c>
      <c r="AH13" s="48"/>
      <c r="AI13" s="48"/>
    </row>
    <row r="14" spans="1:35" s="44" customFormat="1" ht="18.75" customHeight="1" x14ac:dyDescent="0.35">
      <c r="A14" s="60" t="s">
        <v>69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  <c r="AF14" s="55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71</v>
      </c>
      <c r="B15" s="51">
        <v>2.8</v>
      </c>
      <c r="C15" s="51">
        <v>0</v>
      </c>
      <c r="D15" s="51">
        <v>3</v>
      </c>
      <c r="E15" s="51">
        <v>0</v>
      </c>
      <c r="F15" s="51">
        <v>2.9</v>
      </c>
      <c r="G15" s="51">
        <v>0</v>
      </c>
      <c r="H15" s="51">
        <v>3.5</v>
      </c>
      <c r="I15" s="51">
        <v>0</v>
      </c>
      <c r="J15" s="51">
        <v>3</v>
      </c>
      <c r="K15" s="51">
        <v>0</v>
      </c>
      <c r="L15" s="51">
        <v>3.1</v>
      </c>
      <c r="M15" s="51">
        <v>0</v>
      </c>
      <c r="N15" s="51">
        <v>3.2</v>
      </c>
      <c r="O15" s="51">
        <v>0</v>
      </c>
      <c r="P15" s="51">
        <v>3.8</v>
      </c>
      <c r="Q15" s="51">
        <v>0</v>
      </c>
      <c r="R15" s="51">
        <v>2.9</v>
      </c>
      <c r="S15" s="51">
        <v>0</v>
      </c>
      <c r="T15" s="51">
        <v>3.2</v>
      </c>
      <c r="U15" s="51">
        <v>0</v>
      </c>
      <c r="V15" s="51">
        <v>3.5</v>
      </c>
      <c r="W15" s="51">
        <v>0</v>
      </c>
      <c r="X15" s="51">
        <v>3</v>
      </c>
      <c r="Y15" s="114">
        <v>0</v>
      </c>
      <c r="Z15" s="114">
        <v>3.2</v>
      </c>
      <c r="AA15" s="114">
        <v>3.5</v>
      </c>
      <c r="AB15" s="114">
        <v>0</v>
      </c>
      <c r="AC15" s="114">
        <v>3.5</v>
      </c>
      <c r="AD15" s="114">
        <v>0</v>
      </c>
      <c r="AE15" s="114">
        <v>3</v>
      </c>
      <c r="AF15" s="52"/>
      <c r="AG15" s="46">
        <f t="shared" si="0"/>
        <v>51.1</v>
      </c>
      <c r="AH15" s="48"/>
      <c r="AI15" s="48"/>
    </row>
    <row r="16" spans="1:35" s="44" customFormat="1" ht="18.75" customHeight="1" x14ac:dyDescent="0.35">
      <c r="A16" s="60" t="s">
        <v>72</v>
      </c>
      <c r="B16" s="51">
        <v>1</v>
      </c>
      <c r="C16" s="51">
        <v>1.5</v>
      </c>
      <c r="D16" s="51">
        <v>1.3</v>
      </c>
      <c r="E16" s="51">
        <v>1.2</v>
      </c>
      <c r="F16" s="51">
        <v>1</v>
      </c>
      <c r="G16" s="51">
        <v>1.1000000000000001</v>
      </c>
      <c r="H16" s="51">
        <v>1.4</v>
      </c>
      <c r="I16" s="51">
        <v>1.5</v>
      </c>
      <c r="J16" s="51">
        <v>1.8</v>
      </c>
      <c r="K16" s="51">
        <v>1.5</v>
      </c>
      <c r="L16" s="51">
        <v>1.8</v>
      </c>
      <c r="M16" s="51">
        <v>1.5</v>
      </c>
      <c r="N16" s="51">
        <v>0</v>
      </c>
      <c r="O16" s="51">
        <v>1.1000000000000001</v>
      </c>
      <c r="P16" s="51">
        <v>1</v>
      </c>
      <c r="Q16" s="51">
        <v>0</v>
      </c>
      <c r="R16" s="51">
        <v>1</v>
      </c>
      <c r="S16" s="51">
        <v>1.1000000000000001</v>
      </c>
      <c r="T16" s="51">
        <v>1</v>
      </c>
      <c r="U16" s="51">
        <v>0</v>
      </c>
      <c r="V16" s="51">
        <v>1.5</v>
      </c>
      <c r="W16" s="51">
        <v>1.1000000000000001</v>
      </c>
      <c r="X16" s="51">
        <v>1.5</v>
      </c>
      <c r="Y16" s="51">
        <v>1</v>
      </c>
      <c r="Z16" s="51">
        <v>0.8</v>
      </c>
      <c r="AA16" s="51">
        <v>0</v>
      </c>
      <c r="AB16" s="51">
        <v>1.3</v>
      </c>
      <c r="AC16" s="51">
        <v>1.1000000000000001</v>
      </c>
      <c r="AD16" s="51">
        <v>1.5</v>
      </c>
      <c r="AE16" s="51">
        <v>1.3</v>
      </c>
      <c r="AF16" s="51"/>
      <c r="AG16" s="46">
        <f t="shared" si="0"/>
        <v>32.900000000000006</v>
      </c>
      <c r="AH16" s="48"/>
      <c r="AI16" s="48"/>
    </row>
    <row r="17" spans="1:35" s="44" customFormat="1" ht="18.75" customHeight="1" x14ac:dyDescent="0.35">
      <c r="A17" s="60" t="s">
        <v>85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194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73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92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89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74</v>
      </c>
      <c r="B22" s="51">
        <v>0.9</v>
      </c>
      <c r="C22" s="51">
        <v>0</v>
      </c>
      <c r="D22" s="51">
        <v>1.7</v>
      </c>
      <c r="E22" s="51">
        <v>0</v>
      </c>
      <c r="F22" s="51">
        <v>2</v>
      </c>
      <c r="G22" s="51">
        <v>1.1000000000000001</v>
      </c>
      <c r="H22" s="51">
        <v>0</v>
      </c>
      <c r="I22" s="51">
        <v>2.2999999999999998</v>
      </c>
      <c r="J22" s="51">
        <v>0</v>
      </c>
      <c r="K22" s="51">
        <v>1.9</v>
      </c>
      <c r="L22" s="51">
        <v>0.7</v>
      </c>
      <c r="M22" s="51">
        <v>0</v>
      </c>
      <c r="N22" s="51">
        <v>2.1</v>
      </c>
      <c r="O22" s="51">
        <v>0</v>
      </c>
      <c r="P22" s="51">
        <v>1.4</v>
      </c>
      <c r="Q22" s="51">
        <v>0</v>
      </c>
      <c r="R22" s="51">
        <v>2.1</v>
      </c>
      <c r="S22" s="51">
        <v>0</v>
      </c>
      <c r="T22" s="51">
        <v>1.9</v>
      </c>
      <c r="U22" s="51">
        <v>0</v>
      </c>
      <c r="V22" s="51">
        <v>2.4</v>
      </c>
      <c r="W22" s="51">
        <v>0</v>
      </c>
      <c r="X22" s="51">
        <v>1.7</v>
      </c>
      <c r="Y22" s="51">
        <v>0</v>
      </c>
      <c r="Z22" s="51">
        <v>0</v>
      </c>
      <c r="AA22" s="51">
        <v>2.9</v>
      </c>
      <c r="AB22" s="51">
        <v>0</v>
      </c>
      <c r="AC22" s="51">
        <v>3</v>
      </c>
      <c r="AD22" s="51">
        <v>0</v>
      </c>
      <c r="AE22" s="51">
        <v>2.4</v>
      </c>
      <c r="AF22" s="51"/>
      <c r="AG22" s="46">
        <f t="shared" si="0"/>
        <v>30.499999999999993</v>
      </c>
      <c r="AH22" s="48"/>
      <c r="AI22" s="48"/>
    </row>
    <row r="23" spans="1:35" s="44" customFormat="1" ht="18.75" customHeight="1" x14ac:dyDescent="0.35">
      <c r="A23" s="60" t="s">
        <v>75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77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78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79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154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80</v>
      </c>
      <c r="B28" s="52">
        <v>2.9</v>
      </c>
      <c r="C28" s="52">
        <v>0</v>
      </c>
      <c r="D28" s="52">
        <v>2.1</v>
      </c>
      <c r="E28" s="52">
        <v>0</v>
      </c>
      <c r="F28" s="52">
        <v>2.5</v>
      </c>
      <c r="G28" s="52">
        <v>1.2</v>
      </c>
      <c r="H28" s="52">
        <v>0</v>
      </c>
      <c r="I28" s="52">
        <v>0</v>
      </c>
      <c r="J28" s="52">
        <v>2.8</v>
      </c>
      <c r="K28" s="52">
        <v>2.2000000000000002</v>
      </c>
      <c r="L28" s="52">
        <v>0</v>
      </c>
      <c r="M28" s="52">
        <v>0</v>
      </c>
      <c r="N28" s="52">
        <v>2.5</v>
      </c>
      <c r="O28" s="52">
        <v>2.2000000000000002</v>
      </c>
      <c r="P28" s="52">
        <v>0</v>
      </c>
      <c r="Q28" s="52">
        <v>0</v>
      </c>
      <c r="R28" s="52">
        <v>0</v>
      </c>
      <c r="S28" s="52">
        <v>2</v>
      </c>
      <c r="T28" s="52">
        <v>1</v>
      </c>
      <c r="U28" s="52">
        <v>0</v>
      </c>
      <c r="V28" s="52">
        <v>0</v>
      </c>
      <c r="W28" s="52">
        <v>2</v>
      </c>
      <c r="X28" s="52">
        <v>0</v>
      </c>
      <c r="Y28" s="52">
        <v>0</v>
      </c>
      <c r="Z28" s="52">
        <v>2.2000000000000002</v>
      </c>
      <c r="AA28" s="52">
        <v>0</v>
      </c>
      <c r="AB28" s="52">
        <v>2</v>
      </c>
      <c r="AC28" s="52">
        <v>0</v>
      </c>
      <c r="AD28" s="52">
        <v>0</v>
      </c>
      <c r="AE28" s="52">
        <v>2.1</v>
      </c>
      <c r="AF28" s="52"/>
      <c r="AG28" s="46">
        <f t="shared" si="0"/>
        <v>29.7</v>
      </c>
      <c r="AH28" s="48"/>
      <c r="AI28" s="48"/>
    </row>
    <row r="29" spans="1:35" s="44" customFormat="1" ht="18.75" customHeight="1" x14ac:dyDescent="0.35">
      <c r="A29" s="60" t="s">
        <v>76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81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86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82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178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46">
        <f t="shared" si="0"/>
        <v>0</v>
      </c>
      <c r="AH33" s="48"/>
      <c r="AI33" s="48"/>
    </row>
    <row r="34" spans="1:35" s="44" customFormat="1" ht="18.75" customHeight="1" x14ac:dyDescent="0.35">
      <c r="A34" s="59" t="s">
        <v>155</v>
      </c>
      <c r="B34" s="51">
        <f>SUM(B3:B33)</f>
        <v>15.600000000000001</v>
      </c>
      <c r="C34" s="51">
        <f t="shared" ref="C34:AF34" si="2">SUM(C3:C33)</f>
        <v>9.3000000000000007</v>
      </c>
      <c r="D34" s="51">
        <f t="shared" si="2"/>
        <v>14.799999999999999</v>
      </c>
      <c r="E34" s="51">
        <f t="shared" si="2"/>
        <v>9.2999999999999989</v>
      </c>
      <c r="F34" s="51">
        <f t="shared" si="2"/>
        <v>16.5</v>
      </c>
      <c r="G34" s="51">
        <f t="shared" si="2"/>
        <v>10.299999999999999</v>
      </c>
      <c r="H34" s="51">
        <f t="shared" si="2"/>
        <v>12.1</v>
      </c>
      <c r="I34" s="51">
        <f t="shared" si="2"/>
        <v>10.1</v>
      </c>
      <c r="J34" s="51">
        <f t="shared" si="2"/>
        <v>13.600000000000001</v>
      </c>
      <c r="K34" s="51">
        <f t="shared" si="2"/>
        <v>12.400000000000002</v>
      </c>
      <c r="L34" s="51">
        <f t="shared" si="2"/>
        <v>12.6</v>
      </c>
      <c r="M34" s="51">
        <f t="shared" si="2"/>
        <v>8.5</v>
      </c>
      <c r="N34" s="51">
        <f t="shared" si="2"/>
        <v>15.299999999999999</v>
      </c>
      <c r="O34" s="51">
        <f t="shared" si="2"/>
        <v>11.2</v>
      </c>
      <c r="P34" s="51">
        <f t="shared" si="2"/>
        <v>14.6</v>
      </c>
      <c r="Q34" s="51">
        <f t="shared" si="2"/>
        <v>7.9</v>
      </c>
      <c r="R34" s="51">
        <f t="shared" si="2"/>
        <v>14.4</v>
      </c>
      <c r="S34" s="51">
        <f t="shared" si="2"/>
        <v>11</v>
      </c>
      <c r="T34" s="51">
        <f t="shared" si="2"/>
        <v>15.000000000000002</v>
      </c>
      <c r="U34" s="51">
        <f t="shared" si="2"/>
        <v>6.1</v>
      </c>
      <c r="V34" s="51">
        <f t="shared" si="2"/>
        <v>15.200000000000001</v>
      </c>
      <c r="W34" s="51">
        <f t="shared" si="2"/>
        <v>9.9</v>
      </c>
      <c r="X34" s="51">
        <f t="shared" si="2"/>
        <v>12</v>
      </c>
      <c r="Y34" s="51">
        <f t="shared" si="2"/>
        <v>6.1</v>
      </c>
      <c r="Z34" s="51">
        <f t="shared" si="2"/>
        <v>12.900000000000002</v>
      </c>
      <c r="AA34" s="51">
        <f t="shared" si="2"/>
        <v>12.6</v>
      </c>
      <c r="AB34" s="51">
        <f t="shared" si="2"/>
        <v>9.6999999999999993</v>
      </c>
      <c r="AC34" s="51">
        <f t="shared" si="2"/>
        <v>14</v>
      </c>
      <c r="AD34" s="51">
        <f t="shared" si="2"/>
        <v>8.1</v>
      </c>
      <c r="AE34" s="51">
        <f t="shared" si="2"/>
        <v>15.9</v>
      </c>
      <c r="AF34" s="51">
        <f t="shared" si="2"/>
        <v>0</v>
      </c>
      <c r="AG34" s="56">
        <f>SUM(B34:AF34)</f>
        <v>357</v>
      </c>
      <c r="AH34" s="57"/>
      <c r="AI34" s="57"/>
    </row>
    <row r="35" spans="1:35" ht="21" x14ac:dyDescent="0.35">
      <c r="AG35" s="128">
        <f>SUM(AG3:AG33)</f>
        <v>356.99999999999994</v>
      </c>
    </row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50.28515625" customWidth="1"/>
    <col min="2" max="32" width="6.14062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74">
        <v>4.2</v>
      </c>
      <c r="C3" s="44">
        <v>3.2</v>
      </c>
      <c r="D3" s="74">
        <v>5.2</v>
      </c>
      <c r="E3" s="74">
        <v>3.3</v>
      </c>
      <c r="F3" s="74">
        <v>4.2</v>
      </c>
      <c r="G3" s="75">
        <v>0</v>
      </c>
      <c r="H3" s="74">
        <v>5.2</v>
      </c>
      <c r="I3" s="75">
        <v>3.1</v>
      </c>
      <c r="J3" s="74">
        <v>1.9</v>
      </c>
      <c r="K3" s="75">
        <v>2.1</v>
      </c>
      <c r="L3" s="74">
        <v>3.1</v>
      </c>
      <c r="M3" s="75">
        <v>3.2</v>
      </c>
      <c r="N3" s="74">
        <v>0</v>
      </c>
      <c r="O3" s="74">
        <v>4.2</v>
      </c>
      <c r="P3" s="75">
        <v>5.0999999999999996</v>
      </c>
      <c r="Q3" s="74">
        <v>3.2</v>
      </c>
      <c r="R3" s="74">
        <v>4.0999999999999996</v>
      </c>
      <c r="S3" s="75">
        <v>5.0999999999999996</v>
      </c>
      <c r="T3" s="75">
        <v>3.2</v>
      </c>
      <c r="U3" s="75">
        <v>0</v>
      </c>
      <c r="V3" s="75">
        <v>3.1</v>
      </c>
      <c r="W3" s="74">
        <v>3.7</v>
      </c>
      <c r="X3" s="74">
        <v>3.1</v>
      </c>
      <c r="Y3" s="74">
        <v>4.2</v>
      </c>
      <c r="Z3" s="74">
        <v>3.7</v>
      </c>
      <c r="AA3" s="74">
        <v>3.1</v>
      </c>
      <c r="AB3" s="74">
        <v>0</v>
      </c>
      <c r="AC3" s="74">
        <v>3.6</v>
      </c>
      <c r="AD3" s="74">
        <v>4.0999999999999996</v>
      </c>
      <c r="AE3" s="74">
        <v>3.2</v>
      </c>
      <c r="AF3" s="74"/>
      <c r="AG3" s="46">
        <f>SUM(B3:AF3)</f>
        <v>95.4</v>
      </c>
      <c r="AH3" s="47"/>
      <c r="AI3" s="48"/>
    </row>
    <row r="4" spans="1:35" s="44" customFormat="1" ht="18.75" customHeight="1" x14ac:dyDescent="0.35">
      <c r="A4" s="60" t="s">
        <v>193</v>
      </c>
      <c r="B4" s="70" t="s">
        <v>210</v>
      </c>
      <c r="C4" s="70">
        <v>4.0999999999999996</v>
      </c>
      <c r="D4" s="70">
        <v>5.0999999999999996</v>
      </c>
      <c r="E4" s="70">
        <v>3.1</v>
      </c>
      <c r="F4" s="70">
        <v>6.1</v>
      </c>
      <c r="G4" s="70">
        <v>0.3</v>
      </c>
      <c r="H4" s="70">
        <v>3.2</v>
      </c>
      <c r="I4" s="70">
        <v>4.0999999999999996</v>
      </c>
      <c r="J4" s="70">
        <v>3.1</v>
      </c>
      <c r="K4" s="70">
        <v>2.9</v>
      </c>
      <c r="L4" s="70">
        <v>3.3</v>
      </c>
      <c r="M4" s="70">
        <v>3.2</v>
      </c>
      <c r="N4" s="70">
        <v>3.1</v>
      </c>
      <c r="O4" s="70">
        <v>3.7</v>
      </c>
      <c r="P4" s="70">
        <v>3.3</v>
      </c>
      <c r="Q4" s="70">
        <v>4.0999999999999996</v>
      </c>
      <c r="R4" s="70">
        <v>0.5</v>
      </c>
      <c r="S4" s="70">
        <v>0.4</v>
      </c>
      <c r="T4" s="70">
        <v>6.2</v>
      </c>
      <c r="U4" s="70">
        <v>3.1</v>
      </c>
      <c r="V4" s="70">
        <v>2.9</v>
      </c>
      <c r="W4" s="70">
        <v>3.1</v>
      </c>
      <c r="X4" s="70">
        <v>6.1</v>
      </c>
      <c r="Y4" s="70">
        <v>5.0999999999999996</v>
      </c>
      <c r="Z4" s="70">
        <v>0.4</v>
      </c>
      <c r="AA4" s="70">
        <v>4.0999999999999996</v>
      </c>
      <c r="AB4" s="70">
        <v>5.2</v>
      </c>
      <c r="AC4" s="70">
        <v>6.1</v>
      </c>
      <c r="AD4" s="70">
        <v>3.7</v>
      </c>
      <c r="AE4" s="70">
        <v>3.9</v>
      </c>
      <c r="AF4" s="70"/>
      <c r="AG4" s="46">
        <f t="shared" ref="AG4:AG33" si="0">SUM(B4:AF4)</f>
        <v>103.5</v>
      </c>
      <c r="AH4" s="48"/>
      <c r="AI4" s="48"/>
    </row>
    <row r="5" spans="1:35" s="44" customFormat="1" ht="18.75" customHeight="1" x14ac:dyDescent="0.35">
      <c r="A5" s="60" t="s">
        <v>83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0">
        <v>2.7</v>
      </c>
      <c r="C6" s="70">
        <v>3.1</v>
      </c>
      <c r="D6" s="70" t="s">
        <v>216</v>
      </c>
      <c r="E6" s="70">
        <v>4</v>
      </c>
      <c r="F6" s="70">
        <v>3.8</v>
      </c>
      <c r="G6" s="70">
        <v>3</v>
      </c>
      <c r="H6" s="70">
        <v>3.3</v>
      </c>
      <c r="I6" s="70">
        <v>4.7</v>
      </c>
      <c r="J6" s="70">
        <v>4.0999999999999996</v>
      </c>
      <c r="K6" s="70">
        <v>3</v>
      </c>
      <c r="L6" s="70">
        <v>3.7</v>
      </c>
      <c r="M6" s="70">
        <v>3.2</v>
      </c>
      <c r="N6" s="70">
        <v>3.6</v>
      </c>
      <c r="O6" s="70">
        <v>3</v>
      </c>
      <c r="P6" s="70">
        <v>3.2</v>
      </c>
      <c r="Q6" s="70">
        <v>3.7</v>
      </c>
      <c r="R6" s="70">
        <v>3.2</v>
      </c>
      <c r="S6" s="70">
        <v>2.6</v>
      </c>
      <c r="T6" s="70">
        <v>3.1</v>
      </c>
      <c r="U6" s="70">
        <v>3</v>
      </c>
      <c r="V6" s="70">
        <v>2.7</v>
      </c>
      <c r="W6" s="70">
        <v>2.8</v>
      </c>
      <c r="X6" s="70">
        <v>2.2999999999999998</v>
      </c>
      <c r="Y6" s="70">
        <v>3.1</v>
      </c>
      <c r="Z6" s="70">
        <v>3.3</v>
      </c>
      <c r="AA6" s="70">
        <v>2.8</v>
      </c>
      <c r="AB6" s="70">
        <v>2.7</v>
      </c>
      <c r="AC6" s="70">
        <v>2</v>
      </c>
      <c r="AD6" s="70">
        <v>3.1</v>
      </c>
      <c r="AE6" s="70">
        <v>2.8</v>
      </c>
      <c r="AF6" s="70"/>
      <c r="AG6" s="46">
        <f t="shared" si="0"/>
        <v>91.600000000000009</v>
      </c>
      <c r="AH6" s="48"/>
      <c r="AI6" s="48"/>
    </row>
    <row r="7" spans="1:35" s="44" customFormat="1" ht="18.75" customHeight="1" x14ac:dyDescent="0.35">
      <c r="A7" s="60" t="s">
        <v>64</v>
      </c>
      <c r="B7" s="75">
        <v>0.5</v>
      </c>
      <c r="C7" s="75">
        <v>0.4</v>
      </c>
      <c r="D7" s="75">
        <v>0.4</v>
      </c>
      <c r="E7" s="75">
        <v>0.5</v>
      </c>
      <c r="F7" s="75">
        <v>0.6</v>
      </c>
      <c r="G7" s="75">
        <v>0.5</v>
      </c>
      <c r="H7" s="75">
        <v>0.7</v>
      </c>
      <c r="I7" s="75">
        <v>0.5</v>
      </c>
      <c r="J7" s="75">
        <v>0.4</v>
      </c>
      <c r="K7" s="75">
        <v>0.3</v>
      </c>
      <c r="L7" s="75">
        <v>0.2</v>
      </c>
      <c r="M7" s="75">
        <v>0.3</v>
      </c>
      <c r="N7" s="75">
        <v>0.5</v>
      </c>
      <c r="O7" s="75">
        <v>0.6</v>
      </c>
      <c r="P7" s="75">
        <v>0.7</v>
      </c>
      <c r="Q7" s="75">
        <v>0.4</v>
      </c>
      <c r="R7" s="75">
        <v>0.4</v>
      </c>
      <c r="S7" s="75">
        <v>0.3</v>
      </c>
      <c r="T7" s="75">
        <v>0.2</v>
      </c>
      <c r="U7" s="75">
        <v>0.5</v>
      </c>
      <c r="V7" s="75">
        <v>0.6</v>
      </c>
      <c r="W7" s="75">
        <v>0.7</v>
      </c>
      <c r="X7" s="75">
        <v>0.4</v>
      </c>
      <c r="Y7" s="75">
        <v>0.5</v>
      </c>
      <c r="Z7" s="75">
        <v>0.3</v>
      </c>
      <c r="AA7" s="75">
        <v>0.4</v>
      </c>
      <c r="AB7" s="75">
        <v>0.3</v>
      </c>
      <c r="AC7" s="75">
        <v>0.5</v>
      </c>
      <c r="AD7" s="75">
        <v>0.6</v>
      </c>
      <c r="AE7" s="75">
        <v>0.7</v>
      </c>
      <c r="AF7" s="75"/>
      <c r="AG7" s="46">
        <f t="shared" si="0"/>
        <v>13.9</v>
      </c>
      <c r="AH7" s="48"/>
      <c r="AI7" s="48"/>
    </row>
    <row r="8" spans="1:35" s="44" customFormat="1" ht="18.75" customHeight="1" x14ac:dyDescent="0.35">
      <c r="A8" s="60" t="s">
        <v>65</v>
      </c>
      <c r="B8" s="75">
        <v>6</v>
      </c>
      <c r="C8" s="75">
        <v>4.8</v>
      </c>
      <c r="D8" s="75">
        <v>7.1</v>
      </c>
      <c r="E8" s="75">
        <v>7</v>
      </c>
      <c r="F8" s="75">
        <v>8</v>
      </c>
      <c r="G8" s="75">
        <v>7.6</v>
      </c>
      <c r="H8" s="75">
        <v>6.1</v>
      </c>
      <c r="I8" s="75">
        <v>0</v>
      </c>
      <c r="J8" s="75">
        <v>6</v>
      </c>
      <c r="K8" s="75">
        <v>7</v>
      </c>
      <c r="L8" s="75">
        <v>4.5</v>
      </c>
      <c r="M8" s="75">
        <v>9.1</v>
      </c>
      <c r="N8" s="75">
        <v>8.6999999999999993</v>
      </c>
      <c r="O8" s="75">
        <v>8.6</v>
      </c>
      <c r="P8" s="75">
        <v>7.5</v>
      </c>
      <c r="Q8" s="75">
        <v>7.4</v>
      </c>
      <c r="R8" s="75">
        <v>8</v>
      </c>
      <c r="S8" s="75">
        <v>9</v>
      </c>
      <c r="T8" s="75">
        <v>7.9</v>
      </c>
      <c r="U8" s="75">
        <v>4.3</v>
      </c>
      <c r="V8" s="75">
        <v>4.5</v>
      </c>
      <c r="W8" s="75">
        <v>4.0999999999999996</v>
      </c>
      <c r="X8" s="75">
        <v>3.6</v>
      </c>
      <c r="Y8" s="75">
        <v>5.0999999999999996</v>
      </c>
      <c r="Z8" s="75">
        <v>4.5999999999999996</v>
      </c>
      <c r="AA8" s="75">
        <v>3.1</v>
      </c>
      <c r="AB8" s="75">
        <v>4.5</v>
      </c>
      <c r="AC8" s="75">
        <v>5.2</v>
      </c>
      <c r="AD8" s="75">
        <v>6</v>
      </c>
      <c r="AE8" s="75">
        <v>6.9</v>
      </c>
      <c r="AF8" s="75"/>
      <c r="AG8" s="46">
        <f t="shared" si="0"/>
        <v>182.19999999999996</v>
      </c>
      <c r="AH8" s="48"/>
      <c r="AI8" s="48"/>
    </row>
    <row r="9" spans="1:35" s="44" customFormat="1" ht="18.75" customHeight="1" x14ac:dyDescent="0.35">
      <c r="A9" s="60" t="s">
        <v>66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5" t="s">
        <v>211</v>
      </c>
      <c r="C12" s="75" t="s">
        <v>212</v>
      </c>
      <c r="D12" s="75">
        <v>5.9</v>
      </c>
      <c r="E12" s="75">
        <v>6</v>
      </c>
      <c r="F12" s="75">
        <v>6.6</v>
      </c>
      <c r="G12" s="75">
        <v>5.5</v>
      </c>
      <c r="H12" s="75">
        <v>5.6</v>
      </c>
      <c r="I12" s="75">
        <v>5.8</v>
      </c>
      <c r="J12" s="75">
        <v>5.6</v>
      </c>
      <c r="K12" s="75">
        <v>5</v>
      </c>
      <c r="L12" s="75">
        <v>5.7</v>
      </c>
      <c r="M12" s="75">
        <v>4.7</v>
      </c>
      <c r="N12" s="75">
        <v>4.0999999999999996</v>
      </c>
      <c r="O12" s="75">
        <v>4.4000000000000004</v>
      </c>
      <c r="P12" s="75">
        <v>5</v>
      </c>
      <c r="Q12" s="75">
        <v>4.4000000000000004</v>
      </c>
      <c r="R12" s="75">
        <v>5.2</v>
      </c>
      <c r="S12" s="75">
        <v>5.6</v>
      </c>
      <c r="T12" s="75">
        <v>4.7</v>
      </c>
      <c r="U12" s="75">
        <v>4.9000000000000004</v>
      </c>
      <c r="V12" s="75">
        <v>4.5</v>
      </c>
      <c r="W12" s="75">
        <v>5.3</v>
      </c>
      <c r="X12" s="75" t="s">
        <v>211</v>
      </c>
      <c r="Y12" s="75" t="s">
        <v>213</v>
      </c>
      <c r="Z12" s="75" t="s">
        <v>214</v>
      </c>
      <c r="AA12" s="75" t="s">
        <v>214</v>
      </c>
      <c r="AB12" s="75">
        <v>4</v>
      </c>
      <c r="AC12" s="75">
        <v>2.5</v>
      </c>
      <c r="AD12" s="75">
        <v>1.1000000000000001</v>
      </c>
      <c r="AE12" s="75">
        <v>2.2000000000000002</v>
      </c>
      <c r="AF12" s="75"/>
      <c r="AG12" s="46">
        <f t="shared" si="0"/>
        <v>114.30000000000001</v>
      </c>
      <c r="AH12" s="48"/>
      <c r="AI12" s="48"/>
    </row>
    <row r="13" spans="1:35" s="44" customFormat="1" ht="18.75" customHeight="1" x14ac:dyDescent="0.35">
      <c r="A13" s="60" t="s">
        <v>69</v>
      </c>
      <c r="B13" s="129">
        <v>3.5</v>
      </c>
      <c r="C13" s="129">
        <v>3.9</v>
      </c>
      <c r="D13" s="129">
        <v>4</v>
      </c>
      <c r="E13" s="129">
        <v>3.6</v>
      </c>
      <c r="F13" s="129">
        <v>4.3</v>
      </c>
      <c r="G13" s="129">
        <v>3.7</v>
      </c>
      <c r="H13" s="129">
        <v>4.4000000000000004</v>
      </c>
      <c r="I13" s="129">
        <v>3.4</v>
      </c>
      <c r="J13" s="129">
        <v>4</v>
      </c>
      <c r="K13" s="129">
        <v>3.2</v>
      </c>
      <c r="L13" s="129">
        <v>4.0999999999999996</v>
      </c>
      <c r="M13" s="129">
        <v>3.8</v>
      </c>
      <c r="N13" s="129">
        <v>3.4</v>
      </c>
      <c r="O13" s="129">
        <v>3.7</v>
      </c>
      <c r="P13" s="129">
        <v>3.9</v>
      </c>
      <c r="Q13" s="129">
        <v>3.5</v>
      </c>
      <c r="R13" s="129">
        <v>4.3</v>
      </c>
      <c r="S13" s="129">
        <v>3.6</v>
      </c>
      <c r="T13" s="129">
        <v>3.8</v>
      </c>
      <c r="U13" s="129">
        <v>3.2</v>
      </c>
      <c r="V13" s="129">
        <v>4</v>
      </c>
      <c r="W13" s="129">
        <v>4.4000000000000004</v>
      </c>
      <c r="X13" s="129">
        <v>3.9</v>
      </c>
      <c r="Y13" s="129">
        <v>3.2</v>
      </c>
      <c r="Z13" s="129">
        <v>4</v>
      </c>
      <c r="AA13" s="129">
        <v>3.5</v>
      </c>
      <c r="AB13" s="129">
        <v>3.6</v>
      </c>
      <c r="AC13" s="129">
        <v>4.3</v>
      </c>
      <c r="AD13" s="129">
        <v>4.0999999999999996</v>
      </c>
      <c r="AE13" s="129">
        <v>4.2</v>
      </c>
      <c r="AF13" s="129"/>
      <c r="AG13" s="46">
        <f t="shared" si="0"/>
        <v>114.5</v>
      </c>
      <c r="AH13" s="48"/>
      <c r="AI13" s="48"/>
    </row>
    <row r="14" spans="1:35" s="44" customFormat="1" ht="18.75" customHeight="1" x14ac:dyDescent="0.35">
      <c r="A14" s="60" t="s">
        <v>71</v>
      </c>
      <c r="B14" s="75">
        <v>9.6</v>
      </c>
      <c r="C14" s="75">
        <v>9.5</v>
      </c>
      <c r="D14" s="75">
        <v>9.3000000000000007</v>
      </c>
      <c r="E14" s="75">
        <v>9.4</v>
      </c>
      <c r="F14" s="75">
        <v>9.1</v>
      </c>
      <c r="G14" s="75">
        <v>10.3</v>
      </c>
      <c r="H14" s="75">
        <v>9.8000000000000007</v>
      </c>
      <c r="I14" s="75">
        <v>5.7</v>
      </c>
      <c r="J14" s="75">
        <v>9.6999999999999993</v>
      </c>
      <c r="K14" s="75">
        <v>9.1999999999999993</v>
      </c>
      <c r="L14" s="75">
        <v>9.6</v>
      </c>
      <c r="M14" s="75">
        <v>9.4</v>
      </c>
      <c r="N14" s="75">
        <v>10</v>
      </c>
      <c r="O14" s="75">
        <v>10</v>
      </c>
      <c r="P14" s="75">
        <v>9.1</v>
      </c>
      <c r="Q14" s="75">
        <v>9.4</v>
      </c>
      <c r="R14" s="75">
        <v>9.6999999999999993</v>
      </c>
      <c r="S14" s="75">
        <v>9.3000000000000007</v>
      </c>
      <c r="T14" s="75">
        <v>9.6</v>
      </c>
      <c r="U14" s="75">
        <v>8.5</v>
      </c>
      <c r="V14" s="75">
        <v>9.6</v>
      </c>
      <c r="W14" s="75">
        <v>11.3</v>
      </c>
      <c r="X14" s="75">
        <v>9.6</v>
      </c>
      <c r="Y14" s="122">
        <v>10.199999999999999</v>
      </c>
      <c r="Z14" s="122">
        <v>9.4</v>
      </c>
      <c r="AA14" s="122">
        <v>9.4</v>
      </c>
      <c r="AB14" s="122">
        <v>9.6999999999999993</v>
      </c>
      <c r="AC14" s="122">
        <v>8.6999999999999993</v>
      </c>
      <c r="AD14" s="122">
        <v>6.6</v>
      </c>
      <c r="AE14" s="122">
        <v>9.6999999999999993</v>
      </c>
      <c r="AF14" s="122"/>
      <c r="AG14" s="46">
        <f t="shared" si="0"/>
        <v>280.40000000000003</v>
      </c>
      <c r="AH14" s="48"/>
      <c r="AI14" s="48"/>
    </row>
    <row r="15" spans="1:35" s="44" customFormat="1" ht="18.75" customHeight="1" x14ac:dyDescent="0.35">
      <c r="A15" s="60" t="s">
        <v>72</v>
      </c>
      <c r="B15" s="75">
        <v>1.3</v>
      </c>
      <c r="C15" s="75">
        <v>1.8</v>
      </c>
      <c r="D15" s="75">
        <v>1.4</v>
      </c>
      <c r="E15" s="75">
        <v>1.5</v>
      </c>
      <c r="F15" s="75">
        <v>1.3</v>
      </c>
      <c r="G15" s="75">
        <v>1.2</v>
      </c>
      <c r="H15" s="75">
        <v>1.3</v>
      </c>
      <c r="I15" s="75">
        <v>1.5</v>
      </c>
      <c r="J15" s="75">
        <v>1.1000000000000001</v>
      </c>
      <c r="K15" s="75">
        <v>1.5</v>
      </c>
      <c r="L15" s="75">
        <v>1.8</v>
      </c>
      <c r="M15" s="75">
        <v>1.3</v>
      </c>
      <c r="N15" s="75">
        <v>1.4</v>
      </c>
      <c r="O15" s="75">
        <v>1.6</v>
      </c>
      <c r="P15" s="75">
        <v>1.3</v>
      </c>
      <c r="Q15" s="75">
        <v>1.5</v>
      </c>
      <c r="R15" s="75">
        <v>1</v>
      </c>
      <c r="S15" s="75">
        <v>1.4</v>
      </c>
      <c r="T15" s="75">
        <v>1</v>
      </c>
      <c r="U15" s="75">
        <v>0</v>
      </c>
      <c r="V15" s="75">
        <v>1.2</v>
      </c>
      <c r="W15" s="75">
        <v>1.3</v>
      </c>
      <c r="X15" s="75">
        <v>1.5</v>
      </c>
      <c r="Y15" s="75">
        <v>1.3</v>
      </c>
      <c r="Z15" s="75">
        <v>1.5</v>
      </c>
      <c r="AA15" s="75">
        <v>1.3</v>
      </c>
      <c r="AB15" s="75">
        <v>1</v>
      </c>
      <c r="AC15" s="75">
        <v>1.5</v>
      </c>
      <c r="AD15" s="75">
        <v>1</v>
      </c>
      <c r="AE15" s="75">
        <v>1</v>
      </c>
      <c r="AF15" s="75"/>
      <c r="AG15" s="46">
        <f t="shared" si="0"/>
        <v>38.799999999999997</v>
      </c>
      <c r="AH15" s="48"/>
      <c r="AI15" s="48"/>
    </row>
    <row r="16" spans="1:35" s="44" customFormat="1" ht="18.75" customHeight="1" x14ac:dyDescent="0.35">
      <c r="A16" s="60" t="s">
        <v>85</v>
      </c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5" t="s">
        <v>215</v>
      </c>
      <c r="C21" s="75">
        <v>6</v>
      </c>
      <c r="D21" s="75">
        <v>7.1</v>
      </c>
      <c r="E21" s="75">
        <v>7.8</v>
      </c>
      <c r="F21" s="75">
        <v>8.3000000000000007</v>
      </c>
      <c r="G21" s="75">
        <v>7.3</v>
      </c>
      <c r="H21" s="75">
        <v>6.6</v>
      </c>
      <c r="I21" s="75">
        <v>7.4</v>
      </c>
      <c r="J21" s="75">
        <v>6.6</v>
      </c>
      <c r="K21" s="75">
        <v>6.5</v>
      </c>
      <c r="L21" s="75">
        <v>7.3</v>
      </c>
      <c r="M21" s="75">
        <v>7.1</v>
      </c>
      <c r="N21" s="75">
        <v>7.2</v>
      </c>
      <c r="O21" s="75">
        <v>7.1</v>
      </c>
      <c r="P21" s="75">
        <v>6.1</v>
      </c>
      <c r="Q21" s="75">
        <v>6.2</v>
      </c>
      <c r="R21" s="75">
        <v>6.9</v>
      </c>
      <c r="S21" s="75">
        <v>7</v>
      </c>
      <c r="T21" s="75">
        <v>8.9</v>
      </c>
      <c r="U21" s="75">
        <v>7.9</v>
      </c>
      <c r="V21" s="75">
        <v>8.4</v>
      </c>
      <c r="W21" s="75">
        <v>6.4</v>
      </c>
      <c r="X21" s="75">
        <v>8.1</v>
      </c>
      <c r="Y21" s="75">
        <v>8.1999999999999993</v>
      </c>
      <c r="Z21" s="75">
        <v>6.9</v>
      </c>
      <c r="AA21" s="75">
        <v>6.9</v>
      </c>
      <c r="AB21" s="75">
        <v>7.2</v>
      </c>
      <c r="AC21" s="75">
        <v>6</v>
      </c>
      <c r="AD21" s="75">
        <v>7.2</v>
      </c>
      <c r="AE21" s="75">
        <v>7.6</v>
      </c>
      <c r="AF21" s="75"/>
      <c r="AG21" s="84">
        <f t="shared" si="0"/>
        <v>208.2</v>
      </c>
      <c r="AH21" s="48"/>
      <c r="AI21" s="48"/>
    </row>
    <row r="22" spans="1:35" s="44" customFormat="1" ht="18.75" customHeight="1" x14ac:dyDescent="0.35">
      <c r="A22" s="60" t="s">
        <v>75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5">
        <v>0.9</v>
      </c>
      <c r="C23" s="75">
        <v>0.8</v>
      </c>
      <c r="D23" s="75">
        <v>0.4</v>
      </c>
      <c r="E23" s="75">
        <v>1.1000000000000001</v>
      </c>
      <c r="F23" s="75">
        <v>1</v>
      </c>
      <c r="G23" s="75">
        <v>1.3</v>
      </c>
      <c r="H23" s="75">
        <v>0.8</v>
      </c>
      <c r="I23" s="75">
        <v>0.7</v>
      </c>
      <c r="J23" s="75">
        <v>1.4</v>
      </c>
      <c r="K23" s="75">
        <v>1.5</v>
      </c>
      <c r="L23" s="75">
        <v>1.7</v>
      </c>
      <c r="M23" s="75">
        <v>0.3</v>
      </c>
      <c r="N23" s="75">
        <v>0.4</v>
      </c>
      <c r="O23" s="75">
        <v>1.6</v>
      </c>
      <c r="P23" s="75">
        <v>0.3</v>
      </c>
      <c r="Q23" s="75">
        <v>1.6</v>
      </c>
      <c r="R23" s="75">
        <v>0.9</v>
      </c>
      <c r="S23" s="75">
        <v>1.1000000000000001</v>
      </c>
      <c r="T23" s="75">
        <v>0.7</v>
      </c>
      <c r="U23" s="75">
        <v>1.5</v>
      </c>
      <c r="V23" s="75">
        <v>1.8</v>
      </c>
      <c r="W23" s="75">
        <v>0.6</v>
      </c>
      <c r="X23" s="75">
        <v>0.8</v>
      </c>
      <c r="Y23" s="75">
        <v>1.2</v>
      </c>
      <c r="Z23" s="75">
        <v>1.9</v>
      </c>
      <c r="AA23" s="75">
        <v>0</v>
      </c>
      <c r="AB23" s="75">
        <v>0</v>
      </c>
      <c r="AC23" s="75">
        <v>1.9</v>
      </c>
      <c r="AD23" s="75">
        <v>1.7</v>
      </c>
      <c r="AE23" s="75">
        <v>0.9</v>
      </c>
      <c r="AF23" s="75"/>
      <c r="AG23" s="46">
        <f t="shared" si="0"/>
        <v>30.799999999999997</v>
      </c>
      <c r="AH23" s="48"/>
      <c r="AI23" s="48"/>
    </row>
    <row r="24" spans="1:35" s="44" customFormat="1" ht="18.75" customHeight="1" x14ac:dyDescent="0.35">
      <c r="A24" s="60" t="s">
        <v>78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114">
        <v>2.2999999999999998</v>
      </c>
      <c r="C27" s="114">
        <v>1</v>
      </c>
      <c r="D27" s="114">
        <v>1.2</v>
      </c>
      <c r="E27" s="114">
        <v>3.2</v>
      </c>
      <c r="F27" s="114">
        <v>2.4</v>
      </c>
      <c r="G27" s="114">
        <v>2.6</v>
      </c>
      <c r="H27" s="114">
        <v>1</v>
      </c>
      <c r="I27" s="114">
        <v>2.5</v>
      </c>
      <c r="J27" s="114">
        <v>2.5</v>
      </c>
      <c r="K27" s="114">
        <v>2.6</v>
      </c>
      <c r="L27" s="114">
        <v>2.2000000000000002</v>
      </c>
      <c r="M27" s="114">
        <v>2.2999999999999998</v>
      </c>
      <c r="N27" s="114">
        <v>2.6</v>
      </c>
      <c r="O27" s="114">
        <v>2.8</v>
      </c>
      <c r="P27" s="114">
        <v>2.9</v>
      </c>
      <c r="Q27" s="114">
        <v>2.5</v>
      </c>
      <c r="R27" s="114">
        <v>2.4</v>
      </c>
      <c r="S27" s="114">
        <v>2.6</v>
      </c>
      <c r="T27" s="114">
        <v>1</v>
      </c>
      <c r="U27" s="114">
        <v>2.2999999999999998</v>
      </c>
      <c r="V27" s="114">
        <v>3.2</v>
      </c>
      <c r="W27" s="114">
        <v>2.9</v>
      </c>
      <c r="X27" s="114">
        <v>2.6</v>
      </c>
      <c r="Y27" s="114">
        <v>2.2999999999999998</v>
      </c>
      <c r="Z27" s="114">
        <v>2.9</v>
      </c>
      <c r="AA27" s="114">
        <v>2.2000000000000002</v>
      </c>
      <c r="AB27" s="114">
        <v>3.2</v>
      </c>
      <c r="AC27" s="114">
        <v>2.5</v>
      </c>
      <c r="AD27" s="114">
        <v>3.4</v>
      </c>
      <c r="AE27" s="114">
        <v>3.7</v>
      </c>
      <c r="AF27" s="130"/>
      <c r="AG27" s="46">
        <f t="shared" si="0"/>
        <v>73.800000000000011</v>
      </c>
      <c r="AH27" s="48"/>
      <c r="AI27" s="48"/>
    </row>
    <row r="28" spans="1:35" s="44" customFormat="1" ht="18.75" customHeight="1" x14ac:dyDescent="0.35">
      <c r="A28" s="60" t="s">
        <v>76</v>
      </c>
      <c r="B28" s="122">
        <v>2</v>
      </c>
      <c r="C28" s="122">
        <v>3.3</v>
      </c>
      <c r="D28" s="122">
        <v>2.8</v>
      </c>
      <c r="E28" s="122">
        <v>2</v>
      </c>
      <c r="F28" s="122">
        <v>3.5</v>
      </c>
      <c r="G28" s="122">
        <v>2.2999999999999998</v>
      </c>
      <c r="H28" s="122">
        <v>3.2</v>
      </c>
      <c r="I28" s="122">
        <v>2.6</v>
      </c>
      <c r="J28" s="122">
        <v>2.6</v>
      </c>
      <c r="K28" s="122">
        <v>3.4</v>
      </c>
      <c r="L28" s="122">
        <v>2.2000000000000002</v>
      </c>
      <c r="M28" s="122">
        <v>2.8</v>
      </c>
      <c r="N28" s="122">
        <v>3.3</v>
      </c>
      <c r="O28" s="122">
        <v>1.5</v>
      </c>
      <c r="P28" s="122">
        <v>3</v>
      </c>
      <c r="Q28" s="122">
        <v>2</v>
      </c>
      <c r="R28" s="122">
        <v>3</v>
      </c>
      <c r="S28" s="122">
        <v>2.2000000000000002</v>
      </c>
      <c r="T28" s="122">
        <v>2</v>
      </c>
      <c r="U28" s="122">
        <v>1.9</v>
      </c>
      <c r="V28" s="122">
        <v>3.2</v>
      </c>
      <c r="W28" s="122">
        <v>2.7</v>
      </c>
      <c r="X28" s="122">
        <v>3</v>
      </c>
      <c r="Y28" s="122">
        <v>1.6</v>
      </c>
      <c r="Z28" s="122">
        <v>2.6</v>
      </c>
      <c r="AA28" s="122">
        <v>2.2000000000000002</v>
      </c>
      <c r="AB28" s="122">
        <v>1.7</v>
      </c>
      <c r="AC28" s="122">
        <v>2.2999999999999998</v>
      </c>
      <c r="AD28" s="122">
        <v>3.6</v>
      </c>
      <c r="AE28" s="122">
        <v>2.5</v>
      </c>
      <c r="AF28" s="76"/>
      <c r="AG28" s="46">
        <f t="shared" si="0"/>
        <v>77</v>
      </c>
      <c r="AH28" s="48"/>
      <c r="AI28" s="48"/>
    </row>
    <row r="29" spans="1:35" s="44" customFormat="1" ht="18.75" customHeight="1" x14ac:dyDescent="0.35">
      <c r="A29" s="60" t="s">
        <v>81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76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122"/>
      <c r="C30" s="122"/>
      <c r="D30" s="122"/>
      <c r="E30" s="122"/>
      <c r="F30" s="122"/>
      <c r="G30" s="122"/>
      <c r="H30" s="122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76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76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76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33</v>
      </c>
      <c r="C33" s="70">
        <f t="shared" ref="C33:AF33" si="1">SUM(C3:C32)</f>
        <v>41.899999999999991</v>
      </c>
      <c r="D33" s="70">
        <f t="shared" si="1"/>
        <v>49.9</v>
      </c>
      <c r="E33" s="70">
        <f t="shared" si="1"/>
        <v>52.5</v>
      </c>
      <c r="F33" s="70">
        <f t="shared" si="1"/>
        <v>59.199999999999996</v>
      </c>
      <c r="G33" s="70">
        <f t="shared" si="1"/>
        <v>45.599999999999994</v>
      </c>
      <c r="H33" s="70">
        <f t="shared" si="1"/>
        <v>51.199999999999996</v>
      </c>
      <c r="I33" s="70">
        <f t="shared" si="1"/>
        <v>42</v>
      </c>
      <c r="J33" s="70">
        <f t="shared" si="1"/>
        <v>49</v>
      </c>
      <c r="K33" s="70">
        <f t="shared" si="1"/>
        <v>48.2</v>
      </c>
      <c r="L33" s="70">
        <f t="shared" si="1"/>
        <v>49.400000000000006</v>
      </c>
      <c r="M33" s="70">
        <f t="shared" si="1"/>
        <v>50.699999999999989</v>
      </c>
      <c r="N33" s="70">
        <f t="shared" si="1"/>
        <v>48.3</v>
      </c>
      <c r="O33" s="70">
        <f t="shared" si="1"/>
        <v>52.800000000000004</v>
      </c>
      <c r="P33" s="70">
        <f t="shared" si="1"/>
        <v>51.399999999999991</v>
      </c>
      <c r="Q33" s="70">
        <f t="shared" si="1"/>
        <v>49.900000000000006</v>
      </c>
      <c r="R33" s="70">
        <f t="shared" si="1"/>
        <v>49.599999999999994</v>
      </c>
      <c r="S33" s="70">
        <f t="shared" si="1"/>
        <v>50.20000000000001</v>
      </c>
      <c r="T33" s="70">
        <f t="shared" si="1"/>
        <v>52.300000000000004</v>
      </c>
      <c r="U33" s="70">
        <f t="shared" si="1"/>
        <v>41.099999999999994</v>
      </c>
      <c r="V33" s="70">
        <f t="shared" si="1"/>
        <v>49.7</v>
      </c>
      <c r="W33" s="70">
        <f t="shared" si="1"/>
        <v>49.300000000000004</v>
      </c>
      <c r="X33" s="70">
        <f t="shared" si="1"/>
        <v>45</v>
      </c>
      <c r="Y33" s="70">
        <f t="shared" si="1"/>
        <v>45.999999999999993</v>
      </c>
      <c r="Z33" s="70">
        <f t="shared" si="1"/>
        <v>41.5</v>
      </c>
      <c r="AA33" s="70">
        <f t="shared" si="1"/>
        <v>39.000000000000007</v>
      </c>
      <c r="AB33" s="70">
        <f t="shared" si="1"/>
        <v>43.100000000000009</v>
      </c>
      <c r="AC33" s="70">
        <f t="shared" si="1"/>
        <v>47.099999999999994</v>
      </c>
      <c r="AD33" s="70">
        <f t="shared" si="1"/>
        <v>46.20000000000001</v>
      </c>
      <c r="AE33" s="70">
        <f t="shared" si="1"/>
        <v>49.3</v>
      </c>
      <c r="AF33" s="70">
        <f t="shared" si="1"/>
        <v>0</v>
      </c>
      <c r="AG33" s="56">
        <f t="shared" si="0"/>
        <v>1424.3999999999996</v>
      </c>
      <c r="AH33" s="57"/>
      <c r="AI33" s="57"/>
    </row>
    <row r="34" spans="1:35" s="2" customFormat="1" x14ac:dyDescent="0.25">
      <c r="AG34" s="24">
        <f>SUM(AG3:AG31)</f>
        <v>1424.3999999999999</v>
      </c>
    </row>
  </sheetData>
  <mergeCells count="1">
    <mergeCell ref="A1:AG1"/>
  </mergeCells>
  <conditionalFormatting sqref="AG33">
    <cfRule type="cellIs" dxfId="25" priority="2" operator="equal">
      <formula>$AG$34</formula>
    </cfRule>
  </conditionalFormatting>
  <conditionalFormatting sqref="AG34">
    <cfRule type="cellIs" dxfId="24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topLeftCell="A2" workbookViewId="0">
      <selection sqref="A1:AG1"/>
    </sheetView>
  </sheetViews>
  <sheetFormatPr baseColWidth="10" defaultRowHeight="15" x14ac:dyDescent="0.25"/>
  <cols>
    <col min="1" max="1" width="41.85546875" customWidth="1"/>
    <col min="2" max="32" width="6.7109375" customWidth="1"/>
    <col min="33" max="33" width="12.42578125" customWidth="1"/>
  </cols>
  <sheetData>
    <row r="1" spans="1:35" s="44" customFormat="1" ht="21" hidden="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0.5" x14ac:dyDescent="0.35">
      <c r="A3" s="63" t="s">
        <v>94</v>
      </c>
      <c r="B3" s="74">
        <v>0.3</v>
      </c>
      <c r="C3" s="74">
        <v>0.7</v>
      </c>
      <c r="D3" s="74">
        <v>0.4</v>
      </c>
      <c r="E3" s="74">
        <v>0.6</v>
      </c>
      <c r="F3" s="74">
        <v>0.3</v>
      </c>
      <c r="G3" s="74">
        <v>0</v>
      </c>
      <c r="H3" s="74">
        <v>0.7</v>
      </c>
      <c r="I3" s="75">
        <v>0.6</v>
      </c>
      <c r="J3" s="74">
        <v>0.1</v>
      </c>
      <c r="K3" s="75">
        <v>0.3</v>
      </c>
      <c r="L3" s="74">
        <v>0.3</v>
      </c>
      <c r="M3" s="75">
        <v>0.2</v>
      </c>
      <c r="N3" s="74">
        <v>0</v>
      </c>
      <c r="O3" s="74">
        <v>0.3</v>
      </c>
      <c r="P3" s="75">
        <v>0.2</v>
      </c>
      <c r="Q3" s="74">
        <v>0.1</v>
      </c>
      <c r="R3" s="74">
        <v>0.1</v>
      </c>
      <c r="S3" s="75">
        <v>0.6</v>
      </c>
      <c r="T3" s="75">
        <v>0.1</v>
      </c>
      <c r="U3" s="75">
        <v>0</v>
      </c>
      <c r="V3" s="75">
        <v>0.4</v>
      </c>
      <c r="W3" s="74">
        <v>0.9</v>
      </c>
      <c r="X3" s="74">
        <v>0.5</v>
      </c>
      <c r="Y3" s="74">
        <v>0.6</v>
      </c>
      <c r="Z3" s="74">
        <v>0.3</v>
      </c>
      <c r="AA3" s="74">
        <v>0.5</v>
      </c>
      <c r="AB3" s="74">
        <v>0</v>
      </c>
      <c r="AC3" s="74">
        <v>0.6</v>
      </c>
      <c r="AD3" s="74">
        <v>0.9</v>
      </c>
      <c r="AE3" s="74">
        <v>0.7</v>
      </c>
      <c r="AF3" s="74"/>
      <c r="AG3" s="46">
        <f>SUM(B3:AF3)</f>
        <v>11.299999999999999</v>
      </c>
      <c r="AH3" s="47"/>
      <c r="AI3" s="48"/>
    </row>
    <row r="4" spans="1:35" s="44" customFormat="1" ht="27.75" customHeight="1" x14ac:dyDescent="0.35">
      <c r="A4" s="60" t="s">
        <v>193</v>
      </c>
      <c r="B4" s="70">
        <v>0.6</v>
      </c>
      <c r="C4" s="70">
        <v>0.6</v>
      </c>
      <c r="D4" s="70">
        <v>0.9</v>
      </c>
      <c r="E4" s="70">
        <v>0.7</v>
      </c>
      <c r="F4" s="70">
        <v>0.9</v>
      </c>
      <c r="G4" s="70">
        <v>0.1</v>
      </c>
      <c r="H4" s="75">
        <v>0.4</v>
      </c>
      <c r="I4" s="75">
        <v>0.5</v>
      </c>
      <c r="J4" s="75">
        <v>0.5</v>
      </c>
      <c r="K4" s="75">
        <v>0.9</v>
      </c>
      <c r="L4" s="75">
        <v>0.7</v>
      </c>
      <c r="M4" s="75">
        <v>0.6</v>
      </c>
      <c r="N4" s="75">
        <v>0.5</v>
      </c>
      <c r="O4" s="75">
        <v>0.9</v>
      </c>
      <c r="P4" s="75">
        <v>0.1</v>
      </c>
      <c r="Q4" s="75">
        <v>0.6</v>
      </c>
      <c r="R4" s="75">
        <v>0.2</v>
      </c>
      <c r="S4" s="75">
        <v>0.3</v>
      </c>
      <c r="T4" s="75">
        <v>0.6</v>
      </c>
      <c r="U4" s="75">
        <v>0.7</v>
      </c>
      <c r="V4" s="75">
        <v>0.5</v>
      </c>
      <c r="W4" s="75">
        <v>0.6</v>
      </c>
      <c r="X4" s="75">
        <v>0.9</v>
      </c>
      <c r="Y4" s="75">
        <v>0.4</v>
      </c>
      <c r="Z4" s="75">
        <v>0.6</v>
      </c>
      <c r="AA4" s="75">
        <v>0.3</v>
      </c>
      <c r="AB4" s="75">
        <v>0.4</v>
      </c>
      <c r="AC4" s="75">
        <v>0.3</v>
      </c>
      <c r="AD4" s="75">
        <v>0.5</v>
      </c>
      <c r="AE4" s="75">
        <v>0.4</v>
      </c>
      <c r="AF4" s="75"/>
      <c r="AG4" s="46">
        <f t="shared" ref="AG4:AG32" si="0">SUM(B4:AF4)</f>
        <v>16.2</v>
      </c>
      <c r="AH4" s="47"/>
      <c r="AI4" s="48"/>
    </row>
    <row r="5" spans="1:35" s="44" customFormat="1" ht="18.75" customHeight="1" x14ac:dyDescent="0.35">
      <c r="A5" s="60" t="s">
        <v>83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5">
        <v>2.1</v>
      </c>
      <c r="C6" s="75">
        <v>2</v>
      </c>
      <c r="D6" s="75">
        <v>1.8</v>
      </c>
      <c r="E6" s="75">
        <v>1.3</v>
      </c>
      <c r="F6" s="75">
        <v>1.6</v>
      </c>
      <c r="G6" s="75">
        <v>2.2000000000000002</v>
      </c>
      <c r="H6" s="75">
        <v>2.7</v>
      </c>
      <c r="I6" s="75">
        <v>3</v>
      </c>
      <c r="J6" s="75">
        <v>2.6</v>
      </c>
      <c r="K6" s="75">
        <v>2.2999999999999998</v>
      </c>
      <c r="L6" s="75">
        <v>2.4</v>
      </c>
      <c r="M6" s="75">
        <v>2</v>
      </c>
      <c r="N6" s="75">
        <v>1.9</v>
      </c>
      <c r="O6" s="75">
        <v>2.1</v>
      </c>
      <c r="P6" s="75">
        <v>2.2000000000000002</v>
      </c>
      <c r="Q6" s="75">
        <v>1.7</v>
      </c>
      <c r="R6" s="75">
        <v>2.9</v>
      </c>
      <c r="S6" s="75">
        <v>2.7</v>
      </c>
      <c r="T6" s="75">
        <v>1.3</v>
      </c>
      <c r="U6" s="75">
        <v>2</v>
      </c>
      <c r="V6" s="75">
        <v>2.2999999999999998</v>
      </c>
      <c r="W6" s="75">
        <v>2.1</v>
      </c>
      <c r="X6" s="75">
        <v>1.7</v>
      </c>
      <c r="Y6" s="75">
        <v>1.9</v>
      </c>
      <c r="Z6" s="75">
        <v>1</v>
      </c>
      <c r="AA6" s="75">
        <v>3</v>
      </c>
      <c r="AB6" s="75">
        <v>2.2000000000000002</v>
      </c>
      <c r="AC6" s="75">
        <v>1.7</v>
      </c>
      <c r="AD6" s="75">
        <v>1.9</v>
      </c>
      <c r="AE6" s="75">
        <v>2</v>
      </c>
      <c r="AF6" s="75"/>
      <c r="AG6" s="46">
        <f t="shared" si="0"/>
        <v>62.600000000000009</v>
      </c>
      <c r="AH6" s="48"/>
      <c r="AI6" s="48"/>
    </row>
    <row r="7" spans="1:35" s="44" customFormat="1" ht="18.75" customHeight="1" x14ac:dyDescent="0.35">
      <c r="A7" s="60" t="s">
        <v>64</v>
      </c>
      <c r="B7" s="75">
        <v>0.8</v>
      </c>
      <c r="C7" s="75">
        <v>0.6</v>
      </c>
      <c r="D7" s="75">
        <v>0.7</v>
      </c>
      <c r="E7" s="75">
        <v>0.8</v>
      </c>
      <c r="F7" s="75">
        <v>0.5</v>
      </c>
      <c r="G7" s="75">
        <v>0.7</v>
      </c>
      <c r="H7" s="75">
        <v>0.6</v>
      </c>
      <c r="I7" s="75">
        <v>0.7</v>
      </c>
      <c r="J7" s="50">
        <v>0.8</v>
      </c>
      <c r="K7" s="50">
        <v>0.7</v>
      </c>
      <c r="L7" s="50">
        <v>0.9</v>
      </c>
      <c r="M7" s="50">
        <v>0.5</v>
      </c>
      <c r="N7" s="50">
        <v>0.7</v>
      </c>
      <c r="O7" s="50">
        <v>0.8</v>
      </c>
      <c r="P7" s="50">
        <v>0.9</v>
      </c>
      <c r="Q7" s="50">
        <v>0.7</v>
      </c>
      <c r="R7" s="50">
        <v>0.7</v>
      </c>
      <c r="S7" s="50">
        <v>0.5</v>
      </c>
      <c r="T7" s="50">
        <v>0.4</v>
      </c>
      <c r="U7" s="50">
        <v>0.5</v>
      </c>
      <c r="V7" s="50">
        <v>0.6</v>
      </c>
      <c r="W7" s="50">
        <v>0.7</v>
      </c>
      <c r="X7" s="50">
        <v>0.7</v>
      </c>
      <c r="Y7" s="50">
        <v>0.5</v>
      </c>
      <c r="Z7" s="50">
        <v>0.8</v>
      </c>
      <c r="AA7" s="50">
        <v>0.7</v>
      </c>
      <c r="AB7" s="50">
        <v>0.8</v>
      </c>
      <c r="AC7" s="50">
        <v>0.7</v>
      </c>
      <c r="AD7" s="50">
        <v>0.6</v>
      </c>
      <c r="AE7" s="50">
        <v>0.5</v>
      </c>
      <c r="AF7" s="50"/>
      <c r="AG7" s="46">
        <f t="shared" si="0"/>
        <v>20.099999999999998</v>
      </c>
      <c r="AH7" s="48"/>
      <c r="AI7" s="48"/>
    </row>
    <row r="8" spans="1:35" s="44" customFormat="1" ht="18.75" customHeight="1" x14ac:dyDescent="0.35">
      <c r="A8" s="60" t="s">
        <v>65</v>
      </c>
      <c r="B8" s="50">
        <v>4</v>
      </c>
      <c r="C8" s="50">
        <v>3.7</v>
      </c>
      <c r="D8" s="50">
        <v>3.9</v>
      </c>
      <c r="E8" s="50">
        <v>3.5</v>
      </c>
      <c r="F8" s="50">
        <v>2.9</v>
      </c>
      <c r="G8" s="50">
        <v>3</v>
      </c>
      <c r="H8" s="50">
        <v>3.1</v>
      </c>
      <c r="I8" s="50">
        <v>0</v>
      </c>
      <c r="J8" s="50">
        <v>2.9</v>
      </c>
      <c r="K8" s="50">
        <v>3.1</v>
      </c>
      <c r="L8" s="50">
        <v>2.1</v>
      </c>
      <c r="M8" s="50">
        <v>2.2000000000000002</v>
      </c>
      <c r="N8" s="50">
        <v>3.5</v>
      </c>
      <c r="O8" s="50">
        <v>3.2</v>
      </c>
      <c r="P8" s="50">
        <v>3</v>
      </c>
      <c r="Q8" s="50">
        <v>2.9</v>
      </c>
      <c r="R8" s="50">
        <v>3.1</v>
      </c>
      <c r="S8" s="50">
        <v>2.8</v>
      </c>
      <c r="T8" s="50">
        <v>3.2</v>
      </c>
      <c r="U8" s="50">
        <v>2.1</v>
      </c>
      <c r="V8" s="50">
        <v>3.1</v>
      </c>
      <c r="W8" s="50">
        <v>3.5</v>
      </c>
      <c r="X8" s="50">
        <v>2.1</v>
      </c>
      <c r="Y8" s="50">
        <v>3.1</v>
      </c>
      <c r="Z8" s="50">
        <v>3.1</v>
      </c>
      <c r="AA8" s="50">
        <v>3.1</v>
      </c>
      <c r="AB8" s="50">
        <v>2.1</v>
      </c>
      <c r="AC8" s="50">
        <v>3</v>
      </c>
      <c r="AD8" s="50">
        <v>2.9</v>
      </c>
      <c r="AE8" s="50">
        <v>2.8</v>
      </c>
      <c r="AF8" s="50"/>
      <c r="AG8" s="46">
        <f t="shared" si="0"/>
        <v>86.999999999999986</v>
      </c>
      <c r="AH8" s="48"/>
      <c r="AI8" s="48"/>
    </row>
    <row r="9" spans="1:35" s="44" customFormat="1" ht="18.75" customHeight="1" x14ac:dyDescent="0.35">
      <c r="A9" s="60" t="s">
        <v>66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5"/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5"/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46">
        <f t="shared" si="0"/>
        <v>0</v>
      </c>
      <c r="AH11" s="48"/>
      <c r="AI11" s="48"/>
    </row>
    <row r="12" spans="1:35" s="44" customFormat="1" ht="33.75" x14ac:dyDescent="0.35">
      <c r="A12" s="60" t="s">
        <v>91</v>
      </c>
      <c r="B12" s="75">
        <v>1.5</v>
      </c>
      <c r="C12" s="75">
        <v>1</v>
      </c>
      <c r="D12" s="75">
        <v>1.1000000000000001</v>
      </c>
      <c r="E12" s="75">
        <v>0.4</v>
      </c>
      <c r="F12" s="75">
        <v>0.6</v>
      </c>
      <c r="G12" s="75">
        <v>0.7</v>
      </c>
      <c r="H12" s="75">
        <v>0.4</v>
      </c>
      <c r="I12" s="75">
        <v>0.8</v>
      </c>
      <c r="J12" s="75">
        <v>1</v>
      </c>
      <c r="K12" s="75">
        <v>1.3</v>
      </c>
      <c r="L12" s="75">
        <v>1</v>
      </c>
      <c r="M12" s="75">
        <v>0.3</v>
      </c>
      <c r="N12" s="75">
        <v>0.5</v>
      </c>
      <c r="O12" s="75">
        <v>0.6</v>
      </c>
      <c r="P12" s="75">
        <v>0.5</v>
      </c>
      <c r="Q12" s="75">
        <v>0.8</v>
      </c>
      <c r="R12" s="75">
        <v>1</v>
      </c>
      <c r="S12" s="75">
        <v>1.1000000000000001</v>
      </c>
      <c r="T12" s="75">
        <v>1</v>
      </c>
      <c r="U12" s="75">
        <v>0.8</v>
      </c>
      <c r="V12" s="75">
        <v>1</v>
      </c>
      <c r="W12" s="75">
        <v>0.7</v>
      </c>
      <c r="X12" s="75">
        <v>0.6</v>
      </c>
      <c r="Y12" s="75">
        <v>0.7</v>
      </c>
      <c r="Z12" s="75">
        <v>0.6</v>
      </c>
      <c r="AA12" s="75">
        <v>0.9</v>
      </c>
      <c r="AB12" s="75">
        <v>0</v>
      </c>
      <c r="AC12" s="75">
        <v>0</v>
      </c>
      <c r="AD12" s="75">
        <v>0</v>
      </c>
      <c r="AE12" s="75">
        <v>0</v>
      </c>
      <c r="AF12" s="75"/>
      <c r="AG12" s="46">
        <f t="shared" si="0"/>
        <v>20.900000000000002</v>
      </c>
    </row>
    <row r="13" spans="1:35" s="44" customFormat="1" ht="21" x14ac:dyDescent="0.35">
      <c r="A13" s="60" t="s">
        <v>69</v>
      </c>
      <c r="B13" s="129"/>
      <c r="C13" s="129"/>
      <c r="D13" s="129"/>
      <c r="E13" s="129"/>
      <c r="F13" s="129"/>
      <c r="G13" s="129"/>
      <c r="H13" s="129"/>
      <c r="I13" s="129"/>
      <c r="J13" s="129"/>
      <c r="K13" s="129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29"/>
      <c r="Y13" s="129"/>
      <c r="Z13" s="129"/>
      <c r="AA13" s="129"/>
      <c r="AB13" s="129"/>
      <c r="AC13" s="129"/>
      <c r="AD13" s="129"/>
      <c r="AE13" s="129"/>
      <c r="AF13" s="129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5">
        <v>2.5</v>
      </c>
      <c r="C14" s="75">
        <v>2.8</v>
      </c>
      <c r="D14" s="75">
        <v>3</v>
      </c>
      <c r="E14" s="75">
        <v>3.1</v>
      </c>
      <c r="F14" s="75">
        <v>2.9</v>
      </c>
      <c r="G14" s="75">
        <v>2.6</v>
      </c>
      <c r="H14" s="75">
        <v>2.7</v>
      </c>
      <c r="I14" s="75">
        <v>3.1</v>
      </c>
      <c r="J14" s="75">
        <v>2.1</v>
      </c>
      <c r="K14" s="75">
        <v>2.9</v>
      </c>
      <c r="L14" s="75">
        <v>3.1</v>
      </c>
      <c r="M14" s="75">
        <v>2.6</v>
      </c>
      <c r="N14" s="75">
        <v>2.7</v>
      </c>
      <c r="O14" s="75">
        <v>2.5</v>
      </c>
      <c r="P14" s="75">
        <v>3</v>
      </c>
      <c r="Q14" s="75">
        <v>3</v>
      </c>
      <c r="R14" s="75">
        <v>2.9</v>
      </c>
      <c r="S14" s="75">
        <v>3.1</v>
      </c>
      <c r="T14" s="75">
        <v>3.5</v>
      </c>
      <c r="U14" s="75">
        <v>2.6</v>
      </c>
      <c r="V14" s="75">
        <v>2.7</v>
      </c>
      <c r="W14" s="75">
        <v>2.8</v>
      </c>
      <c r="X14" s="75">
        <v>3</v>
      </c>
      <c r="Y14" s="122">
        <v>3.4</v>
      </c>
      <c r="Z14" s="122">
        <v>2.8</v>
      </c>
      <c r="AA14" s="122">
        <v>2.9</v>
      </c>
      <c r="AB14" s="122">
        <v>2.1</v>
      </c>
      <c r="AC14" s="122">
        <v>2.2000000000000002</v>
      </c>
      <c r="AD14" s="122">
        <v>3</v>
      </c>
      <c r="AE14" s="122">
        <v>3.1</v>
      </c>
      <c r="AF14" s="122"/>
      <c r="AG14" s="46">
        <f t="shared" si="0"/>
        <v>84.700000000000017</v>
      </c>
      <c r="AH14" s="48"/>
      <c r="AI14" s="48"/>
    </row>
    <row r="15" spans="1:35" s="44" customFormat="1" ht="18.75" customHeight="1" x14ac:dyDescent="0.35">
      <c r="A15" s="60" t="s">
        <v>72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5"/>
      <c r="C16" s="75"/>
      <c r="D16" s="75"/>
      <c r="E16" s="75"/>
      <c r="F16" s="75"/>
      <c r="G16" s="75"/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/>
      <c r="V16" s="75"/>
      <c r="W16" s="75"/>
      <c r="X16" s="75"/>
      <c r="Y16" s="75"/>
      <c r="Z16" s="75"/>
      <c r="AA16" s="75"/>
      <c r="AB16" s="75"/>
      <c r="AC16" s="75"/>
      <c r="AD16" s="75"/>
      <c r="AE16" s="75"/>
      <c r="AF16" s="75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5"/>
      <c r="C17" s="75"/>
      <c r="D17" s="75"/>
      <c r="E17" s="75"/>
      <c r="F17" s="75"/>
      <c r="G17" s="75"/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  <c r="AA17" s="75"/>
      <c r="AB17" s="75"/>
      <c r="AC17" s="75"/>
      <c r="AD17" s="75"/>
      <c r="AE17" s="75"/>
      <c r="AF17" s="75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75"/>
      <c r="C18" s="75"/>
      <c r="D18" s="75"/>
      <c r="E18" s="75"/>
      <c r="F18" s="75"/>
      <c r="G18" s="75"/>
      <c r="H18" s="75"/>
      <c r="I18" s="75"/>
      <c r="J18" s="75"/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  <c r="AA18" s="75"/>
      <c r="AB18" s="75"/>
      <c r="AC18" s="75"/>
      <c r="AD18" s="75"/>
      <c r="AE18" s="75"/>
      <c r="AF18" s="75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75"/>
      <c r="C19" s="75"/>
      <c r="D19" s="75"/>
      <c r="E19" s="75"/>
      <c r="F19" s="75"/>
      <c r="G19" s="75"/>
      <c r="H19" s="75"/>
      <c r="I19" s="75"/>
      <c r="J19" s="75"/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75"/>
      <c r="AB19" s="75"/>
      <c r="AC19" s="75"/>
      <c r="AD19" s="75"/>
      <c r="AE19" s="75"/>
      <c r="AF19" s="75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5"/>
      <c r="C20" s="75"/>
      <c r="D20" s="75"/>
      <c r="E20" s="75"/>
      <c r="F20" s="75"/>
      <c r="G20" s="75"/>
      <c r="H20" s="75"/>
      <c r="I20" s="75"/>
      <c r="J20" s="75"/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  <c r="AA20" s="75"/>
      <c r="AB20" s="75"/>
      <c r="AC20" s="75"/>
      <c r="AD20" s="75"/>
      <c r="AE20" s="75"/>
      <c r="AF20" s="75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5">
        <v>2.9</v>
      </c>
      <c r="C21" s="75">
        <v>3.4</v>
      </c>
      <c r="D21" s="75">
        <v>4.2</v>
      </c>
      <c r="E21" s="75">
        <v>4.3</v>
      </c>
      <c r="F21" s="75">
        <v>4.9000000000000004</v>
      </c>
      <c r="G21" s="75">
        <v>3.3</v>
      </c>
      <c r="H21" s="75">
        <v>3.7</v>
      </c>
      <c r="I21" s="75">
        <v>0</v>
      </c>
      <c r="J21" s="75">
        <v>5.2</v>
      </c>
      <c r="K21" s="75">
        <v>5.3</v>
      </c>
      <c r="L21" s="75">
        <v>4.2</v>
      </c>
      <c r="M21" s="75">
        <v>3.9</v>
      </c>
      <c r="N21" s="75">
        <v>5</v>
      </c>
      <c r="O21" s="75">
        <v>4.9000000000000004</v>
      </c>
      <c r="P21" s="75">
        <v>6.5</v>
      </c>
      <c r="Q21" s="75">
        <v>3.6</v>
      </c>
      <c r="R21" s="75">
        <v>3.9</v>
      </c>
      <c r="S21" s="75">
        <v>4.4000000000000004</v>
      </c>
      <c r="T21" s="75">
        <v>3.7</v>
      </c>
      <c r="U21" s="75">
        <v>3.3</v>
      </c>
      <c r="V21" s="75">
        <v>4.5999999999999996</v>
      </c>
      <c r="W21" s="75">
        <v>4.5999999999999996</v>
      </c>
      <c r="X21" s="75">
        <v>4.9000000000000004</v>
      </c>
      <c r="Y21" s="75">
        <v>5</v>
      </c>
      <c r="Z21" s="75">
        <v>4.2</v>
      </c>
      <c r="AA21" s="75">
        <v>4.2</v>
      </c>
      <c r="AB21" s="75">
        <v>5.2</v>
      </c>
      <c r="AC21" s="75">
        <v>4.7</v>
      </c>
      <c r="AD21" s="75">
        <v>4.2</v>
      </c>
      <c r="AE21" s="75">
        <v>4.3</v>
      </c>
      <c r="AF21" s="75"/>
      <c r="AG21" s="46">
        <f t="shared" si="0"/>
        <v>126.50000000000001</v>
      </c>
      <c r="AH21" s="48"/>
      <c r="AI21" s="48"/>
    </row>
    <row r="22" spans="1:35" s="44" customFormat="1" ht="18.75" customHeight="1" x14ac:dyDescent="0.35">
      <c r="A22" s="60" t="s">
        <v>75</v>
      </c>
      <c r="B22" s="75"/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5"/>
      <c r="C23" s="75"/>
      <c r="D23" s="75"/>
      <c r="E23" s="75"/>
      <c r="F23" s="75"/>
      <c r="G23" s="75"/>
      <c r="H23" s="75"/>
      <c r="I23" s="75"/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/>
      <c r="V23" s="75"/>
      <c r="W23" s="75"/>
      <c r="X23" s="75"/>
      <c r="Y23" s="75"/>
      <c r="Z23" s="75"/>
      <c r="AA23" s="75"/>
      <c r="AB23" s="75"/>
      <c r="AC23" s="75"/>
      <c r="AD23" s="75"/>
      <c r="AE23" s="75"/>
      <c r="AF23" s="75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5"/>
      <c r="C25" s="75"/>
      <c r="D25" s="75"/>
      <c r="E25" s="75"/>
      <c r="F25" s="75"/>
      <c r="G25" s="75"/>
      <c r="H25" s="75"/>
      <c r="I25" s="75"/>
      <c r="J25" s="75"/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/>
      <c r="V25" s="75"/>
      <c r="W25" s="75"/>
      <c r="X25" s="75"/>
      <c r="Y25" s="75"/>
      <c r="Z25" s="75"/>
      <c r="AA25" s="75"/>
      <c r="AB25" s="75"/>
      <c r="AC25" s="75"/>
      <c r="AD25" s="75"/>
      <c r="AE25" s="75"/>
      <c r="AF25" s="75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122"/>
      <c r="C26" s="122"/>
      <c r="D26" s="122"/>
      <c r="E26" s="122"/>
      <c r="F26" s="122"/>
      <c r="G26" s="122"/>
      <c r="H26" s="122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114">
        <v>1.2</v>
      </c>
      <c r="C27" s="114">
        <v>1.5</v>
      </c>
      <c r="D27" s="114">
        <v>1</v>
      </c>
      <c r="E27" s="114">
        <v>1.4</v>
      </c>
      <c r="F27" s="114">
        <v>1.9</v>
      </c>
      <c r="G27" s="114">
        <v>1.3</v>
      </c>
      <c r="H27" s="114">
        <v>1.2</v>
      </c>
      <c r="I27" s="114">
        <v>1.1000000000000001</v>
      </c>
      <c r="J27" s="114">
        <v>1.5</v>
      </c>
      <c r="K27" s="114">
        <v>1</v>
      </c>
      <c r="L27" s="114">
        <v>1.4</v>
      </c>
      <c r="M27" s="114">
        <v>1.9</v>
      </c>
      <c r="N27" s="114">
        <v>1.3</v>
      </c>
      <c r="O27" s="114">
        <v>1.2</v>
      </c>
      <c r="P27" s="114">
        <v>1.1000000000000001</v>
      </c>
      <c r="Q27" s="114">
        <v>0</v>
      </c>
      <c r="R27" s="114">
        <v>1.2</v>
      </c>
      <c r="S27" s="114">
        <v>1</v>
      </c>
      <c r="T27" s="114">
        <v>1.9</v>
      </c>
      <c r="U27" s="114">
        <v>1.2</v>
      </c>
      <c r="V27" s="114">
        <v>1.3</v>
      </c>
      <c r="W27" s="114">
        <v>1.1000000000000001</v>
      </c>
      <c r="X27" s="114">
        <v>1.2</v>
      </c>
      <c r="Y27" s="114">
        <v>1.9</v>
      </c>
      <c r="Z27" s="114">
        <v>1.5</v>
      </c>
      <c r="AA27" s="114">
        <v>1.4</v>
      </c>
      <c r="AB27" s="114">
        <v>1.9</v>
      </c>
      <c r="AC27" s="114">
        <v>1.3</v>
      </c>
      <c r="AD27" s="114">
        <v>1.2</v>
      </c>
      <c r="AE27" s="114">
        <v>1.4</v>
      </c>
      <c r="AF27" s="114"/>
      <c r="AG27" s="46">
        <f t="shared" si="0"/>
        <v>39.499999999999993</v>
      </c>
      <c r="AH27" s="48"/>
      <c r="AI27" s="48"/>
    </row>
    <row r="28" spans="1:35" s="44" customFormat="1" ht="18.75" customHeight="1" x14ac:dyDescent="0.35">
      <c r="A28" s="60" t="s">
        <v>76</v>
      </c>
      <c r="B28" s="122">
        <v>0.9</v>
      </c>
      <c r="C28" s="122">
        <v>1</v>
      </c>
      <c r="D28" s="122">
        <v>0.5</v>
      </c>
      <c r="E28" s="122">
        <v>0.3</v>
      </c>
      <c r="F28" s="122">
        <v>1.2</v>
      </c>
      <c r="G28" s="122">
        <v>0.5</v>
      </c>
      <c r="H28" s="122">
        <v>1</v>
      </c>
      <c r="I28" s="122">
        <v>0.3</v>
      </c>
      <c r="J28" s="122">
        <v>0.8</v>
      </c>
      <c r="K28" s="122">
        <v>1.3</v>
      </c>
      <c r="L28" s="122">
        <v>1</v>
      </c>
      <c r="M28" s="122">
        <v>0.6</v>
      </c>
      <c r="N28" s="122">
        <v>1.2</v>
      </c>
      <c r="O28" s="122">
        <v>0.9</v>
      </c>
      <c r="P28" s="122">
        <v>1.5</v>
      </c>
      <c r="Q28" s="122">
        <v>0.9</v>
      </c>
      <c r="R28" s="122">
        <v>1.5</v>
      </c>
      <c r="S28" s="122">
        <v>1.2</v>
      </c>
      <c r="T28" s="122">
        <v>0.9</v>
      </c>
      <c r="U28" s="122">
        <v>0.9</v>
      </c>
      <c r="V28" s="122">
        <v>0.8</v>
      </c>
      <c r="W28" s="122">
        <v>1</v>
      </c>
      <c r="X28" s="122">
        <v>0.6</v>
      </c>
      <c r="Y28" s="122">
        <v>1.5</v>
      </c>
      <c r="Z28" s="122">
        <v>1.6</v>
      </c>
      <c r="AA28" s="122">
        <v>0.9</v>
      </c>
      <c r="AB28" s="122">
        <v>0.8</v>
      </c>
      <c r="AC28" s="122">
        <v>0.7</v>
      </c>
      <c r="AD28" s="122">
        <v>1.3</v>
      </c>
      <c r="AE28" s="122">
        <v>0.9</v>
      </c>
      <c r="AF28" s="122"/>
      <c r="AG28" s="46">
        <f t="shared" si="0"/>
        <v>28.499999999999996</v>
      </c>
      <c r="AH28" s="48"/>
      <c r="AI28" s="48"/>
    </row>
    <row r="29" spans="1:35" s="44" customFormat="1" ht="18.75" customHeight="1" x14ac:dyDescent="0.35">
      <c r="A29" s="60" t="s">
        <v>81</v>
      </c>
      <c r="B29" s="122"/>
      <c r="C29" s="122"/>
      <c r="D29" s="122"/>
      <c r="E29" s="122"/>
      <c r="F29" s="122"/>
      <c r="G29" s="122"/>
      <c r="H29" s="122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122">
        <v>0</v>
      </c>
      <c r="C30" s="122">
        <v>0</v>
      </c>
      <c r="D30" s="122">
        <v>6</v>
      </c>
      <c r="E30" s="122">
        <v>5</v>
      </c>
      <c r="F30" s="122">
        <v>0</v>
      </c>
      <c r="G30" s="122">
        <v>0</v>
      </c>
      <c r="H30" s="122">
        <v>10</v>
      </c>
      <c r="I30" s="122">
        <v>0</v>
      </c>
      <c r="J30" s="122">
        <v>10</v>
      </c>
      <c r="K30" s="122">
        <v>7</v>
      </c>
      <c r="L30" s="122">
        <v>10</v>
      </c>
      <c r="M30" s="122">
        <v>15</v>
      </c>
      <c r="N30" s="122">
        <v>12</v>
      </c>
      <c r="O30" s="122">
        <v>10</v>
      </c>
      <c r="P30" s="122">
        <v>6</v>
      </c>
      <c r="Q30" s="122">
        <v>6</v>
      </c>
      <c r="R30" s="122">
        <v>9</v>
      </c>
      <c r="S30" s="122">
        <v>1</v>
      </c>
      <c r="T30" s="122">
        <v>2</v>
      </c>
      <c r="U30" s="122">
        <v>1</v>
      </c>
      <c r="V30" s="122">
        <v>2</v>
      </c>
      <c r="W30" s="122">
        <v>2</v>
      </c>
      <c r="X30" s="122">
        <v>2</v>
      </c>
      <c r="Y30" s="122">
        <v>1</v>
      </c>
      <c r="Z30" s="122">
        <v>3</v>
      </c>
      <c r="AA30" s="122">
        <v>2</v>
      </c>
      <c r="AB30" s="122">
        <v>1</v>
      </c>
      <c r="AC30" s="122">
        <v>2</v>
      </c>
      <c r="AD30" s="122">
        <v>3</v>
      </c>
      <c r="AE30" s="122">
        <v>4</v>
      </c>
      <c r="AF30" s="122"/>
      <c r="AG30" s="46">
        <f t="shared" si="0"/>
        <v>132</v>
      </c>
      <c r="AH30" s="48"/>
      <c r="AI30" s="48"/>
    </row>
    <row r="31" spans="1:35" s="44" customFormat="1" ht="18.75" customHeight="1" x14ac:dyDescent="0.35">
      <c r="A31" s="60" t="s">
        <v>82</v>
      </c>
      <c r="B31" s="122"/>
      <c r="C31" s="122"/>
      <c r="D31" s="122"/>
      <c r="E31" s="122"/>
      <c r="F31" s="122"/>
      <c r="G31" s="122"/>
      <c r="H31" s="122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122"/>
      <c r="C32" s="122"/>
      <c r="D32" s="122"/>
      <c r="E32" s="122"/>
      <c r="F32" s="122"/>
      <c r="G32" s="122"/>
      <c r="H32" s="122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16.8</v>
      </c>
      <c r="C33" s="70">
        <f t="shared" ref="C33:AF33" si="1">SUM(C3:C32)</f>
        <v>17.299999999999997</v>
      </c>
      <c r="D33" s="70">
        <f t="shared" si="1"/>
        <v>23.5</v>
      </c>
      <c r="E33" s="70">
        <f t="shared" si="1"/>
        <v>21.4</v>
      </c>
      <c r="F33" s="70">
        <f t="shared" si="1"/>
        <v>17.7</v>
      </c>
      <c r="G33" s="70">
        <f t="shared" si="1"/>
        <v>14.400000000000002</v>
      </c>
      <c r="H33" s="70">
        <f t="shared" si="1"/>
        <v>26.5</v>
      </c>
      <c r="I33" s="70">
        <f t="shared" si="1"/>
        <v>10.1</v>
      </c>
      <c r="J33" s="70">
        <f t="shared" si="1"/>
        <v>27.5</v>
      </c>
      <c r="K33" s="70">
        <f t="shared" si="1"/>
        <v>26.1</v>
      </c>
      <c r="L33" s="70">
        <f t="shared" si="1"/>
        <v>27.099999999999998</v>
      </c>
      <c r="M33" s="70">
        <f t="shared" si="1"/>
        <v>29.8</v>
      </c>
      <c r="N33" s="70">
        <f t="shared" si="1"/>
        <v>29.3</v>
      </c>
      <c r="O33" s="70">
        <f t="shared" si="1"/>
        <v>27.4</v>
      </c>
      <c r="P33" s="70">
        <f t="shared" si="1"/>
        <v>25</v>
      </c>
      <c r="Q33" s="70">
        <f t="shared" si="1"/>
        <v>20.3</v>
      </c>
      <c r="R33" s="70">
        <f t="shared" si="1"/>
        <v>26.5</v>
      </c>
      <c r="S33" s="70">
        <f t="shared" si="1"/>
        <v>18.7</v>
      </c>
      <c r="T33" s="70">
        <f t="shared" si="1"/>
        <v>18.600000000000001</v>
      </c>
      <c r="U33" s="70">
        <f t="shared" si="1"/>
        <v>15.1</v>
      </c>
      <c r="V33" s="70">
        <f t="shared" si="1"/>
        <v>19.3</v>
      </c>
      <c r="W33" s="70">
        <f t="shared" si="1"/>
        <v>20</v>
      </c>
      <c r="X33" s="70">
        <f t="shared" si="1"/>
        <v>18.2</v>
      </c>
      <c r="Y33" s="70">
        <f t="shared" si="1"/>
        <v>20</v>
      </c>
      <c r="Z33" s="70">
        <f t="shared" si="1"/>
        <v>19.5</v>
      </c>
      <c r="AA33" s="70">
        <f t="shared" si="1"/>
        <v>19.899999999999999</v>
      </c>
      <c r="AB33" s="70">
        <f t="shared" si="1"/>
        <v>16.5</v>
      </c>
      <c r="AC33" s="70">
        <f t="shared" si="1"/>
        <v>17.2</v>
      </c>
      <c r="AD33" s="70">
        <f t="shared" si="1"/>
        <v>19.5</v>
      </c>
      <c r="AE33" s="70">
        <f t="shared" si="1"/>
        <v>20.100000000000001</v>
      </c>
      <c r="AF33" s="70">
        <f t="shared" si="1"/>
        <v>0</v>
      </c>
      <c r="AG33" s="56">
        <f>SUM(B33:AF33)</f>
        <v>629.30000000000007</v>
      </c>
      <c r="AH33" s="48"/>
      <c r="AI33" s="48"/>
    </row>
    <row r="34" spans="1:35" ht="21" x14ac:dyDescent="0.35">
      <c r="AG34" s="128">
        <f>SUM(AG3:AG32)</f>
        <v>629.29999999999995</v>
      </c>
    </row>
  </sheetData>
  <mergeCells count="1">
    <mergeCell ref="A1:AG1"/>
  </mergeCells>
  <conditionalFormatting sqref="AG33">
    <cfRule type="cellIs" dxfId="23" priority="1" operator="equal">
      <formula>$AG$34</formula>
    </cfRule>
    <cfRule type="cellIs" dxfId="22" priority="2" operator="equal">
      <formula>#REF!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84.42578125" bestFit="1" customWidth="1"/>
    <col min="2" max="8" width="7.85546875" customWidth="1"/>
    <col min="9" max="9" width="11" customWidth="1"/>
    <col min="10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C5" s="49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>SUM(C5:AF5)</f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51"/>
      <c r="D17" s="51"/>
      <c r="E17" s="51"/>
      <c r="F17" s="51"/>
      <c r="G17" s="51"/>
      <c r="H17" s="51"/>
      <c r="I17" s="51"/>
      <c r="J17" s="51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1"/>
      <c r="G21" s="51"/>
      <c r="H21" s="51"/>
      <c r="I21" s="51"/>
      <c r="J21" s="51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49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49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51"/>
      <c r="D29" s="51"/>
      <c r="E29" s="51"/>
      <c r="F29" s="51"/>
      <c r="G29" s="51"/>
      <c r="H29" s="51"/>
      <c r="I29" s="51"/>
      <c r="J29" s="51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0</v>
      </c>
      <c r="C33" s="51">
        <f t="shared" si="1"/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SUM(AG3:AG32)</f>
        <v>0</v>
      </c>
    </row>
    <row r="35" spans="1:35" s="2" customFormat="1" x14ac:dyDescent="0.25"/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v>1.3</v>
      </c>
      <c r="C3" s="88">
        <v>0.7</v>
      </c>
      <c r="D3" s="85">
        <v>1.1000000000000001</v>
      </c>
      <c r="E3" s="85">
        <v>0.3</v>
      </c>
      <c r="F3" s="85">
        <v>1.7</v>
      </c>
      <c r="G3" s="86">
        <v>1.9</v>
      </c>
      <c r="H3" s="85">
        <v>1.3</v>
      </c>
      <c r="I3" s="86">
        <v>0.9</v>
      </c>
      <c r="J3" s="85">
        <v>1.3</v>
      </c>
      <c r="K3" s="86">
        <v>0.7</v>
      </c>
      <c r="L3" s="85">
        <v>0.5</v>
      </c>
      <c r="M3" s="86">
        <v>0.2</v>
      </c>
      <c r="N3" s="85">
        <v>1</v>
      </c>
      <c r="O3" s="85">
        <v>0.7</v>
      </c>
      <c r="P3" s="86">
        <v>0.9</v>
      </c>
      <c r="Q3" s="85">
        <v>0.5</v>
      </c>
      <c r="R3" s="85">
        <v>0.5</v>
      </c>
      <c r="S3" s="86">
        <v>0.7</v>
      </c>
      <c r="T3" s="86">
        <v>0.9</v>
      </c>
      <c r="U3" s="86">
        <v>1.3</v>
      </c>
      <c r="V3" s="86">
        <v>0.5</v>
      </c>
      <c r="W3" s="85">
        <v>0.3</v>
      </c>
      <c r="X3" s="85">
        <v>0.4</v>
      </c>
      <c r="Y3" s="85">
        <v>0.5</v>
      </c>
      <c r="Z3" s="85">
        <v>0.4</v>
      </c>
      <c r="AA3" s="85">
        <v>0.5</v>
      </c>
      <c r="AB3" s="85">
        <v>0.6</v>
      </c>
      <c r="AC3" s="85">
        <v>0.3</v>
      </c>
      <c r="AD3" s="85">
        <v>1.1000000000000001</v>
      </c>
      <c r="AE3" s="85">
        <v>1.9</v>
      </c>
      <c r="AF3" s="85">
        <v>1.3</v>
      </c>
      <c r="AG3" s="103">
        <f>SUM(B3:AF3)</f>
        <v>26.2</v>
      </c>
      <c r="AH3" s="119"/>
      <c r="AI3" s="120"/>
    </row>
    <row r="4" spans="1:35" s="91" customFormat="1" ht="33" customHeight="1" x14ac:dyDescent="0.25">
      <c r="A4" s="138" t="s">
        <v>193</v>
      </c>
      <c r="B4" s="85">
        <v>1.3</v>
      </c>
      <c r="C4" s="91">
        <v>0.7</v>
      </c>
      <c r="D4" s="85">
        <v>1.1000000000000001</v>
      </c>
      <c r="E4" s="85">
        <v>0.3</v>
      </c>
      <c r="F4" s="85">
        <v>1.7</v>
      </c>
      <c r="G4" s="86">
        <v>1.9</v>
      </c>
      <c r="H4" s="85">
        <v>1.3</v>
      </c>
      <c r="I4" s="86">
        <v>0.9</v>
      </c>
      <c r="J4" s="85">
        <v>1.3</v>
      </c>
      <c r="K4" s="86">
        <v>0.7</v>
      </c>
      <c r="L4" s="85">
        <v>0.5</v>
      </c>
      <c r="M4" s="86">
        <v>0.2</v>
      </c>
      <c r="N4" s="85">
        <v>1</v>
      </c>
      <c r="O4" s="85">
        <v>0.7</v>
      </c>
      <c r="P4" s="86">
        <v>0.9</v>
      </c>
      <c r="Q4" s="85">
        <v>0.5</v>
      </c>
      <c r="R4" s="85">
        <v>0.5</v>
      </c>
      <c r="S4" s="86">
        <v>0.7</v>
      </c>
      <c r="T4" s="86">
        <v>0.9</v>
      </c>
      <c r="U4" s="86">
        <v>1.3</v>
      </c>
      <c r="V4" s="86">
        <v>0.5</v>
      </c>
      <c r="W4" s="85">
        <v>0.3</v>
      </c>
      <c r="X4" s="85">
        <v>0.4</v>
      </c>
      <c r="Y4" s="85">
        <v>0.5</v>
      </c>
      <c r="Z4" s="85">
        <v>0.4</v>
      </c>
      <c r="AA4" s="85">
        <v>0.5</v>
      </c>
      <c r="AB4" s="85">
        <v>0.6</v>
      </c>
      <c r="AC4" s="85">
        <v>0.3</v>
      </c>
      <c r="AD4" s="85">
        <v>1.1000000000000001</v>
      </c>
      <c r="AE4" s="85">
        <v>1.9</v>
      </c>
      <c r="AF4" s="85">
        <v>1.3</v>
      </c>
      <c r="AG4" s="103">
        <f t="shared" ref="AG4:AG33" si="0">SUM(B4:AF4)</f>
        <v>26.2</v>
      </c>
      <c r="AH4" s="120"/>
      <c r="AI4" s="120"/>
    </row>
    <row r="5" spans="1:35" s="91" customFormat="1" ht="18.75" customHeight="1" x14ac:dyDescent="0.25">
      <c r="A5" s="62" t="s">
        <v>83</v>
      </c>
      <c r="B5" s="87">
        <v>1.3</v>
      </c>
      <c r="C5" s="87">
        <v>1.1000000000000001</v>
      </c>
      <c r="D5" s="87">
        <v>1.9</v>
      </c>
      <c r="E5" s="87">
        <v>0</v>
      </c>
      <c r="F5" s="87">
        <v>0</v>
      </c>
      <c r="G5" s="87">
        <v>0</v>
      </c>
      <c r="H5" s="87">
        <v>0</v>
      </c>
      <c r="I5" s="87">
        <v>0</v>
      </c>
      <c r="J5" s="87">
        <v>0</v>
      </c>
      <c r="K5" s="87">
        <v>0</v>
      </c>
      <c r="L5" s="87">
        <v>0</v>
      </c>
      <c r="M5" s="87">
        <v>0</v>
      </c>
      <c r="N5" s="87">
        <v>2.8</v>
      </c>
      <c r="O5" s="87">
        <v>2.2000000000000002</v>
      </c>
      <c r="P5" s="87">
        <v>3.1</v>
      </c>
      <c r="Q5" s="87">
        <v>2.2999999999999998</v>
      </c>
      <c r="R5" s="87">
        <v>2.8</v>
      </c>
      <c r="S5" s="87">
        <v>0</v>
      </c>
      <c r="T5" s="87">
        <v>0</v>
      </c>
      <c r="U5" s="87">
        <v>0</v>
      </c>
      <c r="V5" s="87">
        <v>0</v>
      </c>
      <c r="W5" s="87">
        <v>0</v>
      </c>
      <c r="X5" s="87">
        <v>0</v>
      </c>
      <c r="Y5" s="87">
        <v>0</v>
      </c>
      <c r="Z5" s="87">
        <v>0</v>
      </c>
      <c r="AA5" s="87">
        <v>3.3</v>
      </c>
      <c r="AB5" s="87">
        <v>3.1</v>
      </c>
      <c r="AC5" s="87">
        <v>1.5</v>
      </c>
      <c r="AD5" s="87">
        <v>1.1000000000000001</v>
      </c>
      <c r="AE5" s="87">
        <v>1.3</v>
      </c>
      <c r="AF5" s="87">
        <v>1.4</v>
      </c>
      <c r="AG5" s="103">
        <f t="shared" si="0"/>
        <v>29.200000000000003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>
        <v>0</v>
      </c>
      <c r="C8" s="86">
        <v>0</v>
      </c>
      <c r="D8" s="86">
        <v>0</v>
      </c>
      <c r="E8" s="86">
        <v>0</v>
      </c>
      <c r="F8" s="86">
        <v>0</v>
      </c>
      <c r="G8" s="86">
        <v>0</v>
      </c>
      <c r="H8" s="86">
        <v>0</v>
      </c>
      <c r="I8" s="86">
        <v>0</v>
      </c>
      <c r="J8" s="86">
        <v>2.1</v>
      </c>
      <c r="K8" s="86">
        <v>0</v>
      </c>
      <c r="L8" s="86">
        <v>0</v>
      </c>
      <c r="M8" s="86">
        <v>4.8</v>
      </c>
      <c r="N8" s="86">
        <v>0</v>
      </c>
      <c r="O8" s="86">
        <v>0</v>
      </c>
      <c r="P8" s="86">
        <v>0</v>
      </c>
      <c r="Q8" s="86">
        <v>3.5</v>
      </c>
      <c r="R8" s="86">
        <v>0</v>
      </c>
      <c r="S8" s="86">
        <v>0</v>
      </c>
      <c r="T8" s="86">
        <v>0</v>
      </c>
      <c r="U8" s="86">
        <v>4.3</v>
      </c>
      <c r="V8" s="86">
        <v>2.1</v>
      </c>
      <c r="W8" s="86">
        <v>2</v>
      </c>
      <c r="X8" s="86">
        <v>1.5</v>
      </c>
      <c r="Y8" s="86">
        <v>3</v>
      </c>
      <c r="Z8" s="86">
        <v>2.1</v>
      </c>
      <c r="AA8" s="86">
        <v>3.1</v>
      </c>
      <c r="AB8" s="86">
        <v>0</v>
      </c>
      <c r="AC8" s="86">
        <v>4.3</v>
      </c>
      <c r="AD8" s="86">
        <v>1.9</v>
      </c>
      <c r="AE8" s="86">
        <v>2</v>
      </c>
      <c r="AF8" s="86">
        <v>2.1</v>
      </c>
      <c r="AG8" s="103">
        <f t="shared" si="0"/>
        <v>38.800000000000004</v>
      </c>
      <c r="AH8" s="120"/>
      <c r="AI8" s="120"/>
    </row>
    <row r="9" spans="1:35" s="91" customFormat="1" ht="18.75" customHeight="1" x14ac:dyDescent="0.25">
      <c r="A9" s="62" t="s">
        <v>66</v>
      </c>
      <c r="B9" s="106">
        <v>3.9</v>
      </c>
      <c r="C9" s="106">
        <v>3.7</v>
      </c>
      <c r="D9" s="106">
        <v>3.8</v>
      </c>
      <c r="E9" s="106">
        <v>3.8</v>
      </c>
      <c r="F9" s="106">
        <v>3.9</v>
      </c>
      <c r="G9" s="106">
        <v>3.8</v>
      </c>
      <c r="H9" s="106">
        <v>3.9</v>
      </c>
      <c r="I9" s="106">
        <v>3.8</v>
      </c>
      <c r="J9" s="106">
        <v>3.7</v>
      </c>
      <c r="K9" s="106">
        <v>3.8</v>
      </c>
      <c r="L9" s="106">
        <v>3.9</v>
      </c>
      <c r="M9" s="106">
        <v>3.7</v>
      </c>
      <c r="N9" s="106">
        <v>3.8</v>
      </c>
      <c r="O9" s="106">
        <v>3.9</v>
      </c>
      <c r="P9" s="106">
        <v>3.8</v>
      </c>
      <c r="Q9" s="106">
        <v>3.7</v>
      </c>
      <c r="R9" s="106">
        <v>3.8</v>
      </c>
      <c r="S9" s="106">
        <v>3.9</v>
      </c>
      <c r="T9" s="106">
        <v>3.8</v>
      </c>
      <c r="U9" s="106">
        <v>3.7</v>
      </c>
      <c r="V9" s="106">
        <v>3.9</v>
      </c>
      <c r="W9" s="106">
        <v>3.8</v>
      </c>
      <c r="X9" s="106">
        <v>3.7</v>
      </c>
      <c r="Y9" s="106">
        <v>3.8</v>
      </c>
      <c r="Z9" s="106">
        <v>3.6</v>
      </c>
      <c r="AA9" s="106">
        <v>3.7</v>
      </c>
      <c r="AB9" s="106">
        <v>3.9</v>
      </c>
      <c r="AC9" s="106">
        <v>3.8</v>
      </c>
      <c r="AD9" s="106">
        <v>3.9</v>
      </c>
      <c r="AE9" s="106">
        <v>3.8</v>
      </c>
      <c r="AF9" s="106">
        <v>3.9</v>
      </c>
      <c r="AG9" s="103">
        <f t="shared" si="0"/>
        <v>117.9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2.4</v>
      </c>
      <c r="C12" s="86">
        <v>2.8</v>
      </c>
      <c r="D12" s="86">
        <v>1</v>
      </c>
      <c r="E12" s="86">
        <v>1.3</v>
      </c>
      <c r="F12" s="86">
        <v>1.9</v>
      </c>
      <c r="G12" s="86">
        <v>1</v>
      </c>
      <c r="H12" s="86">
        <v>1.3</v>
      </c>
      <c r="I12" s="86">
        <v>1.2</v>
      </c>
      <c r="J12" s="86">
        <v>2</v>
      </c>
      <c r="K12" s="86">
        <v>2.5</v>
      </c>
      <c r="L12" s="86">
        <v>2</v>
      </c>
      <c r="M12" s="86">
        <v>2.4</v>
      </c>
      <c r="N12" s="86">
        <v>1.6</v>
      </c>
      <c r="O12" s="86">
        <v>1.3</v>
      </c>
      <c r="P12" s="86">
        <v>1.5</v>
      </c>
      <c r="Q12" s="86">
        <v>1.9</v>
      </c>
      <c r="R12" s="86">
        <v>2</v>
      </c>
      <c r="S12" s="86">
        <v>1.4</v>
      </c>
      <c r="T12" s="86">
        <v>1.4</v>
      </c>
      <c r="U12" s="86">
        <v>1.7</v>
      </c>
      <c r="V12" s="86">
        <v>1.8</v>
      </c>
      <c r="W12" s="86">
        <v>2</v>
      </c>
      <c r="X12" s="86">
        <v>2.4</v>
      </c>
      <c r="Y12" s="86">
        <v>2.1</v>
      </c>
      <c r="Z12" s="86">
        <v>2</v>
      </c>
      <c r="AA12" s="86">
        <v>2.1</v>
      </c>
      <c r="AB12" s="86">
        <v>1.9</v>
      </c>
      <c r="AC12" s="86">
        <v>1.1000000000000001</v>
      </c>
      <c r="AD12" s="86">
        <v>1.3</v>
      </c>
      <c r="AE12" s="86">
        <v>1.2</v>
      </c>
      <c r="AF12" s="86">
        <v>1.6</v>
      </c>
      <c r="AG12" s="103">
        <f t="shared" si="0"/>
        <v>54.1</v>
      </c>
      <c r="AH12" s="120"/>
      <c r="AI12" s="120"/>
    </row>
    <row r="13" spans="1:35" s="91" customFormat="1" ht="18.75" customHeight="1" x14ac:dyDescent="0.25">
      <c r="A13" s="62" t="s">
        <v>69</v>
      </c>
      <c r="B13" s="131">
        <v>0.8</v>
      </c>
      <c r="C13" s="131">
        <v>1</v>
      </c>
      <c r="D13" s="131">
        <v>1.4</v>
      </c>
      <c r="E13" s="131">
        <v>0.9</v>
      </c>
      <c r="F13" s="131">
        <v>1.2</v>
      </c>
      <c r="G13" s="131">
        <v>1</v>
      </c>
      <c r="H13" s="131">
        <v>0.7</v>
      </c>
      <c r="I13" s="131">
        <v>0.8</v>
      </c>
      <c r="J13" s="131">
        <v>0.6</v>
      </c>
      <c r="K13" s="131">
        <v>0.7</v>
      </c>
      <c r="L13" s="131">
        <v>0.6</v>
      </c>
      <c r="M13" s="131">
        <v>1.2</v>
      </c>
      <c r="N13" s="131">
        <v>1.3</v>
      </c>
      <c r="O13" s="131">
        <v>0.9</v>
      </c>
      <c r="P13" s="131">
        <v>0.6</v>
      </c>
      <c r="Q13" s="131">
        <v>0.9</v>
      </c>
      <c r="R13" s="131">
        <v>1</v>
      </c>
      <c r="S13" s="131">
        <v>0.9</v>
      </c>
      <c r="T13" s="131">
        <v>1.3</v>
      </c>
      <c r="U13" s="131">
        <v>1.3</v>
      </c>
      <c r="V13" s="131">
        <v>1.7</v>
      </c>
      <c r="W13" s="131">
        <v>1.6</v>
      </c>
      <c r="X13" s="131">
        <v>1.2</v>
      </c>
      <c r="Y13" s="131">
        <v>1.5</v>
      </c>
      <c r="Z13" s="131">
        <v>1.2</v>
      </c>
      <c r="AA13" s="131">
        <v>1.5</v>
      </c>
      <c r="AB13" s="131">
        <v>1</v>
      </c>
      <c r="AC13" s="131">
        <v>1.2</v>
      </c>
      <c r="AD13" s="131">
        <v>1.4</v>
      </c>
      <c r="AE13" s="131">
        <v>1.3</v>
      </c>
      <c r="AF13" s="131">
        <v>1.2</v>
      </c>
      <c r="AG13" s="103">
        <f t="shared" si="0"/>
        <v>33.9</v>
      </c>
      <c r="AH13" s="120"/>
      <c r="AI13" s="120"/>
    </row>
    <row r="14" spans="1:35" s="91" customFormat="1" ht="18.75" customHeight="1" x14ac:dyDescent="0.25">
      <c r="A14" s="141" t="s">
        <v>71</v>
      </c>
      <c r="B14" s="86">
        <v>10.6</v>
      </c>
      <c r="C14" s="86">
        <v>11.5</v>
      </c>
      <c r="D14" s="86">
        <v>3</v>
      </c>
      <c r="E14" s="86">
        <v>4</v>
      </c>
      <c r="F14" s="86">
        <v>3.7</v>
      </c>
      <c r="G14" s="86">
        <v>4.2</v>
      </c>
      <c r="H14" s="86">
        <v>3.8</v>
      </c>
      <c r="I14" s="86">
        <v>2.9</v>
      </c>
      <c r="J14" s="86">
        <v>3</v>
      </c>
      <c r="K14" s="86">
        <v>2.7</v>
      </c>
      <c r="L14" s="86">
        <v>1.9</v>
      </c>
      <c r="M14" s="86">
        <v>4.0999999999999996</v>
      </c>
      <c r="N14" s="86">
        <v>0.3</v>
      </c>
      <c r="O14" s="86">
        <v>3.3</v>
      </c>
      <c r="P14" s="86">
        <v>2.1</v>
      </c>
      <c r="Q14" s="86">
        <v>1</v>
      </c>
      <c r="R14" s="86">
        <v>3.1</v>
      </c>
      <c r="S14" s="86">
        <v>1.1000000000000001</v>
      </c>
      <c r="T14" s="86">
        <v>0.9</v>
      </c>
      <c r="U14" s="86">
        <v>3.1</v>
      </c>
      <c r="V14" s="86">
        <v>2.1</v>
      </c>
      <c r="W14" s="86">
        <v>1</v>
      </c>
      <c r="X14" s="86">
        <v>0.9</v>
      </c>
      <c r="Y14" s="106">
        <v>0.6</v>
      </c>
      <c r="Z14" s="106">
        <v>3.1</v>
      </c>
      <c r="AA14" s="106">
        <v>4.0999999999999996</v>
      </c>
      <c r="AB14" s="106">
        <v>2</v>
      </c>
      <c r="AC14" s="106">
        <v>1</v>
      </c>
      <c r="AD14" s="106">
        <v>1.9</v>
      </c>
      <c r="AE14" s="106">
        <v>2.1</v>
      </c>
      <c r="AF14" s="106">
        <v>3.3</v>
      </c>
      <c r="AG14" s="103">
        <f t="shared" si="0"/>
        <v>92.399999999999977</v>
      </c>
      <c r="AH14" s="120"/>
      <c r="AI14" s="120"/>
    </row>
    <row r="15" spans="1:35" s="91" customFormat="1" ht="18.75" customHeight="1" x14ac:dyDescent="0.25">
      <c r="A15" s="62" t="s">
        <v>72</v>
      </c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103">
        <f t="shared" si="0"/>
        <v>0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>
        <v>2.8</v>
      </c>
      <c r="C17" s="86">
        <v>0</v>
      </c>
      <c r="D17" s="86">
        <v>0</v>
      </c>
      <c r="E17" s="86">
        <v>1.6</v>
      </c>
      <c r="F17" s="86">
        <v>0</v>
      </c>
      <c r="G17" s="86">
        <v>0</v>
      </c>
      <c r="H17" s="86">
        <v>0</v>
      </c>
      <c r="I17" s="86">
        <v>0</v>
      </c>
      <c r="J17" s="86">
        <v>0</v>
      </c>
      <c r="K17" s="86">
        <v>0</v>
      </c>
      <c r="L17" s="86">
        <v>0</v>
      </c>
      <c r="M17" s="86">
        <v>4</v>
      </c>
      <c r="N17" s="86">
        <v>0</v>
      </c>
      <c r="O17" s="86">
        <v>3</v>
      </c>
      <c r="P17" s="86">
        <v>2.5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6">
        <v>0</v>
      </c>
      <c r="Y17" s="86">
        <v>0</v>
      </c>
      <c r="Z17" s="86">
        <v>0</v>
      </c>
      <c r="AA17" s="86">
        <v>0</v>
      </c>
      <c r="AB17" s="86">
        <v>0</v>
      </c>
      <c r="AC17" s="86">
        <v>0</v>
      </c>
      <c r="AD17" s="86">
        <v>0</v>
      </c>
      <c r="AE17" s="86">
        <v>0</v>
      </c>
      <c r="AF17" s="86">
        <v>4</v>
      </c>
      <c r="AG17" s="103">
        <f t="shared" si="0"/>
        <v>17.899999999999999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v>6.5</v>
      </c>
      <c r="C20" s="86">
        <v>4.7</v>
      </c>
      <c r="D20" s="86">
        <v>3.5</v>
      </c>
      <c r="E20" s="86">
        <v>4.5</v>
      </c>
      <c r="F20" s="86">
        <v>3.5</v>
      </c>
      <c r="G20" s="86">
        <v>6.5</v>
      </c>
      <c r="H20" s="86">
        <v>4.5</v>
      </c>
      <c r="I20" s="86">
        <v>3.7</v>
      </c>
      <c r="J20" s="86">
        <v>4.8</v>
      </c>
      <c r="K20" s="86">
        <v>7.5</v>
      </c>
      <c r="L20" s="86">
        <v>6.5</v>
      </c>
      <c r="M20" s="86">
        <v>4.8</v>
      </c>
      <c r="N20" s="86">
        <v>3.7</v>
      </c>
      <c r="O20" s="86">
        <v>3.5</v>
      </c>
      <c r="P20" s="86">
        <v>4.8</v>
      </c>
      <c r="Q20" s="86">
        <v>5.2</v>
      </c>
      <c r="R20" s="86">
        <v>4.8</v>
      </c>
      <c r="S20" s="86">
        <v>6.2</v>
      </c>
      <c r="T20" s="86">
        <v>4.7</v>
      </c>
      <c r="U20" s="86">
        <v>3.5</v>
      </c>
      <c r="V20" s="86">
        <v>6.5</v>
      </c>
      <c r="W20" s="86">
        <v>5.5</v>
      </c>
      <c r="X20" s="86">
        <v>4.8</v>
      </c>
      <c r="Y20" s="86">
        <v>4.7</v>
      </c>
      <c r="Z20" s="86">
        <v>3.8</v>
      </c>
      <c r="AA20" s="86">
        <v>4.2</v>
      </c>
      <c r="AB20" s="86">
        <v>3.7</v>
      </c>
      <c r="AC20" s="86">
        <v>3.5</v>
      </c>
      <c r="AD20" s="86">
        <v>3.6</v>
      </c>
      <c r="AE20" s="86">
        <v>5.5</v>
      </c>
      <c r="AF20" s="86">
        <v>6.3</v>
      </c>
      <c r="AG20" s="103">
        <f t="shared" si="0"/>
        <v>149.5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1</v>
      </c>
      <c r="C21" s="86">
        <v>0</v>
      </c>
      <c r="D21" s="86">
        <v>0</v>
      </c>
      <c r="E21" s="86">
        <v>2.2000000000000002</v>
      </c>
      <c r="F21" s="86">
        <v>0</v>
      </c>
      <c r="G21" s="86">
        <v>1.5</v>
      </c>
      <c r="H21" s="86">
        <v>0</v>
      </c>
      <c r="I21" s="86">
        <v>1</v>
      </c>
      <c r="J21" s="86">
        <v>1.6</v>
      </c>
      <c r="K21" s="86">
        <v>0</v>
      </c>
      <c r="L21" s="86">
        <v>1.2</v>
      </c>
      <c r="M21" s="86">
        <v>0</v>
      </c>
      <c r="N21" s="86">
        <v>2.2000000000000002</v>
      </c>
      <c r="O21" s="86">
        <v>0</v>
      </c>
      <c r="P21" s="86">
        <v>2</v>
      </c>
      <c r="Q21" s="86">
        <v>0</v>
      </c>
      <c r="R21" s="86">
        <v>3.3</v>
      </c>
      <c r="S21" s="86">
        <v>0</v>
      </c>
      <c r="T21" s="86">
        <v>3</v>
      </c>
      <c r="U21" s="86">
        <v>0</v>
      </c>
      <c r="V21" s="86">
        <v>2</v>
      </c>
      <c r="W21" s="86">
        <v>0</v>
      </c>
      <c r="X21" s="86">
        <v>1.4</v>
      </c>
      <c r="Y21" s="86">
        <v>0</v>
      </c>
      <c r="Z21" s="86">
        <v>1</v>
      </c>
      <c r="AA21" s="86">
        <v>0</v>
      </c>
      <c r="AB21" s="86">
        <v>2.5</v>
      </c>
      <c r="AC21" s="140">
        <v>0</v>
      </c>
      <c r="AD21" s="86">
        <v>2.2999999999999998</v>
      </c>
      <c r="AE21" s="86">
        <v>0</v>
      </c>
      <c r="AF21" s="86">
        <v>2</v>
      </c>
      <c r="AG21" s="132">
        <f t="shared" si="0"/>
        <v>30.2</v>
      </c>
      <c r="AH21" s="120"/>
      <c r="AI21" s="120"/>
    </row>
    <row r="22" spans="1:35" s="91" customFormat="1" ht="18.75" customHeight="1" x14ac:dyDescent="0.25">
      <c r="A22" s="62" t="s">
        <v>75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103">
        <f t="shared" si="0"/>
        <v>0</v>
      </c>
      <c r="AH22" s="120"/>
      <c r="AI22" s="120"/>
    </row>
    <row r="23" spans="1:35" s="91" customFormat="1" ht="18.75" customHeight="1" x14ac:dyDescent="0.25">
      <c r="A23" s="62" t="s">
        <v>77</v>
      </c>
      <c r="B23" s="131">
        <v>0.8</v>
      </c>
      <c r="C23" s="131">
        <v>1</v>
      </c>
      <c r="D23" s="131">
        <v>1.4</v>
      </c>
      <c r="E23" s="131">
        <v>0.9</v>
      </c>
      <c r="F23" s="131">
        <v>1.2</v>
      </c>
      <c r="G23" s="131">
        <v>1</v>
      </c>
      <c r="H23" s="131">
        <v>0.7</v>
      </c>
      <c r="I23" s="131">
        <v>0.8</v>
      </c>
      <c r="J23" s="131">
        <v>0.6</v>
      </c>
      <c r="K23" s="131">
        <v>0.7</v>
      </c>
      <c r="L23" s="131">
        <v>0.6</v>
      </c>
      <c r="M23" s="131">
        <v>1.2</v>
      </c>
      <c r="N23" s="131">
        <v>1.3</v>
      </c>
      <c r="O23" s="131">
        <v>0.9</v>
      </c>
      <c r="P23" s="131">
        <v>0.6</v>
      </c>
      <c r="Q23" s="131">
        <v>0.9</v>
      </c>
      <c r="R23" s="131">
        <v>1</v>
      </c>
      <c r="S23" s="131">
        <v>0.9</v>
      </c>
      <c r="T23" s="131">
        <v>1.3</v>
      </c>
      <c r="U23" s="131">
        <v>1.3</v>
      </c>
      <c r="V23" s="131">
        <v>1.7</v>
      </c>
      <c r="W23" s="131">
        <v>1.6</v>
      </c>
      <c r="X23" s="131">
        <v>1.2</v>
      </c>
      <c r="Y23" s="131">
        <v>1.5</v>
      </c>
      <c r="Z23" s="131">
        <v>1.2</v>
      </c>
      <c r="AA23" s="131">
        <v>1.5</v>
      </c>
      <c r="AB23" s="131">
        <v>1</v>
      </c>
      <c r="AC23" s="131">
        <v>1.2</v>
      </c>
      <c r="AD23" s="131">
        <v>1.4</v>
      </c>
      <c r="AE23" s="131">
        <v>1.3</v>
      </c>
      <c r="AF23" s="131">
        <v>1.2</v>
      </c>
      <c r="AG23" s="103">
        <f t="shared" si="0"/>
        <v>33.9</v>
      </c>
      <c r="AH23" s="120"/>
      <c r="AI23" s="120"/>
    </row>
    <row r="24" spans="1:35" s="91" customFormat="1" ht="18.75" customHeight="1" x14ac:dyDescent="0.25">
      <c r="A24" s="62" t="s">
        <v>78</v>
      </c>
      <c r="B24" s="86">
        <v>2</v>
      </c>
      <c r="C24" s="86">
        <v>3</v>
      </c>
      <c r="D24" s="86">
        <v>4</v>
      </c>
      <c r="E24" s="86">
        <v>3</v>
      </c>
      <c r="F24" s="86">
        <v>2</v>
      </c>
      <c r="G24" s="86">
        <v>1</v>
      </c>
      <c r="H24" s="86">
        <v>3</v>
      </c>
      <c r="I24" s="86">
        <v>2</v>
      </c>
      <c r="J24" s="86">
        <v>1</v>
      </c>
      <c r="K24" s="86">
        <v>3</v>
      </c>
      <c r="L24" s="86">
        <v>4</v>
      </c>
      <c r="M24" s="86">
        <v>2</v>
      </c>
      <c r="N24" s="86">
        <v>1</v>
      </c>
      <c r="O24" s="86">
        <v>3</v>
      </c>
      <c r="P24" s="86">
        <v>2</v>
      </c>
      <c r="Q24" s="86">
        <v>3</v>
      </c>
      <c r="R24" s="86">
        <v>4</v>
      </c>
      <c r="S24" s="86">
        <v>3</v>
      </c>
      <c r="T24" s="86">
        <v>2</v>
      </c>
      <c r="U24" s="86">
        <v>3</v>
      </c>
      <c r="V24" s="86">
        <v>4</v>
      </c>
      <c r="W24" s="86">
        <v>5</v>
      </c>
      <c r="X24" s="86">
        <v>8</v>
      </c>
      <c r="Y24" s="86">
        <v>3</v>
      </c>
      <c r="Z24" s="86">
        <v>8</v>
      </c>
      <c r="AA24" s="86">
        <v>4</v>
      </c>
      <c r="AB24" s="86">
        <v>5</v>
      </c>
      <c r="AC24" s="86">
        <v>3</v>
      </c>
      <c r="AD24" s="86">
        <v>2</v>
      </c>
      <c r="AE24" s="86">
        <v>2</v>
      </c>
      <c r="AF24" s="86">
        <v>3</v>
      </c>
      <c r="AG24" s="103">
        <f t="shared" si="0"/>
        <v>98</v>
      </c>
      <c r="AH24" s="120"/>
      <c r="AI24" s="120"/>
    </row>
    <row r="25" spans="1:35" s="91" customFormat="1" ht="18.75" customHeight="1" x14ac:dyDescent="0.25">
      <c r="A25" s="62" t="s">
        <v>79</v>
      </c>
      <c r="B25" s="86">
        <v>3.9</v>
      </c>
      <c r="C25" s="86">
        <v>3.7</v>
      </c>
      <c r="D25" s="86">
        <v>3.9</v>
      </c>
      <c r="E25" s="86">
        <v>3.8</v>
      </c>
      <c r="F25" s="86">
        <v>3.8</v>
      </c>
      <c r="G25" s="86">
        <v>3.9</v>
      </c>
      <c r="H25" s="86">
        <v>3.8</v>
      </c>
      <c r="I25" s="86">
        <v>3.7</v>
      </c>
      <c r="J25" s="86">
        <v>3.6</v>
      </c>
      <c r="K25" s="86">
        <v>3.8</v>
      </c>
      <c r="L25" s="86">
        <v>3.9</v>
      </c>
      <c r="M25" s="86">
        <v>3.8</v>
      </c>
      <c r="N25" s="86">
        <v>3.9</v>
      </c>
      <c r="O25" s="86">
        <v>3.8</v>
      </c>
      <c r="P25" s="86">
        <v>3.9</v>
      </c>
      <c r="Q25" s="86">
        <v>3.8</v>
      </c>
      <c r="R25" s="86">
        <v>3.7</v>
      </c>
      <c r="S25" s="86">
        <v>3.9</v>
      </c>
      <c r="T25" s="86">
        <v>3.8</v>
      </c>
      <c r="U25" s="86">
        <v>3.9</v>
      </c>
      <c r="V25" s="86">
        <v>3.8</v>
      </c>
      <c r="W25" s="86">
        <v>3.7</v>
      </c>
      <c r="X25" s="86">
        <v>3.8</v>
      </c>
      <c r="Y25" s="86">
        <v>3.9</v>
      </c>
      <c r="Z25" s="86">
        <v>3.7</v>
      </c>
      <c r="AA25" s="86">
        <v>3.6</v>
      </c>
      <c r="AB25" s="86">
        <v>3.8</v>
      </c>
      <c r="AC25" s="86">
        <v>3.9</v>
      </c>
      <c r="AD25" s="86">
        <v>3.7</v>
      </c>
      <c r="AE25" s="86">
        <v>3.8</v>
      </c>
      <c r="AF25" s="86">
        <v>3.9</v>
      </c>
      <c r="AG25" s="103">
        <f t="shared" si="0"/>
        <v>117.9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31">
        <v>0.8</v>
      </c>
      <c r="C27" s="131">
        <v>1</v>
      </c>
      <c r="D27" s="131">
        <v>1.4</v>
      </c>
      <c r="E27" s="131">
        <v>0.9</v>
      </c>
      <c r="F27" s="131">
        <v>1.2</v>
      </c>
      <c r="G27" s="131">
        <v>1</v>
      </c>
      <c r="H27" s="131">
        <v>0.7</v>
      </c>
      <c r="I27" s="131">
        <v>0.8</v>
      </c>
      <c r="J27" s="131">
        <v>0.6</v>
      </c>
      <c r="K27" s="131">
        <v>0.7</v>
      </c>
      <c r="L27" s="131">
        <v>0.6</v>
      </c>
      <c r="M27" s="131">
        <v>1.2</v>
      </c>
      <c r="N27" s="131">
        <v>1.3</v>
      </c>
      <c r="O27" s="131">
        <v>0.9</v>
      </c>
      <c r="P27" s="131">
        <v>0.6</v>
      </c>
      <c r="Q27" s="131">
        <v>0.9</v>
      </c>
      <c r="R27" s="131">
        <v>1</v>
      </c>
      <c r="S27" s="131">
        <v>0.9</v>
      </c>
      <c r="T27" s="131">
        <v>1.3</v>
      </c>
      <c r="U27" s="131">
        <v>1.3</v>
      </c>
      <c r="V27" s="131">
        <v>1.7</v>
      </c>
      <c r="W27" s="131">
        <v>1.6</v>
      </c>
      <c r="X27" s="131">
        <v>1.2</v>
      </c>
      <c r="Y27" s="131">
        <v>1.5</v>
      </c>
      <c r="Z27" s="131">
        <v>1.2</v>
      </c>
      <c r="AA27" s="131">
        <v>1.5</v>
      </c>
      <c r="AB27" s="131">
        <v>1</v>
      </c>
      <c r="AC27" s="131">
        <v>1.2</v>
      </c>
      <c r="AD27" s="131">
        <v>1.4</v>
      </c>
      <c r="AE27" s="131">
        <v>1.3</v>
      </c>
      <c r="AF27" s="131">
        <v>1.2</v>
      </c>
      <c r="AG27" s="103">
        <f t="shared" si="0"/>
        <v>33.9</v>
      </c>
      <c r="AH27" s="120"/>
      <c r="AI27" s="120"/>
    </row>
    <row r="28" spans="1:35" s="91" customFormat="1" ht="18.75" customHeight="1" x14ac:dyDescent="0.25">
      <c r="A28" s="62" t="s">
        <v>76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25">
      <c r="A29" s="62" t="s">
        <v>81</v>
      </c>
      <c r="B29" s="106">
        <v>0</v>
      </c>
      <c r="C29" s="106">
        <v>0</v>
      </c>
      <c r="D29" s="106">
        <v>1.7</v>
      </c>
      <c r="E29" s="106">
        <v>0</v>
      </c>
      <c r="F29" s="106">
        <v>0</v>
      </c>
      <c r="G29" s="106">
        <v>0</v>
      </c>
      <c r="H29" s="106">
        <v>2.5</v>
      </c>
      <c r="I29" s="106">
        <v>0</v>
      </c>
      <c r="J29" s="106">
        <v>0</v>
      </c>
      <c r="K29" s="106">
        <v>0</v>
      </c>
      <c r="L29" s="106">
        <v>1.3</v>
      </c>
      <c r="M29" s="106">
        <v>0</v>
      </c>
      <c r="N29" s="106">
        <v>0</v>
      </c>
      <c r="O29" s="106">
        <v>2</v>
      </c>
      <c r="P29" s="106">
        <v>0</v>
      </c>
      <c r="Q29" s="106">
        <v>0</v>
      </c>
      <c r="R29" s="106">
        <v>0</v>
      </c>
      <c r="S29" s="106">
        <v>0</v>
      </c>
      <c r="T29" s="106">
        <v>1.9</v>
      </c>
      <c r="U29" s="106">
        <v>0</v>
      </c>
      <c r="V29" s="106">
        <v>0</v>
      </c>
      <c r="W29" s="106">
        <v>0</v>
      </c>
      <c r="X29" s="106">
        <v>1.7</v>
      </c>
      <c r="Y29" s="106">
        <v>0</v>
      </c>
      <c r="Z29" s="106">
        <v>0</v>
      </c>
      <c r="AA29" s="106">
        <v>0</v>
      </c>
      <c r="AB29" s="106">
        <v>0</v>
      </c>
      <c r="AC29" s="106">
        <v>0</v>
      </c>
      <c r="AD29" s="106">
        <v>2.5</v>
      </c>
      <c r="AE29" s="106">
        <v>0</v>
      </c>
      <c r="AF29" s="88">
        <v>0</v>
      </c>
      <c r="AG29" s="103">
        <f t="shared" si="0"/>
        <v>13.6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1.5</v>
      </c>
      <c r="C31" s="106">
        <v>1</v>
      </c>
      <c r="D31" s="106">
        <v>0.5</v>
      </c>
      <c r="E31" s="106">
        <v>0.8</v>
      </c>
      <c r="F31" s="106">
        <v>1.2</v>
      </c>
      <c r="G31" s="106">
        <v>0.7</v>
      </c>
      <c r="H31" s="106">
        <v>1</v>
      </c>
      <c r="I31" s="106">
        <v>0.8</v>
      </c>
      <c r="J31" s="106">
        <v>0.5</v>
      </c>
      <c r="K31" s="106">
        <v>0.7</v>
      </c>
      <c r="L31" s="106">
        <v>1.2</v>
      </c>
      <c r="M31" s="106">
        <v>0.7</v>
      </c>
      <c r="N31" s="106">
        <v>1.1000000000000001</v>
      </c>
      <c r="O31" s="106">
        <v>1.3</v>
      </c>
      <c r="P31" s="106">
        <v>0.3</v>
      </c>
      <c r="Q31" s="106">
        <v>0.9</v>
      </c>
      <c r="R31" s="106">
        <v>1.1000000000000001</v>
      </c>
      <c r="S31" s="106">
        <v>0.5</v>
      </c>
      <c r="T31" s="106">
        <v>0.7</v>
      </c>
      <c r="U31" s="106">
        <v>1.2</v>
      </c>
      <c r="V31" s="106">
        <v>1.1000000000000001</v>
      </c>
      <c r="W31" s="106">
        <v>0.5</v>
      </c>
      <c r="X31" s="106">
        <v>0.7</v>
      </c>
      <c r="Y31" s="106">
        <v>1.2</v>
      </c>
      <c r="Z31" s="106">
        <v>0.5</v>
      </c>
      <c r="AA31" s="106">
        <v>1.1000000000000001</v>
      </c>
      <c r="AB31" s="106">
        <v>0.4</v>
      </c>
      <c r="AC31" s="106">
        <v>0.5</v>
      </c>
      <c r="AD31" s="106">
        <v>1.2</v>
      </c>
      <c r="AE31" s="106">
        <v>1.1000000000000001</v>
      </c>
      <c r="AF31" s="88">
        <v>1.2</v>
      </c>
      <c r="AG31" s="103">
        <f t="shared" si="0"/>
        <v>27.2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40.9</v>
      </c>
      <c r="C33" s="87">
        <f t="shared" ref="C33:AF33" si="1">SUM(C3:C32)</f>
        <v>35.9</v>
      </c>
      <c r="D33" s="87">
        <f t="shared" si="1"/>
        <v>29.699999999999992</v>
      </c>
      <c r="E33" s="87">
        <f t="shared" si="1"/>
        <v>28.299999999999997</v>
      </c>
      <c r="F33" s="87">
        <f t="shared" si="1"/>
        <v>26.999999999999996</v>
      </c>
      <c r="G33" s="87">
        <f t="shared" si="1"/>
        <v>29.4</v>
      </c>
      <c r="H33" s="87">
        <f t="shared" si="1"/>
        <v>28.5</v>
      </c>
      <c r="I33" s="87">
        <f t="shared" si="1"/>
        <v>23.3</v>
      </c>
      <c r="J33" s="87">
        <f t="shared" si="1"/>
        <v>26.700000000000006</v>
      </c>
      <c r="K33" s="87">
        <f t="shared" si="1"/>
        <v>27.499999999999996</v>
      </c>
      <c r="L33" s="87">
        <f t="shared" si="1"/>
        <v>28.700000000000003</v>
      </c>
      <c r="M33" s="87">
        <f t="shared" si="1"/>
        <v>34.300000000000004</v>
      </c>
      <c r="N33" s="87">
        <f t="shared" si="1"/>
        <v>26.3</v>
      </c>
      <c r="O33" s="87">
        <f t="shared" si="1"/>
        <v>31.4</v>
      </c>
      <c r="P33" s="87">
        <f t="shared" si="1"/>
        <v>29.6</v>
      </c>
      <c r="Q33" s="87">
        <f t="shared" si="1"/>
        <v>28.999999999999996</v>
      </c>
      <c r="R33" s="87">
        <f t="shared" si="1"/>
        <v>32.6</v>
      </c>
      <c r="S33" s="87">
        <f t="shared" si="1"/>
        <v>24.099999999999994</v>
      </c>
      <c r="T33" s="87">
        <f t="shared" si="1"/>
        <v>27.900000000000002</v>
      </c>
      <c r="U33" s="87">
        <f t="shared" si="1"/>
        <v>30.900000000000002</v>
      </c>
      <c r="V33" s="87">
        <f t="shared" si="1"/>
        <v>33.400000000000006</v>
      </c>
      <c r="W33" s="87">
        <f t="shared" si="1"/>
        <v>28.900000000000002</v>
      </c>
      <c r="X33" s="87">
        <f t="shared" si="1"/>
        <v>33.300000000000004</v>
      </c>
      <c r="Y33" s="87">
        <f t="shared" si="1"/>
        <v>27.799999999999997</v>
      </c>
      <c r="Z33" s="87">
        <f t="shared" si="1"/>
        <v>32.199999999999996</v>
      </c>
      <c r="AA33" s="87">
        <f t="shared" si="1"/>
        <v>34.700000000000003</v>
      </c>
      <c r="AB33" s="87">
        <f t="shared" si="1"/>
        <v>30.5</v>
      </c>
      <c r="AC33" s="87">
        <f t="shared" si="1"/>
        <v>26.799999999999997</v>
      </c>
      <c r="AD33" s="87">
        <f t="shared" si="1"/>
        <v>31.799999999999997</v>
      </c>
      <c r="AE33" s="87">
        <f t="shared" si="1"/>
        <v>30.500000000000004</v>
      </c>
      <c r="AF33" s="87">
        <f t="shared" si="1"/>
        <v>38.9</v>
      </c>
      <c r="AG33" s="105">
        <f t="shared" si="0"/>
        <v>940.79999999999984</v>
      </c>
      <c r="AH33" s="134"/>
      <c r="AI33" s="134"/>
    </row>
    <row r="34" spans="1:35" s="91" customFormat="1" x14ac:dyDescent="0.25">
      <c r="A34" s="136"/>
      <c r="AG34" s="24">
        <f>SUM(AG3:AG31)</f>
        <v>940.8</v>
      </c>
    </row>
  </sheetData>
  <mergeCells count="1">
    <mergeCell ref="A1:AG1"/>
  </mergeCells>
  <conditionalFormatting sqref="AG33">
    <cfRule type="cellIs" dxfId="21" priority="2" operator="equal">
      <formula>$AG$34</formula>
    </cfRule>
  </conditionalFormatting>
  <conditionalFormatting sqref="AG34">
    <cfRule type="cellIs" dxfId="20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219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/>
      <c r="D3" s="85"/>
      <c r="E3" s="85"/>
      <c r="F3" s="85"/>
      <c r="G3" s="86"/>
      <c r="H3" s="85"/>
      <c r="I3" s="86"/>
      <c r="J3" s="85"/>
      <c r="K3" s="86"/>
      <c r="L3" s="85"/>
      <c r="M3" s="86"/>
      <c r="N3" s="85"/>
      <c r="O3" s="85"/>
      <c r="P3" s="86"/>
      <c r="Q3" s="85"/>
      <c r="R3" s="85"/>
      <c r="S3" s="86"/>
      <c r="T3" s="86"/>
      <c r="U3" s="86"/>
      <c r="V3" s="86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03">
        <f>SUM(B3:AF3)</f>
        <v>0</v>
      </c>
      <c r="AH3" s="119"/>
      <c r="AI3" s="120"/>
    </row>
    <row r="4" spans="1:35" s="91" customFormat="1" ht="33" customHeight="1" x14ac:dyDescent="0.25">
      <c r="A4" s="138" t="s">
        <v>193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103">
        <f t="shared" ref="AG4:AG33" si="0">SUM(B4:AF4)</f>
        <v>0</v>
      </c>
      <c r="AH4" s="120"/>
      <c r="AI4" s="120"/>
    </row>
    <row r="5" spans="1:35" s="91" customFormat="1" ht="18.75" customHeight="1" x14ac:dyDescent="0.25">
      <c r="A5" s="62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>
        <v>3.1</v>
      </c>
      <c r="C8" s="86">
        <v>4.5</v>
      </c>
      <c r="D8" s="86">
        <v>4</v>
      </c>
      <c r="E8" s="86">
        <v>4.4000000000000004</v>
      </c>
      <c r="F8" s="86">
        <v>4.5</v>
      </c>
      <c r="G8" s="86">
        <v>4.3</v>
      </c>
      <c r="H8" s="86">
        <v>4.2</v>
      </c>
      <c r="I8" s="86">
        <v>4</v>
      </c>
      <c r="J8" s="86">
        <v>4.5</v>
      </c>
      <c r="K8" s="86">
        <v>4.8</v>
      </c>
      <c r="L8" s="86">
        <v>4.3</v>
      </c>
      <c r="M8" s="86">
        <v>4.4000000000000004</v>
      </c>
      <c r="N8" s="86">
        <v>4.3</v>
      </c>
      <c r="O8" s="86">
        <v>4.4000000000000004</v>
      </c>
      <c r="P8" s="86">
        <v>4</v>
      </c>
      <c r="Q8" s="86">
        <v>3.9</v>
      </c>
      <c r="R8" s="86">
        <v>5</v>
      </c>
      <c r="S8" s="86">
        <v>5</v>
      </c>
      <c r="T8" s="86">
        <v>5.5</v>
      </c>
      <c r="U8" s="86">
        <v>4.2</v>
      </c>
      <c r="V8" s="86">
        <v>4.0999999999999996</v>
      </c>
      <c r="W8" s="86">
        <v>4.3</v>
      </c>
      <c r="X8" s="86">
        <v>4.3</v>
      </c>
      <c r="Y8" s="86">
        <v>4.0999999999999996</v>
      </c>
      <c r="Z8" s="86">
        <v>3.3</v>
      </c>
      <c r="AA8" s="86">
        <v>3.5</v>
      </c>
      <c r="AB8" s="86">
        <v>3.9</v>
      </c>
      <c r="AC8" s="86">
        <v>5.0999999999999996</v>
      </c>
      <c r="AD8" s="86">
        <v>4.3</v>
      </c>
      <c r="AE8" s="86">
        <v>4.3</v>
      </c>
      <c r="AF8" s="86">
        <v>4.5</v>
      </c>
      <c r="AG8" s="103">
        <f t="shared" si="0"/>
        <v>132.99999999999997</v>
      </c>
      <c r="AH8" s="120"/>
      <c r="AI8" s="120"/>
    </row>
    <row r="9" spans="1:35" s="91" customFormat="1" ht="18.75" customHeight="1" x14ac:dyDescent="0.25">
      <c r="A9" s="62" t="s">
        <v>66</v>
      </c>
      <c r="B9" s="106">
        <v>3.8</v>
      </c>
      <c r="C9" s="106">
        <v>3.9</v>
      </c>
      <c r="D9" s="106">
        <v>3</v>
      </c>
      <c r="E9" s="106">
        <v>2.8</v>
      </c>
      <c r="F9" s="106">
        <v>2.9</v>
      </c>
      <c r="G9" s="106">
        <v>3.7</v>
      </c>
      <c r="H9" s="106">
        <v>4.0999999999999996</v>
      </c>
      <c r="I9" s="106">
        <v>2.9</v>
      </c>
      <c r="J9" s="106">
        <v>3.6</v>
      </c>
      <c r="K9" s="106">
        <v>3.8</v>
      </c>
      <c r="L9" s="106">
        <v>3.1</v>
      </c>
      <c r="M9" s="106">
        <v>3.3</v>
      </c>
      <c r="N9" s="106">
        <v>3.7</v>
      </c>
      <c r="O9" s="106">
        <v>3.4</v>
      </c>
      <c r="P9" s="106">
        <v>2.8</v>
      </c>
      <c r="Q9" s="106">
        <v>2.7</v>
      </c>
      <c r="R9" s="106">
        <v>3.8</v>
      </c>
      <c r="S9" s="106">
        <v>3</v>
      </c>
      <c r="T9" s="106">
        <v>3.8</v>
      </c>
      <c r="U9" s="106">
        <v>2.9</v>
      </c>
      <c r="V9" s="106">
        <v>3.7</v>
      </c>
      <c r="W9" s="106">
        <v>4.2</v>
      </c>
      <c r="X9" s="106">
        <v>2.9</v>
      </c>
      <c r="Y9" s="106">
        <v>2.9</v>
      </c>
      <c r="Z9" s="106">
        <v>2.8</v>
      </c>
      <c r="AA9" s="106">
        <v>3.7</v>
      </c>
      <c r="AB9" s="106">
        <v>2.9</v>
      </c>
      <c r="AC9" s="106">
        <v>3.8</v>
      </c>
      <c r="AD9" s="106">
        <v>3.3</v>
      </c>
      <c r="AE9" s="106">
        <v>3.4</v>
      </c>
      <c r="AF9" s="106">
        <v>3</v>
      </c>
      <c r="AG9" s="103">
        <f t="shared" si="0"/>
        <v>103.60000000000002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0.4</v>
      </c>
      <c r="C12" s="86">
        <v>0.6</v>
      </c>
      <c r="D12" s="86">
        <v>0.7</v>
      </c>
      <c r="E12" s="86">
        <v>1</v>
      </c>
      <c r="F12" s="86">
        <v>0.3</v>
      </c>
      <c r="G12" s="86">
        <v>1.1000000000000001</v>
      </c>
      <c r="H12" s="86">
        <v>1.3</v>
      </c>
      <c r="I12" s="86">
        <v>1</v>
      </c>
      <c r="J12" s="86">
        <v>0.6</v>
      </c>
      <c r="K12" s="86">
        <v>0.7</v>
      </c>
      <c r="L12" s="86">
        <v>0.8</v>
      </c>
      <c r="M12" s="86">
        <v>0.9</v>
      </c>
      <c r="N12" s="86">
        <v>1</v>
      </c>
      <c r="O12" s="86">
        <v>1.2</v>
      </c>
      <c r="P12" s="86">
        <v>1.6</v>
      </c>
      <c r="Q12" s="86">
        <v>1.7</v>
      </c>
      <c r="R12" s="86">
        <v>0.4</v>
      </c>
      <c r="S12" s="86">
        <v>0.5</v>
      </c>
      <c r="T12" s="86">
        <v>0.9</v>
      </c>
      <c r="U12" s="86">
        <v>1</v>
      </c>
      <c r="V12" s="86">
        <v>1</v>
      </c>
      <c r="W12" s="86">
        <v>1</v>
      </c>
      <c r="X12" s="86">
        <v>0.4</v>
      </c>
      <c r="Y12" s="86">
        <v>0.9</v>
      </c>
      <c r="Z12" s="86">
        <v>0.7</v>
      </c>
      <c r="AA12" s="86">
        <v>0.4</v>
      </c>
      <c r="AB12" s="86">
        <v>0.9</v>
      </c>
      <c r="AC12" s="86">
        <v>1</v>
      </c>
      <c r="AD12" s="86">
        <v>1.5</v>
      </c>
      <c r="AE12" s="86">
        <v>1.1000000000000001</v>
      </c>
      <c r="AF12" s="86">
        <v>1.6</v>
      </c>
      <c r="AG12" s="103">
        <f t="shared" si="0"/>
        <v>28.199999999999996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62" t="s">
        <v>71</v>
      </c>
      <c r="B14" s="86">
        <v>3.1</v>
      </c>
      <c r="C14" s="86">
        <v>3.8</v>
      </c>
      <c r="D14" s="86">
        <v>4.3</v>
      </c>
      <c r="E14" s="86">
        <v>1.1000000000000001</v>
      </c>
      <c r="F14" s="86">
        <v>1</v>
      </c>
      <c r="G14" s="86">
        <v>2.2999999999999998</v>
      </c>
      <c r="H14" s="86">
        <v>4.0999999999999996</v>
      </c>
      <c r="I14" s="86">
        <v>3.3</v>
      </c>
      <c r="J14" s="86">
        <v>4.2</v>
      </c>
      <c r="K14" s="86">
        <v>1</v>
      </c>
      <c r="L14" s="86">
        <v>3.3</v>
      </c>
      <c r="M14" s="86">
        <v>2.1</v>
      </c>
      <c r="N14" s="86">
        <v>1.1000000000000001</v>
      </c>
      <c r="O14" s="86">
        <v>1.6</v>
      </c>
      <c r="P14" s="86">
        <v>3</v>
      </c>
      <c r="Q14" s="86">
        <v>3.1</v>
      </c>
      <c r="R14" s="86">
        <v>1.6</v>
      </c>
      <c r="S14" s="86">
        <v>2.4</v>
      </c>
      <c r="T14" s="86">
        <v>2</v>
      </c>
      <c r="U14" s="86">
        <v>2.9</v>
      </c>
      <c r="V14" s="86">
        <v>2.1</v>
      </c>
      <c r="W14" s="86">
        <v>3.2</v>
      </c>
      <c r="X14" s="86">
        <v>2.4</v>
      </c>
      <c r="Y14" s="106">
        <v>3</v>
      </c>
      <c r="Z14" s="106">
        <v>2.6</v>
      </c>
      <c r="AA14" s="106">
        <v>3.1</v>
      </c>
      <c r="AB14" s="106">
        <v>4.0999999999999996</v>
      </c>
      <c r="AC14" s="106">
        <v>2.1</v>
      </c>
      <c r="AD14" s="106">
        <v>3</v>
      </c>
      <c r="AE14" s="106">
        <v>2.1</v>
      </c>
      <c r="AF14" s="106">
        <v>3.2</v>
      </c>
      <c r="AG14" s="103">
        <f t="shared" si="0"/>
        <v>82.199999999999974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1.2</v>
      </c>
      <c r="C15" s="86">
        <v>1.5</v>
      </c>
      <c r="D15" s="86">
        <v>1.3</v>
      </c>
      <c r="E15" s="86">
        <v>0</v>
      </c>
      <c r="F15" s="86">
        <v>1.5</v>
      </c>
      <c r="G15" s="86">
        <v>1.4</v>
      </c>
      <c r="H15" s="86">
        <v>1.2</v>
      </c>
      <c r="I15" s="86">
        <v>1.2</v>
      </c>
      <c r="J15" s="86">
        <v>1.4</v>
      </c>
      <c r="K15" s="86">
        <v>1.5</v>
      </c>
      <c r="L15" s="86">
        <v>1.7</v>
      </c>
      <c r="M15" s="86">
        <v>0.5</v>
      </c>
      <c r="N15" s="86">
        <v>1</v>
      </c>
      <c r="O15" s="86">
        <v>1.5</v>
      </c>
      <c r="P15" s="86">
        <v>1.3</v>
      </c>
      <c r="Q15" s="86">
        <v>1.5</v>
      </c>
      <c r="R15" s="86">
        <v>1.5</v>
      </c>
      <c r="S15" s="86">
        <v>0</v>
      </c>
      <c r="T15" s="86">
        <v>1.5</v>
      </c>
      <c r="U15" s="86">
        <v>1.3</v>
      </c>
      <c r="V15" s="86">
        <v>1.5</v>
      </c>
      <c r="W15" s="86">
        <v>1.2</v>
      </c>
      <c r="X15" s="86">
        <v>1.3</v>
      </c>
      <c r="Y15" s="86">
        <v>0.8</v>
      </c>
      <c r="Z15" s="86">
        <v>1</v>
      </c>
      <c r="AA15" s="86">
        <v>1.3</v>
      </c>
      <c r="AB15" s="86">
        <v>1</v>
      </c>
      <c r="AC15" s="86">
        <v>1</v>
      </c>
      <c r="AD15" s="86">
        <v>1.3</v>
      </c>
      <c r="AE15" s="86">
        <v>1.3</v>
      </c>
      <c r="AF15" s="86">
        <v>1.1000000000000001</v>
      </c>
      <c r="AG15" s="103">
        <f t="shared" si="0"/>
        <v>36.799999999999997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103">
        <f t="shared" si="0"/>
        <v>0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v>4</v>
      </c>
      <c r="C20" s="86">
        <v>3.5</v>
      </c>
      <c r="D20" s="86">
        <v>4.5</v>
      </c>
      <c r="E20" s="86">
        <v>4.4000000000000004</v>
      </c>
      <c r="F20" s="86">
        <v>4.8</v>
      </c>
      <c r="G20" s="86">
        <v>3.5</v>
      </c>
      <c r="H20" s="86">
        <v>3</v>
      </c>
      <c r="I20" s="86">
        <v>2.2000000000000002</v>
      </c>
      <c r="J20" s="86">
        <v>3.1</v>
      </c>
      <c r="K20" s="86">
        <v>2.5</v>
      </c>
      <c r="L20" s="86">
        <v>1.9</v>
      </c>
      <c r="M20" s="86">
        <v>1.7</v>
      </c>
      <c r="N20" s="86">
        <v>2.2999999999999998</v>
      </c>
      <c r="O20" s="86">
        <v>2.2000000000000002</v>
      </c>
      <c r="P20" s="86">
        <v>2.8</v>
      </c>
      <c r="Q20" s="86">
        <v>3</v>
      </c>
      <c r="R20" s="86">
        <v>3.2</v>
      </c>
      <c r="S20" s="86">
        <v>2.4</v>
      </c>
      <c r="T20" s="86">
        <v>1.9</v>
      </c>
      <c r="U20" s="86">
        <v>2.5</v>
      </c>
      <c r="V20" s="86">
        <v>4</v>
      </c>
      <c r="W20" s="86">
        <v>3.7</v>
      </c>
      <c r="X20" s="86">
        <v>2.8</v>
      </c>
      <c r="Y20" s="86">
        <v>2.5</v>
      </c>
      <c r="Z20" s="86">
        <v>3.8</v>
      </c>
      <c r="AA20" s="86">
        <v>2.1</v>
      </c>
      <c r="AB20" s="86">
        <v>1.7</v>
      </c>
      <c r="AC20" s="86">
        <v>1.9</v>
      </c>
      <c r="AD20" s="86">
        <v>2</v>
      </c>
      <c r="AE20" s="86">
        <v>3.9</v>
      </c>
      <c r="AF20" s="86">
        <v>2</v>
      </c>
      <c r="AG20" s="103">
        <f t="shared" si="0"/>
        <v>89.8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1.9</v>
      </c>
      <c r="C21" s="86">
        <v>0</v>
      </c>
      <c r="D21" s="86">
        <v>2.2999999999999998</v>
      </c>
      <c r="E21" s="86">
        <v>0</v>
      </c>
      <c r="F21" s="86">
        <v>2.7</v>
      </c>
      <c r="G21" s="86">
        <v>0</v>
      </c>
      <c r="H21" s="86">
        <v>1.9</v>
      </c>
      <c r="I21" s="86">
        <v>0</v>
      </c>
      <c r="J21" s="86">
        <v>0</v>
      </c>
      <c r="K21" s="86">
        <v>1.9</v>
      </c>
      <c r="L21" s="86">
        <v>2.7</v>
      </c>
      <c r="M21" s="86">
        <v>0</v>
      </c>
      <c r="N21" s="86">
        <v>2.9</v>
      </c>
      <c r="O21" s="86">
        <v>0</v>
      </c>
      <c r="P21" s="86">
        <v>3</v>
      </c>
      <c r="Q21" s="86">
        <v>0</v>
      </c>
      <c r="R21" s="86">
        <v>0</v>
      </c>
      <c r="S21" s="86">
        <v>2.7</v>
      </c>
      <c r="T21" s="86">
        <v>0</v>
      </c>
      <c r="U21" s="86">
        <v>1.7</v>
      </c>
      <c r="V21" s="86">
        <v>0</v>
      </c>
      <c r="W21" s="86">
        <v>1.2</v>
      </c>
      <c r="X21" s="86">
        <v>0</v>
      </c>
      <c r="Y21" s="86">
        <v>2.5</v>
      </c>
      <c r="Z21" s="86">
        <v>0</v>
      </c>
      <c r="AA21" s="86">
        <v>2</v>
      </c>
      <c r="AB21" s="86">
        <v>0</v>
      </c>
      <c r="AC21" s="86">
        <v>2.8</v>
      </c>
      <c r="AD21" s="86">
        <v>0</v>
      </c>
      <c r="AE21" s="86">
        <v>2.2999999999999998</v>
      </c>
      <c r="AF21" s="86">
        <v>0</v>
      </c>
      <c r="AG21" s="132">
        <f t="shared" si="0"/>
        <v>34.499999999999993</v>
      </c>
      <c r="AH21" s="120"/>
      <c r="AI21" s="120"/>
    </row>
    <row r="22" spans="1:35" s="91" customFormat="1" ht="18.75" customHeight="1" x14ac:dyDescent="0.25">
      <c r="A22" s="62" t="s">
        <v>75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103">
        <f t="shared" si="0"/>
        <v>0</v>
      </c>
      <c r="AH22" s="120"/>
      <c r="AI22" s="120"/>
    </row>
    <row r="23" spans="1:35" s="91" customFormat="1" ht="18.75" customHeight="1" x14ac:dyDescent="0.25">
      <c r="A23" s="62" t="s">
        <v>77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103">
        <f t="shared" si="0"/>
        <v>0</v>
      </c>
      <c r="AH23" s="120"/>
      <c r="AI23" s="120"/>
    </row>
    <row r="24" spans="1:35" s="91" customFormat="1" ht="18.75" customHeight="1" x14ac:dyDescent="0.25">
      <c r="A24" s="62" t="s">
        <v>78</v>
      </c>
      <c r="B24" s="86">
        <v>6</v>
      </c>
      <c r="C24" s="86">
        <v>8</v>
      </c>
      <c r="D24" s="86">
        <v>8</v>
      </c>
      <c r="E24" s="86">
        <v>6</v>
      </c>
      <c r="F24" s="86">
        <v>7</v>
      </c>
      <c r="G24" s="86">
        <v>6</v>
      </c>
      <c r="H24" s="86">
        <v>8</v>
      </c>
      <c r="I24" s="86">
        <v>5</v>
      </c>
      <c r="J24" s="86">
        <v>5</v>
      </c>
      <c r="K24" s="86">
        <v>7</v>
      </c>
      <c r="L24" s="86">
        <v>6</v>
      </c>
      <c r="M24" s="86">
        <v>4</v>
      </c>
      <c r="N24" s="86">
        <v>6</v>
      </c>
      <c r="O24" s="86">
        <v>6</v>
      </c>
      <c r="P24" s="86">
        <v>4</v>
      </c>
      <c r="Q24" s="86">
        <v>5</v>
      </c>
      <c r="R24" s="86">
        <v>7</v>
      </c>
      <c r="S24" s="86">
        <v>7</v>
      </c>
      <c r="T24" s="86">
        <v>5</v>
      </c>
      <c r="U24" s="86">
        <v>7</v>
      </c>
      <c r="V24" s="86">
        <v>7</v>
      </c>
      <c r="W24" s="86">
        <v>5</v>
      </c>
      <c r="X24" s="86">
        <v>7</v>
      </c>
      <c r="Y24" s="86">
        <v>6</v>
      </c>
      <c r="Z24" s="86">
        <v>6</v>
      </c>
      <c r="AA24" s="86">
        <v>5</v>
      </c>
      <c r="AB24" s="86">
        <v>3</v>
      </c>
      <c r="AC24" s="86">
        <v>4</v>
      </c>
      <c r="AD24" s="86">
        <v>6</v>
      </c>
      <c r="AE24" s="86">
        <v>6</v>
      </c>
      <c r="AF24" s="86">
        <v>6</v>
      </c>
      <c r="AG24" s="103">
        <f t="shared" si="0"/>
        <v>184</v>
      </c>
      <c r="AH24" s="120"/>
      <c r="AI24" s="120"/>
    </row>
    <row r="25" spans="1:35" s="91" customFormat="1" ht="18.75" customHeight="1" x14ac:dyDescent="0.25">
      <c r="A25" s="62" t="s">
        <v>79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>
        <v>2.2999999999999998</v>
      </c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>
        <v>2.1</v>
      </c>
      <c r="AD25" s="86"/>
      <c r="AE25" s="86"/>
      <c r="AF25" s="86"/>
      <c r="AG25" s="103">
        <f t="shared" si="0"/>
        <v>4.4000000000000004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33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25">
      <c r="A29" s="62" t="s">
        <v>81</v>
      </c>
      <c r="B29" s="106">
        <v>4.2</v>
      </c>
      <c r="C29" s="106">
        <v>3.2</v>
      </c>
      <c r="D29" s="106">
        <v>3.2</v>
      </c>
      <c r="E29" s="106">
        <v>3.3</v>
      </c>
      <c r="F29" s="106">
        <v>4.2</v>
      </c>
      <c r="G29" s="106">
        <v>4.2</v>
      </c>
      <c r="H29" s="106">
        <v>3.8</v>
      </c>
      <c r="I29" s="106">
        <v>3</v>
      </c>
      <c r="J29" s="106">
        <v>2.8</v>
      </c>
      <c r="K29" s="106">
        <v>4</v>
      </c>
      <c r="L29" s="106">
        <v>4.4000000000000004</v>
      </c>
      <c r="M29" s="106">
        <v>3.3</v>
      </c>
      <c r="N29" s="106">
        <v>4.2</v>
      </c>
      <c r="O29" s="106">
        <v>3.4</v>
      </c>
      <c r="P29" s="106">
        <v>3</v>
      </c>
      <c r="Q29" s="106">
        <v>3.6</v>
      </c>
      <c r="R29" s="106">
        <v>4.2</v>
      </c>
      <c r="S29" s="106">
        <v>3.6</v>
      </c>
      <c r="T29" s="106">
        <v>3</v>
      </c>
      <c r="U29" s="106">
        <v>3.8</v>
      </c>
      <c r="V29" s="106">
        <v>3.6</v>
      </c>
      <c r="W29" s="106">
        <v>3.1</v>
      </c>
      <c r="X29" s="106">
        <v>3.8</v>
      </c>
      <c r="Y29" s="106">
        <v>4</v>
      </c>
      <c r="Z29" s="106">
        <v>3.1</v>
      </c>
      <c r="AA29" s="106">
        <v>4</v>
      </c>
      <c r="AB29" s="106">
        <v>3.3</v>
      </c>
      <c r="AC29" s="106">
        <v>2.8</v>
      </c>
      <c r="AD29" s="106">
        <v>4</v>
      </c>
      <c r="AE29" s="106">
        <v>4.2</v>
      </c>
      <c r="AF29" s="88">
        <v>3</v>
      </c>
      <c r="AG29" s="103">
        <f t="shared" si="0"/>
        <v>111.29999999999998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4.5</v>
      </c>
      <c r="C31" s="106">
        <v>5</v>
      </c>
      <c r="D31" s="106">
        <v>6.3</v>
      </c>
      <c r="E31" s="106">
        <v>5.5</v>
      </c>
      <c r="F31" s="106">
        <v>4.0999999999999996</v>
      </c>
      <c r="G31" s="106">
        <v>6.4</v>
      </c>
      <c r="H31" s="106">
        <v>5.8</v>
      </c>
      <c r="I31" s="106">
        <v>4.9000000000000004</v>
      </c>
      <c r="J31" s="106">
        <v>4.7</v>
      </c>
      <c r="K31" s="106">
        <v>5.9</v>
      </c>
      <c r="L31" s="106">
        <v>6.3</v>
      </c>
      <c r="M31" s="106">
        <v>5.8</v>
      </c>
      <c r="N31" s="106">
        <v>6.5</v>
      </c>
      <c r="O31" s="106">
        <v>7</v>
      </c>
      <c r="P31" s="106">
        <v>4.5</v>
      </c>
      <c r="Q31" s="106">
        <v>4.4000000000000004</v>
      </c>
      <c r="R31" s="106">
        <v>5.4</v>
      </c>
      <c r="S31" s="106">
        <v>6.3</v>
      </c>
      <c r="T31" s="106">
        <v>6</v>
      </c>
      <c r="U31" s="106">
        <v>6</v>
      </c>
      <c r="V31" s="106">
        <v>5.5</v>
      </c>
      <c r="W31" s="106">
        <v>4.8</v>
      </c>
      <c r="X31" s="106">
        <v>5.0999999999999996</v>
      </c>
      <c r="Y31" s="106">
        <v>6.2</v>
      </c>
      <c r="Z31" s="106">
        <v>6.5</v>
      </c>
      <c r="AA31" s="106">
        <v>5.5</v>
      </c>
      <c r="AB31" s="106">
        <v>4.9000000000000004</v>
      </c>
      <c r="AC31" s="106">
        <v>5.3</v>
      </c>
      <c r="AD31" s="106">
        <v>6.2</v>
      </c>
      <c r="AE31" s="106">
        <v>5.5</v>
      </c>
      <c r="AF31" s="88">
        <v>7.1</v>
      </c>
      <c r="AG31" s="103">
        <f t="shared" si="0"/>
        <v>173.89999999999998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32.200000000000003</v>
      </c>
      <c r="C33" s="87">
        <f t="shared" ref="C33:AF33" si="1">SUM(C3:C32)</f>
        <v>34</v>
      </c>
      <c r="D33" s="87">
        <f t="shared" si="1"/>
        <v>37.6</v>
      </c>
      <c r="E33" s="87">
        <f t="shared" si="1"/>
        <v>28.5</v>
      </c>
      <c r="F33" s="87">
        <f t="shared" si="1"/>
        <v>33</v>
      </c>
      <c r="G33" s="87">
        <f t="shared" si="1"/>
        <v>32.9</v>
      </c>
      <c r="H33" s="87">
        <f t="shared" si="1"/>
        <v>37.4</v>
      </c>
      <c r="I33" s="87">
        <f t="shared" si="1"/>
        <v>27.5</v>
      </c>
      <c r="J33" s="87">
        <f t="shared" si="1"/>
        <v>29.9</v>
      </c>
      <c r="K33" s="87">
        <f t="shared" si="1"/>
        <v>33.1</v>
      </c>
      <c r="L33" s="87">
        <f t="shared" si="1"/>
        <v>34.5</v>
      </c>
      <c r="M33" s="87">
        <f t="shared" si="1"/>
        <v>28.3</v>
      </c>
      <c r="N33" s="87">
        <f t="shared" si="1"/>
        <v>33</v>
      </c>
      <c r="O33" s="87">
        <f t="shared" si="1"/>
        <v>30.7</v>
      </c>
      <c r="P33" s="87">
        <f t="shared" si="1"/>
        <v>30</v>
      </c>
      <c r="Q33" s="87">
        <f t="shared" si="1"/>
        <v>28.9</v>
      </c>
      <c r="R33" s="87">
        <f t="shared" si="1"/>
        <v>32.1</v>
      </c>
      <c r="S33" s="87">
        <f t="shared" si="1"/>
        <v>32.9</v>
      </c>
      <c r="T33" s="87">
        <f t="shared" si="1"/>
        <v>29.6</v>
      </c>
      <c r="U33" s="87">
        <f t="shared" si="1"/>
        <v>33.299999999999997</v>
      </c>
      <c r="V33" s="87">
        <f t="shared" si="1"/>
        <v>32.5</v>
      </c>
      <c r="W33" s="87">
        <f t="shared" si="1"/>
        <v>31.7</v>
      </c>
      <c r="X33" s="87">
        <f t="shared" si="1"/>
        <v>30</v>
      </c>
      <c r="Y33" s="87">
        <f t="shared" si="1"/>
        <v>32.900000000000006</v>
      </c>
      <c r="Z33" s="87">
        <f t="shared" si="1"/>
        <v>29.8</v>
      </c>
      <c r="AA33" s="87">
        <f t="shared" si="1"/>
        <v>30.6</v>
      </c>
      <c r="AB33" s="87">
        <f t="shared" si="1"/>
        <v>25.700000000000003</v>
      </c>
      <c r="AC33" s="87">
        <f t="shared" si="1"/>
        <v>31.900000000000002</v>
      </c>
      <c r="AD33" s="87">
        <f t="shared" si="1"/>
        <v>31.599999999999998</v>
      </c>
      <c r="AE33" s="87">
        <f t="shared" si="1"/>
        <v>34.099999999999994</v>
      </c>
      <c r="AF33" s="87">
        <f t="shared" si="1"/>
        <v>31.5</v>
      </c>
      <c r="AG33" s="105">
        <f t="shared" si="0"/>
        <v>981.7</v>
      </c>
      <c r="AH33" s="134"/>
      <c r="AI33" s="134"/>
    </row>
    <row r="34" spans="1:35" s="91" customFormat="1" x14ac:dyDescent="0.25">
      <c r="A34" s="136"/>
      <c r="AG34" s="24">
        <f>SUM(AG3:AG31)</f>
        <v>981.69999999999993</v>
      </c>
    </row>
  </sheetData>
  <mergeCells count="1">
    <mergeCell ref="A1:AG1"/>
  </mergeCells>
  <conditionalFormatting sqref="AG33">
    <cfRule type="cellIs" dxfId="19" priority="2" operator="equal">
      <formula>$AG$34</formula>
    </cfRule>
  </conditionalFormatting>
  <conditionalFormatting sqref="AG34">
    <cfRule type="cellIs" dxfId="18" priority="1" operator="equal">
      <formula>$AG$33</formula>
    </cfRule>
  </conditionalFormatting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v>0.5</v>
      </c>
      <c r="C3" s="91">
        <v>0.4</v>
      </c>
      <c r="D3" s="85">
        <v>0.3</v>
      </c>
      <c r="E3" s="85">
        <v>0</v>
      </c>
      <c r="F3" s="85">
        <v>0.4</v>
      </c>
      <c r="G3" s="86">
        <v>0.3</v>
      </c>
      <c r="H3" s="85">
        <v>0.4</v>
      </c>
      <c r="I3" s="86">
        <v>0.2</v>
      </c>
      <c r="J3" s="85">
        <v>0.5</v>
      </c>
      <c r="K3" s="86">
        <v>0.7</v>
      </c>
      <c r="L3" s="85">
        <v>0</v>
      </c>
      <c r="M3" s="86">
        <v>0</v>
      </c>
      <c r="N3" s="85">
        <v>0.5</v>
      </c>
      <c r="O3" s="85">
        <v>0.3</v>
      </c>
      <c r="P3" s="86">
        <v>0.4</v>
      </c>
      <c r="Q3" s="85">
        <v>0.4</v>
      </c>
      <c r="R3" s="85">
        <v>0.2</v>
      </c>
      <c r="S3" s="86">
        <v>0</v>
      </c>
      <c r="T3" s="86">
        <v>0</v>
      </c>
      <c r="U3" s="86">
        <v>0.7</v>
      </c>
      <c r="V3" s="86">
        <v>0.4</v>
      </c>
      <c r="W3" s="85">
        <v>0.2</v>
      </c>
      <c r="X3" s="85">
        <v>0.5</v>
      </c>
      <c r="Y3" s="85">
        <v>0.3</v>
      </c>
      <c r="Z3" s="85">
        <v>0</v>
      </c>
      <c r="AA3" s="85">
        <v>0.5</v>
      </c>
      <c r="AB3" s="85">
        <v>0.7</v>
      </c>
      <c r="AC3" s="85">
        <v>0.9</v>
      </c>
      <c r="AD3" s="85">
        <v>1</v>
      </c>
      <c r="AE3" s="85">
        <v>0.5</v>
      </c>
      <c r="AF3" s="85">
        <v>0.3</v>
      </c>
      <c r="AG3" s="103">
        <f>SUM(B3:AF3)</f>
        <v>11.500000000000002</v>
      </c>
      <c r="AH3" s="119"/>
      <c r="AI3" s="120"/>
    </row>
    <row r="4" spans="1:35" s="91" customFormat="1" ht="33" customHeight="1" x14ac:dyDescent="0.25">
      <c r="A4" s="138" t="s">
        <v>193</v>
      </c>
      <c r="B4" s="87">
        <v>1.9</v>
      </c>
      <c r="C4" s="87">
        <v>1.3</v>
      </c>
      <c r="D4" s="87">
        <v>2.1</v>
      </c>
      <c r="E4" s="87">
        <v>1.9</v>
      </c>
      <c r="F4" s="87">
        <v>1.1000000000000001</v>
      </c>
      <c r="G4" s="87">
        <v>1.9</v>
      </c>
      <c r="H4" s="87">
        <v>2.1</v>
      </c>
      <c r="I4" s="87">
        <v>1.7</v>
      </c>
      <c r="J4" s="87">
        <v>1.6</v>
      </c>
      <c r="K4" s="87">
        <v>1.7</v>
      </c>
      <c r="L4" s="87">
        <v>0.5</v>
      </c>
      <c r="M4" s="87">
        <v>1.7</v>
      </c>
      <c r="N4" s="87">
        <v>0.6</v>
      </c>
      <c r="O4" s="87">
        <v>1.1000000000000001</v>
      </c>
      <c r="P4" s="87">
        <v>1.9</v>
      </c>
      <c r="Q4" s="87">
        <v>1.3</v>
      </c>
      <c r="R4" s="87">
        <v>0.1</v>
      </c>
      <c r="S4" s="87">
        <v>0.7</v>
      </c>
      <c r="T4" s="87">
        <v>0.7</v>
      </c>
      <c r="U4" s="87">
        <v>0.9</v>
      </c>
      <c r="V4" s="87">
        <v>0.3</v>
      </c>
      <c r="W4" s="87">
        <v>2</v>
      </c>
      <c r="X4" s="87">
        <v>0.9</v>
      </c>
      <c r="Y4" s="87">
        <v>0.7</v>
      </c>
      <c r="Z4" s="87">
        <v>0.3</v>
      </c>
      <c r="AA4" s="87">
        <v>1.3</v>
      </c>
      <c r="AB4" s="87">
        <v>1.1000000000000001</v>
      </c>
      <c r="AC4" s="87">
        <v>0.9</v>
      </c>
      <c r="AD4" s="87">
        <v>0.7</v>
      </c>
      <c r="AE4" s="87">
        <v>0.4</v>
      </c>
      <c r="AF4" s="87">
        <v>0.7</v>
      </c>
      <c r="AG4" s="103">
        <f t="shared" ref="AG4:AG33" si="0">SUM(B4:AF4)</f>
        <v>36.1</v>
      </c>
      <c r="AH4" s="120"/>
      <c r="AI4" s="120"/>
    </row>
    <row r="5" spans="1:35" s="91" customFormat="1" ht="18.75" customHeight="1" x14ac:dyDescent="0.25">
      <c r="A5" s="62" t="s">
        <v>83</v>
      </c>
      <c r="B5" s="87">
        <v>1.5</v>
      </c>
      <c r="C5" s="87">
        <v>1.3</v>
      </c>
      <c r="D5" s="87">
        <v>2</v>
      </c>
      <c r="E5" s="87">
        <v>0</v>
      </c>
      <c r="F5" s="87">
        <v>0</v>
      </c>
      <c r="G5" s="87">
        <v>0</v>
      </c>
      <c r="H5" s="87">
        <v>0</v>
      </c>
      <c r="I5" s="87">
        <v>0</v>
      </c>
      <c r="J5" s="87">
        <v>0</v>
      </c>
      <c r="K5" s="87">
        <v>0</v>
      </c>
      <c r="L5" s="87">
        <v>0</v>
      </c>
      <c r="M5" s="87">
        <v>0</v>
      </c>
      <c r="N5" s="87">
        <v>1.4</v>
      </c>
      <c r="O5" s="87">
        <v>1</v>
      </c>
      <c r="P5" s="87">
        <v>0.9</v>
      </c>
      <c r="Q5" s="87">
        <v>0.4</v>
      </c>
      <c r="R5" s="87">
        <v>2.2999999999999998</v>
      </c>
      <c r="S5" s="87">
        <v>0</v>
      </c>
      <c r="T5" s="87">
        <v>0</v>
      </c>
      <c r="U5" s="87">
        <v>0</v>
      </c>
      <c r="V5" s="87">
        <v>0</v>
      </c>
      <c r="W5" s="87">
        <v>0</v>
      </c>
      <c r="X5" s="87">
        <v>0</v>
      </c>
      <c r="Y5" s="87">
        <v>0</v>
      </c>
      <c r="Z5" s="87">
        <v>0</v>
      </c>
      <c r="AA5" s="87">
        <v>1.3</v>
      </c>
      <c r="AB5" s="87">
        <v>1.1000000000000001</v>
      </c>
      <c r="AC5" s="87">
        <v>1.5</v>
      </c>
      <c r="AD5" s="87">
        <v>1.3</v>
      </c>
      <c r="AE5" s="87">
        <v>1.1000000000000001</v>
      </c>
      <c r="AF5" s="87">
        <v>2.2999999999999998</v>
      </c>
      <c r="AG5" s="103">
        <f t="shared" si="0"/>
        <v>19.400000000000002</v>
      </c>
      <c r="AH5" s="120"/>
      <c r="AI5" s="120"/>
    </row>
    <row r="6" spans="1:35" s="91" customFormat="1" ht="18.75" customHeight="1" x14ac:dyDescent="0.25">
      <c r="A6" s="62" t="s">
        <v>84</v>
      </c>
      <c r="B6" s="87">
        <v>2.1</v>
      </c>
      <c r="C6" s="87">
        <v>2</v>
      </c>
      <c r="D6" s="87">
        <v>1.8</v>
      </c>
      <c r="E6" s="87">
        <v>1.3</v>
      </c>
      <c r="F6" s="87">
        <v>1.6</v>
      </c>
      <c r="G6" s="87">
        <v>2.2000000000000002</v>
      </c>
      <c r="H6" s="87">
        <v>2.5</v>
      </c>
      <c r="I6" s="87">
        <v>2.1</v>
      </c>
      <c r="J6" s="87">
        <v>2.9</v>
      </c>
      <c r="K6" s="87">
        <v>3.3</v>
      </c>
      <c r="L6" s="87">
        <v>2.8</v>
      </c>
      <c r="M6" s="87">
        <v>2.1</v>
      </c>
      <c r="N6" s="87">
        <v>2.6</v>
      </c>
      <c r="O6" s="87">
        <v>2</v>
      </c>
      <c r="P6" s="87">
        <v>1.6</v>
      </c>
      <c r="Q6" s="87">
        <v>1.4</v>
      </c>
      <c r="R6" s="87">
        <v>2</v>
      </c>
      <c r="S6" s="87">
        <v>2.2000000000000002</v>
      </c>
      <c r="T6" s="87">
        <v>1.8</v>
      </c>
      <c r="U6" s="87">
        <v>1.2</v>
      </c>
      <c r="V6" s="87">
        <v>2</v>
      </c>
      <c r="W6" s="87">
        <v>1.7</v>
      </c>
      <c r="X6" s="87">
        <v>1.9</v>
      </c>
      <c r="Y6" s="87">
        <v>2.2000000000000002</v>
      </c>
      <c r="Z6" s="87">
        <v>2.1</v>
      </c>
      <c r="AA6" s="87">
        <v>3.1</v>
      </c>
      <c r="AB6" s="87">
        <v>3</v>
      </c>
      <c r="AC6" s="87">
        <v>3.3</v>
      </c>
      <c r="AD6" s="87">
        <v>3.3</v>
      </c>
      <c r="AE6" s="87">
        <v>3.7</v>
      </c>
      <c r="AF6" s="87">
        <v>4.0999999999999996</v>
      </c>
      <c r="AG6" s="103">
        <f t="shared" si="0"/>
        <v>71.900000000000006</v>
      </c>
      <c r="AH6" s="120"/>
      <c r="AI6" s="120"/>
    </row>
    <row r="7" spans="1:35" s="91" customFormat="1" ht="18.75" customHeight="1" x14ac:dyDescent="0.25">
      <c r="A7" s="62" t="s">
        <v>64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>
        <v>1.2</v>
      </c>
      <c r="C8" s="86">
        <v>1</v>
      </c>
      <c r="D8" s="86">
        <v>0.1</v>
      </c>
      <c r="E8" s="86">
        <v>0.8</v>
      </c>
      <c r="F8" s="86">
        <v>0.9</v>
      </c>
      <c r="G8" s="86">
        <v>2.1</v>
      </c>
      <c r="H8" s="86">
        <v>2</v>
      </c>
      <c r="I8" s="86">
        <v>1.9</v>
      </c>
      <c r="J8" s="86">
        <v>2.1</v>
      </c>
      <c r="K8" s="86">
        <v>1.8</v>
      </c>
      <c r="L8" s="86">
        <v>2.5</v>
      </c>
      <c r="M8" s="86">
        <v>0</v>
      </c>
      <c r="N8" s="86">
        <v>1.9</v>
      </c>
      <c r="O8" s="86">
        <v>0</v>
      </c>
      <c r="P8" s="86">
        <v>0</v>
      </c>
      <c r="Q8" s="86">
        <v>0</v>
      </c>
      <c r="R8" s="86">
        <v>2.1</v>
      </c>
      <c r="S8" s="86">
        <v>0.9</v>
      </c>
      <c r="T8" s="86">
        <v>1.9</v>
      </c>
      <c r="U8" s="86">
        <v>1.5</v>
      </c>
      <c r="V8" s="86">
        <v>1.4</v>
      </c>
      <c r="W8" s="86">
        <v>1.5</v>
      </c>
      <c r="X8" s="86">
        <v>1.2</v>
      </c>
      <c r="Y8" s="86">
        <v>1.3</v>
      </c>
      <c r="Z8" s="86">
        <v>1.1000000000000001</v>
      </c>
      <c r="AA8" s="86">
        <v>1</v>
      </c>
      <c r="AB8" s="86">
        <v>0.9</v>
      </c>
      <c r="AC8" s="86">
        <v>0.5</v>
      </c>
      <c r="AD8" s="86">
        <v>0.8</v>
      </c>
      <c r="AE8" s="86">
        <v>1.9</v>
      </c>
      <c r="AF8" s="86">
        <v>2.1</v>
      </c>
      <c r="AG8" s="103">
        <f t="shared" si="0"/>
        <v>38.4</v>
      </c>
      <c r="AH8" s="120"/>
      <c r="AI8" s="120"/>
    </row>
    <row r="9" spans="1:35" s="91" customFormat="1" ht="18.75" customHeight="1" x14ac:dyDescent="0.25">
      <c r="A9" s="62" t="s">
        <v>66</v>
      </c>
      <c r="B9" s="106">
        <v>8.3000000000000007</v>
      </c>
      <c r="C9" s="106">
        <v>8.1</v>
      </c>
      <c r="D9" s="106">
        <v>8.1</v>
      </c>
      <c r="E9" s="106">
        <v>8.1</v>
      </c>
      <c r="F9" s="106">
        <v>8.4</v>
      </c>
      <c r="G9" s="106">
        <v>8.5</v>
      </c>
      <c r="H9" s="106">
        <v>8.6</v>
      </c>
      <c r="I9" s="106">
        <v>0</v>
      </c>
      <c r="J9" s="106">
        <v>8.8000000000000007</v>
      </c>
      <c r="K9" s="106">
        <v>9.1999999999999993</v>
      </c>
      <c r="L9" s="106">
        <v>9.8000000000000007</v>
      </c>
      <c r="M9" s="106">
        <v>12.6</v>
      </c>
      <c r="N9" s="106">
        <v>8.6</v>
      </c>
      <c r="O9" s="106">
        <v>9.6999999999999993</v>
      </c>
      <c r="P9" s="106">
        <v>9.6999999999999993</v>
      </c>
      <c r="Q9" s="106">
        <v>10.5</v>
      </c>
      <c r="R9" s="106">
        <v>8.6</v>
      </c>
      <c r="S9" s="106">
        <v>9.9</v>
      </c>
      <c r="T9" s="106">
        <v>11.9</v>
      </c>
      <c r="U9" s="106">
        <v>8.4</v>
      </c>
      <c r="V9" s="106">
        <v>8.5</v>
      </c>
      <c r="W9" s="106">
        <v>8.6999999999999993</v>
      </c>
      <c r="X9" s="106">
        <v>10.6</v>
      </c>
      <c r="Y9" s="106">
        <v>10.6</v>
      </c>
      <c r="Z9" s="106">
        <v>8.1999999999999993</v>
      </c>
      <c r="AA9" s="106">
        <v>9.9</v>
      </c>
      <c r="AB9" s="106">
        <v>9.1999999999999993</v>
      </c>
      <c r="AC9" s="106">
        <v>8.8000000000000007</v>
      </c>
      <c r="AD9" s="106">
        <v>8.5</v>
      </c>
      <c r="AE9" s="106">
        <v>8.6999999999999993</v>
      </c>
      <c r="AF9" s="106">
        <v>10.6</v>
      </c>
      <c r="AG9" s="103">
        <f t="shared" si="0"/>
        <v>278.09999999999997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1</v>
      </c>
      <c r="C12" s="86">
        <v>2.2999999999999998</v>
      </c>
      <c r="D12" s="86">
        <v>1.5</v>
      </c>
      <c r="E12" s="86">
        <v>2</v>
      </c>
      <c r="F12" s="86">
        <v>1.4</v>
      </c>
      <c r="G12" s="86">
        <v>3.6</v>
      </c>
      <c r="H12" s="86">
        <v>4.7</v>
      </c>
      <c r="I12" s="86">
        <v>4.2</v>
      </c>
      <c r="J12" s="86">
        <v>2.9</v>
      </c>
      <c r="K12" s="86">
        <v>3.7</v>
      </c>
      <c r="L12" s="86">
        <v>2.9</v>
      </c>
      <c r="M12" s="86">
        <v>2.6</v>
      </c>
      <c r="N12" s="86">
        <v>2.9</v>
      </c>
      <c r="O12" s="86">
        <v>3.2</v>
      </c>
      <c r="P12" s="86">
        <v>3.9</v>
      </c>
      <c r="Q12" s="86">
        <v>2.5</v>
      </c>
      <c r="R12" s="86">
        <v>1.4</v>
      </c>
      <c r="S12" s="86">
        <v>3.1</v>
      </c>
      <c r="T12" s="86">
        <v>1.4</v>
      </c>
      <c r="U12" s="86">
        <v>1.8</v>
      </c>
      <c r="V12" s="86">
        <v>1.4</v>
      </c>
      <c r="W12" s="86">
        <v>2.9</v>
      </c>
      <c r="X12" s="86">
        <v>1.5</v>
      </c>
      <c r="Y12" s="86">
        <v>1.6</v>
      </c>
      <c r="Z12" s="86">
        <v>3.5</v>
      </c>
      <c r="AA12" s="86">
        <v>2.5</v>
      </c>
      <c r="AB12" s="86">
        <v>1.7</v>
      </c>
      <c r="AC12" s="86">
        <v>2.4</v>
      </c>
      <c r="AD12" s="86">
        <v>2.6</v>
      </c>
      <c r="AE12" s="86">
        <v>2.1</v>
      </c>
      <c r="AF12" s="86">
        <v>3.8</v>
      </c>
      <c r="AG12" s="103">
        <f t="shared" si="0"/>
        <v>78.999999999999986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62" t="s">
        <v>71</v>
      </c>
      <c r="B14" s="86">
        <v>7.9</v>
      </c>
      <c r="C14" s="86">
        <v>8.9</v>
      </c>
      <c r="D14" s="86">
        <v>12</v>
      </c>
      <c r="E14" s="86">
        <v>7.8</v>
      </c>
      <c r="F14" s="86">
        <v>6.5</v>
      </c>
      <c r="G14" s="86">
        <v>7.7</v>
      </c>
      <c r="H14" s="86">
        <v>5.4</v>
      </c>
      <c r="I14" s="86">
        <v>5.5</v>
      </c>
      <c r="J14" s="86">
        <v>7.6</v>
      </c>
      <c r="K14" s="86">
        <v>6.5</v>
      </c>
      <c r="L14" s="86">
        <v>6.6</v>
      </c>
      <c r="M14" s="86">
        <v>5.8</v>
      </c>
      <c r="N14" s="86">
        <v>6.3</v>
      </c>
      <c r="O14" s="86">
        <v>3.8</v>
      </c>
      <c r="P14" s="86">
        <v>9.9</v>
      </c>
      <c r="Q14" s="86">
        <v>7.8</v>
      </c>
      <c r="R14" s="86">
        <v>6.8</v>
      </c>
      <c r="S14" s="86">
        <v>6.8</v>
      </c>
      <c r="T14" s="86">
        <v>6.9</v>
      </c>
      <c r="U14" s="86">
        <v>4.7</v>
      </c>
      <c r="V14" s="86">
        <v>5.4</v>
      </c>
      <c r="W14" s="86">
        <v>4.0999999999999996</v>
      </c>
      <c r="X14" s="86">
        <v>9.6999999999999993</v>
      </c>
      <c r="Y14" s="106">
        <v>6.1</v>
      </c>
      <c r="Z14" s="106">
        <v>2.1</v>
      </c>
      <c r="AA14" s="106">
        <v>4.4000000000000004</v>
      </c>
      <c r="AB14" s="106">
        <v>5</v>
      </c>
      <c r="AC14" s="106">
        <v>0</v>
      </c>
      <c r="AD14" s="106">
        <v>0</v>
      </c>
      <c r="AE14" s="106">
        <v>0</v>
      </c>
      <c r="AF14" s="106">
        <v>0</v>
      </c>
      <c r="AG14" s="103">
        <f t="shared" si="0"/>
        <v>177.99999999999997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0</v>
      </c>
      <c r="C15" s="86">
        <v>0</v>
      </c>
      <c r="D15" s="86">
        <v>0</v>
      </c>
      <c r="E15" s="86">
        <v>0</v>
      </c>
      <c r="F15" s="86">
        <v>0.2</v>
      </c>
      <c r="G15" s="86">
        <v>0</v>
      </c>
      <c r="H15" s="86">
        <v>0</v>
      </c>
      <c r="I15" s="86">
        <v>0.1</v>
      </c>
      <c r="J15" s="86">
        <v>1</v>
      </c>
      <c r="K15" s="86">
        <v>1</v>
      </c>
      <c r="L15" s="86">
        <v>1.2</v>
      </c>
      <c r="M15" s="86">
        <v>1.3</v>
      </c>
      <c r="N15" s="86">
        <v>1.3</v>
      </c>
      <c r="O15" s="86">
        <v>1</v>
      </c>
      <c r="P15" s="86">
        <v>1</v>
      </c>
      <c r="Q15" s="86">
        <v>1</v>
      </c>
      <c r="R15" s="86">
        <v>0.5</v>
      </c>
      <c r="S15" s="86">
        <v>0.8</v>
      </c>
      <c r="T15" s="86">
        <v>1</v>
      </c>
      <c r="U15" s="86">
        <v>0.9</v>
      </c>
      <c r="V15" s="86">
        <v>0.1</v>
      </c>
      <c r="W15" s="86">
        <v>0.8</v>
      </c>
      <c r="X15" s="86">
        <v>0.5</v>
      </c>
      <c r="Y15" s="86">
        <v>1</v>
      </c>
      <c r="Z15" s="86">
        <v>1.5</v>
      </c>
      <c r="AA15" s="86">
        <v>1.5</v>
      </c>
      <c r="AB15" s="86">
        <v>1.3</v>
      </c>
      <c r="AC15" s="86">
        <v>1.7</v>
      </c>
      <c r="AD15" s="86" t="s">
        <v>218</v>
      </c>
      <c r="AE15" s="86">
        <v>1.6</v>
      </c>
      <c r="AF15" s="86">
        <v>1.3</v>
      </c>
      <c r="AG15" s="103">
        <f t="shared" si="0"/>
        <v>23.600000000000005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>
        <v>1.5</v>
      </c>
      <c r="C17" s="86">
        <v>1.3</v>
      </c>
      <c r="D17" s="86">
        <v>1.6</v>
      </c>
      <c r="E17" s="86">
        <v>1.8</v>
      </c>
      <c r="F17" s="86">
        <v>1.5</v>
      </c>
      <c r="G17" s="86">
        <v>1.6</v>
      </c>
      <c r="H17" s="86">
        <v>1.3</v>
      </c>
      <c r="I17" s="86">
        <v>1.2</v>
      </c>
      <c r="J17" s="86">
        <v>1.3</v>
      </c>
      <c r="K17" s="86">
        <v>1.6</v>
      </c>
      <c r="L17" s="86">
        <v>1.3</v>
      </c>
      <c r="M17" s="86">
        <v>1.9</v>
      </c>
      <c r="N17" s="86">
        <v>1.6</v>
      </c>
      <c r="O17" s="86">
        <v>1.2</v>
      </c>
      <c r="P17" s="86">
        <v>1.1000000000000001</v>
      </c>
      <c r="Q17" s="86">
        <v>1</v>
      </c>
      <c r="R17" s="86">
        <v>1.6</v>
      </c>
      <c r="S17" s="86">
        <v>1.3</v>
      </c>
      <c r="T17" s="86">
        <v>1.8</v>
      </c>
      <c r="U17" s="86">
        <v>2</v>
      </c>
      <c r="V17" s="86">
        <v>1.3</v>
      </c>
      <c r="W17" s="86">
        <v>1.2</v>
      </c>
      <c r="X17" s="86">
        <v>1.3</v>
      </c>
      <c r="Y17" s="86">
        <v>1.7</v>
      </c>
      <c r="Z17" s="86">
        <v>1.5</v>
      </c>
      <c r="AA17" s="86">
        <v>1.1000000000000001</v>
      </c>
      <c r="AB17" s="86">
        <v>1.2</v>
      </c>
      <c r="AC17" s="86">
        <v>1.6</v>
      </c>
      <c r="AD17" s="86">
        <v>1.1000000000000001</v>
      </c>
      <c r="AE17" s="86">
        <v>1.9</v>
      </c>
      <c r="AF17" s="86">
        <v>1.9</v>
      </c>
      <c r="AG17" s="103">
        <f t="shared" si="0"/>
        <v>45.300000000000011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v>3.7</v>
      </c>
      <c r="C20" s="86">
        <v>3.4</v>
      </c>
      <c r="D20" s="86">
        <v>2.7</v>
      </c>
      <c r="E20" s="86">
        <v>4.3</v>
      </c>
      <c r="F20" s="86">
        <v>2.5</v>
      </c>
      <c r="G20" s="86">
        <v>5.0999999999999996</v>
      </c>
      <c r="H20" s="86">
        <v>4</v>
      </c>
      <c r="I20" s="86">
        <v>4.8</v>
      </c>
      <c r="J20" s="86">
        <v>2.9</v>
      </c>
      <c r="K20" s="86">
        <v>3.3</v>
      </c>
      <c r="L20" s="86">
        <v>3.5</v>
      </c>
      <c r="M20" s="86">
        <v>2.5</v>
      </c>
      <c r="N20" s="86">
        <v>4.7</v>
      </c>
      <c r="O20" s="86">
        <v>3.9</v>
      </c>
      <c r="P20" s="86">
        <v>4.5</v>
      </c>
      <c r="Q20" s="86">
        <v>4.5999999999999996</v>
      </c>
      <c r="R20" s="86">
        <v>4.4000000000000004</v>
      </c>
      <c r="S20" s="86">
        <v>3.5</v>
      </c>
      <c r="T20" s="86">
        <v>4.9000000000000004</v>
      </c>
      <c r="U20" s="86">
        <v>5</v>
      </c>
      <c r="V20" s="86">
        <v>4.3</v>
      </c>
      <c r="W20" s="86">
        <v>3.5</v>
      </c>
      <c r="X20" s="86">
        <v>4.0999999999999996</v>
      </c>
      <c r="Y20" s="86">
        <v>4.3</v>
      </c>
      <c r="Z20" s="86">
        <v>4.9000000000000004</v>
      </c>
      <c r="AA20" s="86">
        <v>2.8</v>
      </c>
      <c r="AB20" s="86">
        <v>3.3</v>
      </c>
      <c r="AC20" s="86">
        <v>4</v>
      </c>
      <c r="AD20" s="86">
        <v>4.2</v>
      </c>
      <c r="AE20" s="86">
        <v>3.8</v>
      </c>
      <c r="AF20" s="86">
        <v>4.8</v>
      </c>
      <c r="AG20" s="103">
        <f t="shared" si="0"/>
        <v>122.2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4.2</v>
      </c>
      <c r="C21" s="86">
        <v>3.7</v>
      </c>
      <c r="D21" s="86">
        <v>6.3</v>
      </c>
      <c r="E21" s="86">
        <v>3.7</v>
      </c>
      <c r="F21" s="86">
        <v>5.9</v>
      </c>
      <c r="G21" s="86">
        <v>7.3</v>
      </c>
      <c r="H21" s="86">
        <v>3.9</v>
      </c>
      <c r="I21" s="86">
        <v>9.4</v>
      </c>
      <c r="J21" s="86">
        <v>6.8</v>
      </c>
      <c r="K21" s="86">
        <v>6</v>
      </c>
      <c r="L21" s="86">
        <v>6</v>
      </c>
      <c r="M21" s="86">
        <v>4.2</v>
      </c>
      <c r="N21" s="86">
        <v>5.7</v>
      </c>
      <c r="O21" s="86">
        <v>4.9000000000000004</v>
      </c>
      <c r="P21" s="86">
        <v>9</v>
      </c>
      <c r="Q21" s="86">
        <v>6.9</v>
      </c>
      <c r="R21" s="86">
        <v>3.9</v>
      </c>
      <c r="S21" s="86">
        <v>4.9000000000000004</v>
      </c>
      <c r="T21" s="86">
        <v>4.4000000000000004</v>
      </c>
      <c r="U21" s="86">
        <v>3.3</v>
      </c>
      <c r="V21" s="86">
        <v>4.2</v>
      </c>
      <c r="W21" s="86">
        <v>4</v>
      </c>
      <c r="X21" s="86">
        <v>3.5</v>
      </c>
      <c r="Y21" s="86">
        <v>4.9000000000000004</v>
      </c>
      <c r="Z21" s="86">
        <v>3.9</v>
      </c>
      <c r="AA21" s="86">
        <v>3.6</v>
      </c>
      <c r="AB21" s="86">
        <v>3.6</v>
      </c>
      <c r="AC21" s="86">
        <v>4.3</v>
      </c>
      <c r="AD21" s="86">
        <v>4.5999999999999996</v>
      </c>
      <c r="AE21" s="86">
        <v>3.3</v>
      </c>
      <c r="AF21" s="86">
        <v>3.9</v>
      </c>
      <c r="AG21" s="132">
        <f t="shared" si="0"/>
        <v>154.20000000000005</v>
      </c>
      <c r="AH21" s="120"/>
      <c r="AI21" s="120"/>
    </row>
    <row r="22" spans="1:35" s="91" customFormat="1" ht="18.75" customHeight="1" x14ac:dyDescent="0.25">
      <c r="A22" s="62" t="s">
        <v>75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103">
        <f t="shared" si="0"/>
        <v>0</v>
      </c>
      <c r="AH22" s="120"/>
      <c r="AI22" s="120"/>
    </row>
    <row r="23" spans="1:35" s="91" customFormat="1" ht="18.75" customHeight="1" x14ac:dyDescent="0.25">
      <c r="A23" s="62" t="s">
        <v>77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103">
        <f t="shared" si="0"/>
        <v>0</v>
      </c>
      <c r="AH23" s="120"/>
      <c r="AI23" s="120"/>
    </row>
    <row r="24" spans="1:35" s="91" customFormat="1" ht="18.75" customHeight="1" x14ac:dyDescent="0.25">
      <c r="A24" s="62" t="s">
        <v>78</v>
      </c>
      <c r="B24" s="86">
        <v>3</v>
      </c>
      <c r="C24" s="86">
        <v>3</v>
      </c>
      <c r="D24" s="86">
        <v>5</v>
      </c>
      <c r="E24" s="86">
        <v>5</v>
      </c>
      <c r="F24" s="86">
        <v>6</v>
      </c>
      <c r="G24" s="86">
        <v>3</v>
      </c>
      <c r="H24" s="86">
        <v>5</v>
      </c>
      <c r="I24" s="86">
        <v>7</v>
      </c>
      <c r="J24" s="86">
        <v>3</v>
      </c>
      <c r="K24" s="86">
        <v>5</v>
      </c>
      <c r="L24" s="86">
        <v>3</v>
      </c>
      <c r="M24" s="86">
        <v>5</v>
      </c>
      <c r="N24" s="86">
        <v>5</v>
      </c>
      <c r="O24" s="86">
        <v>6</v>
      </c>
      <c r="P24" s="86">
        <v>7</v>
      </c>
      <c r="Q24" s="86">
        <v>6</v>
      </c>
      <c r="R24" s="86">
        <v>4</v>
      </c>
      <c r="S24" s="86">
        <v>4</v>
      </c>
      <c r="T24" s="86">
        <v>5</v>
      </c>
      <c r="U24" s="86">
        <v>8</v>
      </c>
      <c r="V24" s="86">
        <v>9</v>
      </c>
      <c r="W24" s="86">
        <v>6</v>
      </c>
      <c r="X24" s="86">
        <v>3</v>
      </c>
      <c r="Y24" s="86">
        <v>5</v>
      </c>
      <c r="Z24" s="86">
        <v>3</v>
      </c>
      <c r="AA24" s="86">
        <v>3</v>
      </c>
      <c r="AB24" s="86">
        <v>5</v>
      </c>
      <c r="AC24" s="86">
        <v>5</v>
      </c>
      <c r="AD24" s="86">
        <v>3</v>
      </c>
      <c r="AE24" s="86">
        <v>5</v>
      </c>
      <c r="AF24" s="86">
        <v>4</v>
      </c>
      <c r="AG24" s="103">
        <f t="shared" si="0"/>
        <v>149</v>
      </c>
      <c r="AH24" s="120"/>
      <c r="AI24" s="120"/>
    </row>
    <row r="25" spans="1:35" s="91" customFormat="1" ht="18.75" customHeight="1" x14ac:dyDescent="0.25">
      <c r="A25" s="62" t="s">
        <v>79</v>
      </c>
      <c r="B25" s="86">
        <v>3.8</v>
      </c>
      <c r="C25" s="86">
        <v>4.8</v>
      </c>
      <c r="D25" s="86">
        <v>3.9</v>
      </c>
      <c r="E25" s="86">
        <v>3.8</v>
      </c>
      <c r="F25" s="86">
        <v>3.9</v>
      </c>
      <c r="G25" s="86">
        <v>4.8</v>
      </c>
      <c r="H25" s="86">
        <v>3.9</v>
      </c>
      <c r="I25" s="86">
        <v>5.6</v>
      </c>
      <c r="J25" s="86">
        <v>4.8</v>
      </c>
      <c r="K25" s="86">
        <v>6.7</v>
      </c>
      <c r="L25" s="86">
        <v>2.2999999999999998</v>
      </c>
      <c r="M25" s="86">
        <v>4.9000000000000004</v>
      </c>
      <c r="N25" s="86">
        <v>5.8</v>
      </c>
      <c r="O25" s="86">
        <v>6.7</v>
      </c>
      <c r="P25" s="86">
        <v>2.2999999999999998</v>
      </c>
      <c r="Q25" s="86">
        <v>3.2</v>
      </c>
      <c r="R25" s="86">
        <v>3.8</v>
      </c>
      <c r="S25" s="86">
        <v>4.0999999999999996</v>
      </c>
      <c r="T25" s="86">
        <v>4.2</v>
      </c>
      <c r="U25" s="86">
        <v>3.5</v>
      </c>
      <c r="V25" s="86">
        <v>3.2</v>
      </c>
      <c r="W25" s="86">
        <v>4.5</v>
      </c>
      <c r="X25" s="86">
        <v>4.0999999999999996</v>
      </c>
      <c r="Y25" s="86">
        <v>3.2</v>
      </c>
      <c r="Z25" s="86">
        <v>3.5</v>
      </c>
      <c r="AA25" s="86">
        <v>3.2</v>
      </c>
      <c r="AB25" s="86">
        <v>3.8</v>
      </c>
      <c r="AC25" s="86">
        <v>2.9</v>
      </c>
      <c r="AD25" s="86">
        <v>3.1</v>
      </c>
      <c r="AE25" s="86">
        <v>4.2</v>
      </c>
      <c r="AF25" s="86">
        <v>3</v>
      </c>
      <c r="AG25" s="103">
        <f t="shared" si="0"/>
        <v>125.49999999999999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06">
        <v>1.2</v>
      </c>
      <c r="C27" s="106">
        <v>3.5</v>
      </c>
      <c r="D27" s="106">
        <v>3.9</v>
      </c>
      <c r="E27" s="106">
        <v>4</v>
      </c>
      <c r="F27" s="106">
        <v>3.9</v>
      </c>
      <c r="G27" s="106">
        <v>3.8</v>
      </c>
      <c r="H27" s="106">
        <v>3.2</v>
      </c>
      <c r="I27" s="106">
        <v>2.9</v>
      </c>
      <c r="J27" s="106">
        <v>0</v>
      </c>
      <c r="K27" s="106">
        <v>0</v>
      </c>
      <c r="L27" s="106">
        <v>0</v>
      </c>
      <c r="M27" s="106">
        <v>0</v>
      </c>
      <c r="N27" s="106">
        <v>0</v>
      </c>
      <c r="O27" s="106">
        <v>0</v>
      </c>
      <c r="P27" s="106">
        <v>0</v>
      </c>
      <c r="Q27" s="106">
        <v>0</v>
      </c>
      <c r="R27" s="106">
        <v>3.5</v>
      </c>
      <c r="S27" s="106">
        <v>3.9</v>
      </c>
      <c r="T27" s="106">
        <v>4</v>
      </c>
      <c r="U27" s="106">
        <v>3.8</v>
      </c>
      <c r="V27" s="106">
        <v>3.2</v>
      </c>
      <c r="W27" s="106">
        <v>2.9</v>
      </c>
      <c r="X27" s="106">
        <v>4.5</v>
      </c>
      <c r="Y27" s="106">
        <v>3.7</v>
      </c>
      <c r="Z27" s="106">
        <v>0</v>
      </c>
      <c r="AA27" s="106">
        <v>0</v>
      </c>
      <c r="AB27" s="106">
        <v>0</v>
      </c>
      <c r="AC27" s="106">
        <v>0</v>
      </c>
      <c r="AD27" s="106">
        <v>0</v>
      </c>
      <c r="AE27" s="106">
        <v>0</v>
      </c>
      <c r="AF27" s="133">
        <v>0</v>
      </c>
      <c r="AG27" s="103">
        <f t="shared" si="0"/>
        <v>55.9</v>
      </c>
      <c r="AH27" s="120"/>
      <c r="AI27" s="120"/>
    </row>
    <row r="28" spans="1:35" s="91" customFormat="1" ht="18.75" customHeight="1" x14ac:dyDescent="0.25">
      <c r="A28" s="62" t="s">
        <v>76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25">
      <c r="A29" s="62" t="s">
        <v>81</v>
      </c>
      <c r="B29" s="106">
        <v>3</v>
      </c>
      <c r="C29" s="106">
        <v>3.3</v>
      </c>
      <c r="D29" s="106">
        <f>1.9+0.9</f>
        <v>2.8</v>
      </c>
      <c r="E29" s="106">
        <v>2</v>
      </c>
      <c r="F29" s="106">
        <v>3.5</v>
      </c>
      <c r="G29" s="106">
        <f>1.9+1.3</f>
        <v>3.2</v>
      </c>
      <c r="H29" s="106">
        <v>3.6</v>
      </c>
      <c r="I29" s="106">
        <f>1.8+1.3</f>
        <v>3.1</v>
      </c>
      <c r="J29" s="106">
        <f>1.8+1.6</f>
        <v>3.4000000000000004</v>
      </c>
      <c r="K29" s="106">
        <v>3.8</v>
      </c>
      <c r="L29" s="106">
        <f>1.7+1.4</f>
        <v>3.0999999999999996</v>
      </c>
      <c r="M29" s="106">
        <f>1.9+1.5</f>
        <v>3.4</v>
      </c>
      <c r="N29" s="106">
        <v>4.0999999999999996</v>
      </c>
      <c r="O29" s="106">
        <f>1.9+1.7</f>
        <v>3.5999999999999996</v>
      </c>
      <c r="P29" s="106">
        <v>3.8</v>
      </c>
      <c r="Q29" s="106">
        <f>1.9+1.6</f>
        <v>3.5</v>
      </c>
      <c r="R29" s="106">
        <f>1.7+1.9</f>
        <v>3.5999999999999996</v>
      </c>
      <c r="S29" s="106">
        <v>2.7</v>
      </c>
      <c r="T29" s="106">
        <f>1.7+1.5</f>
        <v>3.2</v>
      </c>
      <c r="U29" s="106">
        <f>1.8+1.6</f>
        <v>3.4000000000000004</v>
      </c>
      <c r="V29" s="106">
        <v>3.7</v>
      </c>
      <c r="W29" s="106">
        <f>1.9+1.6</f>
        <v>3.5</v>
      </c>
      <c r="X29" s="106">
        <f>1.8+1.6</f>
        <v>3.4000000000000004</v>
      </c>
      <c r="Y29" s="106">
        <v>0</v>
      </c>
      <c r="Z29" s="106">
        <f>1.9+1.7</f>
        <v>3.5999999999999996</v>
      </c>
      <c r="AA29" s="106">
        <v>3.8</v>
      </c>
      <c r="AB29" s="106">
        <f>1.9+1.7</f>
        <v>3.5999999999999996</v>
      </c>
      <c r="AC29" s="106">
        <f>1.8+1.6</f>
        <v>3.4000000000000004</v>
      </c>
      <c r="AD29" s="106">
        <f>1.9+1.7</f>
        <v>3.5999999999999996</v>
      </c>
      <c r="AE29" s="106">
        <v>3.7</v>
      </c>
      <c r="AF29" s="88">
        <v>3.8</v>
      </c>
      <c r="AG29" s="103">
        <f t="shared" si="0"/>
        <v>102.2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5.9</v>
      </c>
      <c r="C31" s="106">
        <v>5.5</v>
      </c>
      <c r="D31" s="106">
        <v>6.3</v>
      </c>
      <c r="E31" s="106">
        <v>5.0999999999999996</v>
      </c>
      <c r="F31" s="106">
        <v>5</v>
      </c>
      <c r="G31" s="106">
        <v>6</v>
      </c>
      <c r="H31" s="106">
        <v>5.4</v>
      </c>
      <c r="I31" s="106">
        <v>6.2</v>
      </c>
      <c r="J31" s="106">
        <v>4.9000000000000004</v>
      </c>
      <c r="K31" s="106">
        <v>5</v>
      </c>
      <c r="L31" s="106">
        <v>5.0999999999999996</v>
      </c>
      <c r="M31" s="106">
        <v>6.2</v>
      </c>
      <c r="N31" s="106">
        <v>5.5</v>
      </c>
      <c r="O31" s="106">
        <v>5.3</v>
      </c>
      <c r="P31" s="106">
        <v>6.1</v>
      </c>
      <c r="Q31" s="106">
        <v>6</v>
      </c>
      <c r="R31" s="106">
        <v>5.3</v>
      </c>
      <c r="S31" s="106">
        <v>5.5</v>
      </c>
      <c r="T31" s="106">
        <v>5.4</v>
      </c>
      <c r="U31" s="106">
        <v>5.3</v>
      </c>
      <c r="V31" s="106">
        <v>5.0999999999999996</v>
      </c>
      <c r="W31" s="106">
        <v>6.2</v>
      </c>
      <c r="X31" s="106">
        <v>5.0999999999999996</v>
      </c>
      <c r="Y31" s="106">
        <v>4.8</v>
      </c>
      <c r="Z31" s="106">
        <v>4.9000000000000004</v>
      </c>
      <c r="AA31" s="106">
        <v>5.2</v>
      </c>
      <c r="AB31" s="106">
        <v>5.5</v>
      </c>
      <c r="AC31" s="106">
        <v>5.0999999999999996</v>
      </c>
      <c r="AD31" s="106">
        <v>6</v>
      </c>
      <c r="AE31" s="106">
        <v>5.2</v>
      </c>
      <c r="AF31" s="88">
        <v>5.5</v>
      </c>
      <c r="AG31" s="103">
        <f t="shared" si="0"/>
        <v>169.59999999999997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50.699999999999996</v>
      </c>
      <c r="C33" s="87">
        <f t="shared" ref="C33:AF33" si="1">SUM(C3:C32)</f>
        <v>53.79999999999999</v>
      </c>
      <c r="D33" s="87">
        <f t="shared" si="1"/>
        <v>60.399999999999991</v>
      </c>
      <c r="E33" s="87">
        <f t="shared" si="1"/>
        <v>51.6</v>
      </c>
      <c r="F33" s="87">
        <f t="shared" si="1"/>
        <v>52.699999999999996</v>
      </c>
      <c r="G33" s="87">
        <f t="shared" si="1"/>
        <v>61.099999999999994</v>
      </c>
      <c r="H33" s="87">
        <f t="shared" si="1"/>
        <v>56.000000000000007</v>
      </c>
      <c r="I33" s="87">
        <f t="shared" si="1"/>
        <v>55.900000000000006</v>
      </c>
      <c r="J33" s="87">
        <f t="shared" si="1"/>
        <v>54.499999999999993</v>
      </c>
      <c r="K33" s="87">
        <f t="shared" si="1"/>
        <v>59.3</v>
      </c>
      <c r="L33" s="87">
        <f t="shared" si="1"/>
        <v>50.6</v>
      </c>
      <c r="M33" s="87">
        <f t="shared" si="1"/>
        <v>54.2</v>
      </c>
      <c r="N33" s="87">
        <f t="shared" si="1"/>
        <v>58.500000000000007</v>
      </c>
      <c r="O33" s="87">
        <f t="shared" si="1"/>
        <v>53.7</v>
      </c>
      <c r="P33" s="87">
        <f t="shared" si="1"/>
        <v>63.099999999999994</v>
      </c>
      <c r="Q33" s="87">
        <f t="shared" si="1"/>
        <v>56.5</v>
      </c>
      <c r="R33" s="87">
        <f t="shared" si="1"/>
        <v>54.099999999999994</v>
      </c>
      <c r="S33" s="87">
        <f t="shared" si="1"/>
        <v>54.300000000000004</v>
      </c>
      <c r="T33" s="87">
        <f t="shared" si="1"/>
        <v>58.500000000000007</v>
      </c>
      <c r="U33" s="87">
        <f t="shared" si="1"/>
        <v>54.399999999999991</v>
      </c>
      <c r="V33" s="87">
        <f t="shared" si="1"/>
        <v>53.500000000000007</v>
      </c>
      <c r="W33" s="87">
        <f t="shared" si="1"/>
        <v>53.7</v>
      </c>
      <c r="X33" s="87">
        <f t="shared" si="1"/>
        <v>55.800000000000004</v>
      </c>
      <c r="Y33" s="87">
        <f t="shared" si="1"/>
        <v>51.4</v>
      </c>
      <c r="Z33" s="87">
        <f t="shared" si="1"/>
        <v>44.1</v>
      </c>
      <c r="AA33" s="87">
        <f t="shared" si="1"/>
        <v>48.2</v>
      </c>
      <c r="AB33" s="87">
        <f t="shared" si="1"/>
        <v>50</v>
      </c>
      <c r="AC33" s="87">
        <f t="shared" si="1"/>
        <v>46.300000000000004</v>
      </c>
      <c r="AD33" s="87">
        <f t="shared" si="1"/>
        <v>43.800000000000004</v>
      </c>
      <c r="AE33" s="87">
        <f t="shared" si="1"/>
        <v>47.100000000000009</v>
      </c>
      <c r="AF33" s="87">
        <f t="shared" si="1"/>
        <v>52.1</v>
      </c>
      <c r="AG33" s="105">
        <f t="shared" si="0"/>
        <v>1659.8999999999999</v>
      </c>
      <c r="AH33" s="134"/>
      <c r="AI33" s="134"/>
    </row>
    <row r="34" spans="1:35" s="91" customFormat="1" x14ac:dyDescent="0.25">
      <c r="A34" s="136"/>
      <c r="AG34" s="24">
        <f>SUM(AG3:AG31)</f>
        <v>1659.9</v>
      </c>
    </row>
  </sheetData>
  <mergeCells count="1">
    <mergeCell ref="A1:AG1"/>
  </mergeCells>
  <conditionalFormatting sqref="AG33">
    <cfRule type="cellIs" dxfId="17" priority="2" operator="equal">
      <formula>$AG$34</formula>
    </cfRule>
  </conditionalFormatting>
  <conditionalFormatting sqref="AG34">
    <cfRule type="cellIs" dxfId="16" priority="1" operator="equal">
      <formula>$AG$33</formula>
    </cfRule>
  </conditionalFormatting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v>1.9</v>
      </c>
      <c r="C3" s="91">
        <v>2.1</v>
      </c>
      <c r="D3" s="85">
        <v>0.9</v>
      </c>
      <c r="E3" s="85">
        <v>0</v>
      </c>
      <c r="F3" s="85">
        <v>1.3</v>
      </c>
      <c r="G3" s="86">
        <v>1.7</v>
      </c>
      <c r="H3" s="85">
        <v>1.4</v>
      </c>
      <c r="I3" s="86">
        <v>2.2999999999999998</v>
      </c>
      <c r="J3" s="85">
        <v>1.3</v>
      </c>
      <c r="K3" s="86">
        <v>0.9</v>
      </c>
      <c r="L3" s="85">
        <v>0</v>
      </c>
      <c r="M3" s="86">
        <v>0</v>
      </c>
      <c r="N3" s="85">
        <v>1.7</v>
      </c>
      <c r="O3" s="85">
        <v>1.4</v>
      </c>
      <c r="P3" s="86">
        <v>1.9</v>
      </c>
      <c r="Q3" s="85">
        <v>1.3</v>
      </c>
      <c r="R3" s="85">
        <v>0.7</v>
      </c>
      <c r="S3" s="86">
        <v>0</v>
      </c>
      <c r="T3" s="86">
        <v>2.1</v>
      </c>
      <c r="U3" s="86">
        <v>3.2</v>
      </c>
      <c r="V3" s="86">
        <v>2.7</v>
      </c>
      <c r="W3" s="85">
        <v>3.3</v>
      </c>
      <c r="X3" s="85">
        <v>2.5</v>
      </c>
      <c r="Y3" s="85">
        <v>3.9</v>
      </c>
      <c r="Z3" s="85">
        <v>0</v>
      </c>
      <c r="AA3" s="85">
        <v>1.9</v>
      </c>
      <c r="AB3" s="85">
        <v>1.3</v>
      </c>
      <c r="AC3" s="85">
        <v>1.1000000000000001</v>
      </c>
      <c r="AD3" s="85">
        <v>2.2999999999999998</v>
      </c>
      <c r="AE3" s="85">
        <v>2.5</v>
      </c>
      <c r="AF3" s="85">
        <v>2.9</v>
      </c>
      <c r="AG3" s="103">
        <f>SUM(B3:AF3)</f>
        <v>50.499999999999993</v>
      </c>
      <c r="AH3" s="119"/>
      <c r="AI3" s="120"/>
    </row>
    <row r="4" spans="1:35" s="91" customFormat="1" ht="33" customHeight="1" x14ac:dyDescent="0.25">
      <c r="A4" s="138" t="s">
        <v>193</v>
      </c>
      <c r="B4" s="87">
        <v>2.5</v>
      </c>
      <c r="C4" s="87">
        <v>3.1</v>
      </c>
      <c r="D4" s="87">
        <v>1.7</v>
      </c>
      <c r="E4" s="87">
        <v>1.3</v>
      </c>
      <c r="F4" s="87">
        <v>3.7</v>
      </c>
      <c r="G4" s="87">
        <v>3.2</v>
      </c>
      <c r="H4" s="87">
        <v>3.4</v>
      </c>
      <c r="I4" s="87">
        <v>3.3</v>
      </c>
      <c r="J4" s="87">
        <v>3.1</v>
      </c>
      <c r="K4" s="87">
        <v>1.3</v>
      </c>
      <c r="L4" s="87">
        <v>1.1000000000000001</v>
      </c>
      <c r="M4" s="87">
        <v>3.9</v>
      </c>
      <c r="N4" s="87">
        <v>2.7</v>
      </c>
      <c r="O4" s="87">
        <v>3.1</v>
      </c>
      <c r="P4" s="87">
        <v>3.9</v>
      </c>
      <c r="Q4" s="87">
        <v>3.4</v>
      </c>
      <c r="R4" s="87">
        <v>0.9</v>
      </c>
      <c r="S4" s="87">
        <v>0.5</v>
      </c>
      <c r="T4" s="87">
        <v>2.5</v>
      </c>
      <c r="U4" s="87">
        <v>3.1</v>
      </c>
      <c r="V4" s="87">
        <v>2.5</v>
      </c>
      <c r="W4" s="87">
        <v>3.1</v>
      </c>
      <c r="X4" s="87">
        <v>3.3</v>
      </c>
      <c r="Y4" s="87">
        <v>2.7</v>
      </c>
      <c r="Z4" s="87">
        <v>1.1000000000000001</v>
      </c>
      <c r="AA4" s="87">
        <v>1.4</v>
      </c>
      <c r="AB4" s="87">
        <v>3.1</v>
      </c>
      <c r="AC4" s="87">
        <v>2.9</v>
      </c>
      <c r="AD4" s="87">
        <v>2.6</v>
      </c>
      <c r="AE4" s="87">
        <v>3.1</v>
      </c>
      <c r="AF4" s="87">
        <v>2.2999999999999998</v>
      </c>
      <c r="AG4" s="103">
        <f t="shared" ref="AG4:AG33" si="0">SUM(B4:AF4)</f>
        <v>79.8</v>
      </c>
      <c r="AH4" s="120"/>
      <c r="AI4" s="120"/>
    </row>
    <row r="5" spans="1:35" s="91" customFormat="1" ht="18.75" customHeight="1" x14ac:dyDescent="0.25">
      <c r="A5" s="62" t="s">
        <v>83</v>
      </c>
      <c r="B5" s="87">
        <v>2.2999999999999998</v>
      </c>
      <c r="C5" s="87">
        <v>3.1</v>
      </c>
      <c r="D5" s="87">
        <v>2.9</v>
      </c>
      <c r="E5" s="87">
        <v>0</v>
      </c>
      <c r="F5" s="87">
        <v>0</v>
      </c>
      <c r="G5" s="87">
        <v>0</v>
      </c>
      <c r="H5" s="87">
        <v>0</v>
      </c>
      <c r="I5" s="87">
        <v>0</v>
      </c>
      <c r="J5" s="87">
        <v>0</v>
      </c>
      <c r="K5" s="87">
        <v>0</v>
      </c>
      <c r="L5" s="87">
        <v>0</v>
      </c>
      <c r="M5" s="87">
        <v>0</v>
      </c>
      <c r="N5" s="87">
        <v>3.1</v>
      </c>
      <c r="O5" s="87">
        <v>3.1</v>
      </c>
      <c r="P5" s="87">
        <v>2.8</v>
      </c>
      <c r="Q5" s="87">
        <v>2.6</v>
      </c>
      <c r="R5" s="87">
        <v>4.0999999999999996</v>
      </c>
      <c r="S5" s="87">
        <v>0</v>
      </c>
      <c r="T5" s="87">
        <v>0</v>
      </c>
      <c r="U5" s="87">
        <v>0</v>
      </c>
      <c r="V5" s="87">
        <v>0</v>
      </c>
      <c r="W5" s="87">
        <v>0</v>
      </c>
      <c r="X5" s="87">
        <v>0</v>
      </c>
      <c r="Y5" s="87">
        <v>0</v>
      </c>
      <c r="Z5" s="87">
        <v>0</v>
      </c>
      <c r="AA5" s="87">
        <v>2.8</v>
      </c>
      <c r="AB5" s="87">
        <v>2.5</v>
      </c>
      <c r="AC5" s="87">
        <v>3.1</v>
      </c>
      <c r="AD5" s="87">
        <v>2.8</v>
      </c>
      <c r="AE5" s="87">
        <v>2.5</v>
      </c>
      <c r="AF5" s="87">
        <v>1.9</v>
      </c>
      <c r="AG5" s="103">
        <f t="shared" si="0"/>
        <v>39.599999999999994</v>
      </c>
      <c r="AH5" s="120"/>
      <c r="AI5" s="120"/>
    </row>
    <row r="6" spans="1:35" s="91" customFormat="1" ht="18.75" customHeight="1" x14ac:dyDescent="0.25">
      <c r="A6" s="62" t="s">
        <v>84</v>
      </c>
      <c r="B6" s="87">
        <v>2.7</v>
      </c>
      <c r="C6" s="87">
        <v>3.1</v>
      </c>
      <c r="D6" s="87">
        <v>3.6</v>
      </c>
      <c r="E6" s="87">
        <v>3</v>
      </c>
      <c r="F6" s="87">
        <v>3.9</v>
      </c>
      <c r="G6" s="87">
        <v>4</v>
      </c>
      <c r="H6" s="87">
        <v>3.8</v>
      </c>
      <c r="I6" s="87">
        <v>3.3</v>
      </c>
      <c r="J6" s="87">
        <v>2.8</v>
      </c>
      <c r="K6" s="87">
        <v>3.3</v>
      </c>
      <c r="L6" s="87">
        <v>3.8</v>
      </c>
      <c r="M6" s="87">
        <v>4</v>
      </c>
      <c r="N6" s="87">
        <v>3.3</v>
      </c>
      <c r="O6" s="87">
        <v>3.6</v>
      </c>
      <c r="P6" s="87">
        <v>3.1</v>
      </c>
      <c r="Q6" s="87">
        <v>3.4</v>
      </c>
      <c r="R6" s="87">
        <v>1.9</v>
      </c>
      <c r="S6" s="87">
        <v>2.2000000000000002</v>
      </c>
      <c r="T6" s="87">
        <v>2.5</v>
      </c>
      <c r="U6" s="87">
        <v>1.8</v>
      </c>
      <c r="V6" s="87">
        <v>2.7</v>
      </c>
      <c r="W6" s="87">
        <v>2.1</v>
      </c>
      <c r="X6" s="87">
        <v>2.6</v>
      </c>
      <c r="Y6" s="87">
        <v>2.9</v>
      </c>
      <c r="Z6" s="87">
        <v>2.8</v>
      </c>
      <c r="AA6" s="87">
        <v>2.2999999999999998</v>
      </c>
      <c r="AB6" s="87">
        <v>2.7</v>
      </c>
      <c r="AC6" s="87">
        <v>2.5</v>
      </c>
      <c r="AD6" s="87">
        <v>3</v>
      </c>
      <c r="AE6" s="87">
        <v>2.1</v>
      </c>
      <c r="AF6" s="87">
        <v>4</v>
      </c>
      <c r="AG6" s="103">
        <f t="shared" si="0"/>
        <v>92.799999999999983</v>
      </c>
      <c r="AH6" s="120"/>
      <c r="AI6" s="120"/>
    </row>
    <row r="7" spans="1:35" s="91" customFormat="1" ht="18.75" customHeight="1" x14ac:dyDescent="0.25">
      <c r="A7" s="62" t="s">
        <v>64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>
        <v>6.1</v>
      </c>
      <c r="C8" s="86">
        <v>5.9</v>
      </c>
      <c r="D8" s="86">
        <v>5.5</v>
      </c>
      <c r="E8" s="86">
        <v>5.2</v>
      </c>
      <c r="F8" s="86">
        <v>5.3</v>
      </c>
      <c r="G8" s="86">
        <v>4.5</v>
      </c>
      <c r="H8" s="86">
        <v>6.1</v>
      </c>
      <c r="I8" s="86">
        <v>5</v>
      </c>
      <c r="J8" s="86">
        <v>7.1</v>
      </c>
      <c r="K8" s="86">
        <v>6</v>
      </c>
      <c r="L8" s="86">
        <v>4.5</v>
      </c>
      <c r="M8" s="86">
        <v>4.3</v>
      </c>
      <c r="N8" s="86">
        <v>5</v>
      </c>
      <c r="O8" s="86">
        <v>3.9</v>
      </c>
      <c r="P8" s="86">
        <v>4.0999999999999996</v>
      </c>
      <c r="Q8" s="86">
        <v>4.3</v>
      </c>
      <c r="R8" s="86">
        <v>5.2</v>
      </c>
      <c r="S8" s="86">
        <v>5.0999999999999996</v>
      </c>
      <c r="T8" s="86">
        <v>4.3</v>
      </c>
      <c r="U8" s="86">
        <v>4.0999999999999996</v>
      </c>
      <c r="V8" s="86">
        <v>3.1</v>
      </c>
      <c r="W8" s="86">
        <v>5</v>
      </c>
      <c r="X8" s="86">
        <v>6.1</v>
      </c>
      <c r="Y8" s="86">
        <v>7</v>
      </c>
      <c r="Z8" s="86">
        <v>7.1</v>
      </c>
      <c r="AA8" s="86">
        <v>5.2</v>
      </c>
      <c r="AB8" s="86">
        <v>5.3</v>
      </c>
      <c r="AC8" s="86">
        <v>4.3</v>
      </c>
      <c r="AD8" s="86">
        <v>8.1</v>
      </c>
      <c r="AE8" s="86">
        <v>7.1</v>
      </c>
      <c r="AF8" s="86">
        <v>7</v>
      </c>
      <c r="AG8" s="103">
        <f t="shared" si="0"/>
        <v>166.79999999999998</v>
      </c>
      <c r="AH8" s="120"/>
      <c r="AI8" s="120"/>
    </row>
    <row r="9" spans="1:35" s="91" customFormat="1" ht="18.75" customHeight="1" x14ac:dyDescent="0.25">
      <c r="A9" s="62" t="s">
        <v>66</v>
      </c>
      <c r="B9" s="106">
        <v>15.2</v>
      </c>
      <c r="C9" s="106">
        <v>15.2</v>
      </c>
      <c r="D9" s="106">
        <v>15.2</v>
      </c>
      <c r="E9" s="106">
        <v>15.3</v>
      </c>
      <c r="F9" s="106">
        <v>14.1</v>
      </c>
      <c r="G9" s="106">
        <v>17.3</v>
      </c>
      <c r="H9" s="106">
        <v>17.3</v>
      </c>
      <c r="I9" s="106">
        <v>14.2</v>
      </c>
      <c r="J9" s="106">
        <v>13.6</v>
      </c>
      <c r="K9" s="106">
        <v>16.3</v>
      </c>
      <c r="L9" s="106">
        <v>19.3</v>
      </c>
      <c r="M9" s="106">
        <v>11.6</v>
      </c>
      <c r="N9" s="106">
        <v>13.1</v>
      </c>
      <c r="O9" s="106">
        <v>11.9</v>
      </c>
      <c r="P9" s="106">
        <v>11.6</v>
      </c>
      <c r="Q9" s="106">
        <v>11.5</v>
      </c>
      <c r="R9" s="106">
        <v>15.3</v>
      </c>
      <c r="S9" s="106">
        <v>15.4</v>
      </c>
      <c r="T9" s="106">
        <v>15.2</v>
      </c>
      <c r="U9" s="106">
        <v>15.3</v>
      </c>
      <c r="V9" s="106">
        <v>17.399999999999999</v>
      </c>
      <c r="W9" s="106">
        <v>15.5</v>
      </c>
      <c r="X9" s="106">
        <v>15.6</v>
      </c>
      <c r="Y9" s="106">
        <v>15.4</v>
      </c>
      <c r="Z9" s="106">
        <v>12.2</v>
      </c>
      <c r="AA9" s="106">
        <v>15.2</v>
      </c>
      <c r="AB9" s="106">
        <v>14.2</v>
      </c>
      <c r="AC9" s="106">
        <v>17.3</v>
      </c>
      <c r="AD9" s="106">
        <v>15.3</v>
      </c>
      <c r="AE9" s="106">
        <v>14.8</v>
      </c>
      <c r="AF9" s="106">
        <v>15.6</v>
      </c>
      <c r="AG9" s="103">
        <f t="shared" si="0"/>
        <v>462.4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6.3</v>
      </c>
      <c r="C12" s="86">
        <v>4.7</v>
      </c>
      <c r="D12" s="86">
        <v>4.5999999999999996</v>
      </c>
      <c r="E12" s="86">
        <v>4.7</v>
      </c>
      <c r="F12" s="86">
        <v>5.8</v>
      </c>
      <c r="G12" s="86">
        <v>6</v>
      </c>
      <c r="H12" s="86">
        <v>6.8</v>
      </c>
      <c r="I12" s="86">
        <v>6.7</v>
      </c>
      <c r="J12" s="86" t="s">
        <v>217</v>
      </c>
      <c r="K12" s="86">
        <v>7.2</v>
      </c>
      <c r="L12" s="86">
        <v>5.4</v>
      </c>
      <c r="M12" s="86">
        <v>4.0999999999999996</v>
      </c>
      <c r="N12" s="86">
        <v>6.1</v>
      </c>
      <c r="O12" s="86">
        <v>7.5</v>
      </c>
      <c r="P12" s="86">
        <v>5.7</v>
      </c>
      <c r="Q12" s="86">
        <v>6</v>
      </c>
      <c r="R12" s="86">
        <v>4.9000000000000004</v>
      </c>
      <c r="S12" s="86">
        <v>3.4</v>
      </c>
      <c r="T12" s="86">
        <v>5.0999999999999996</v>
      </c>
      <c r="U12" s="86">
        <v>4.5999999999999996</v>
      </c>
      <c r="V12" s="86">
        <v>5.3</v>
      </c>
      <c r="W12" s="86">
        <v>5.5</v>
      </c>
      <c r="X12" s="86">
        <v>5.7</v>
      </c>
      <c r="Y12" s="86">
        <v>5.6</v>
      </c>
      <c r="Z12" s="86">
        <v>5.8</v>
      </c>
      <c r="AA12" s="86">
        <v>6</v>
      </c>
      <c r="AB12" s="86">
        <v>6.3</v>
      </c>
      <c r="AC12" s="86">
        <v>4</v>
      </c>
      <c r="AD12" s="86">
        <v>4.0999999999999996</v>
      </c>
      <c r="AE12" s="86">
        <v>4</v>
      </c>
      <c r="AF12" s="86">
        <v>4.8</v>
      </c>
      <c r="AG12" s="103">
        <f t="shared" si="0"/>
        <v>162.70000000000002</v>
      </c>
      <c r="AH12" s="120"/>
      <c r="AI12" s="120"/>
    </row>
    <row r="13" spans="1:35" s="91" customFormat="1" ht="18.75" customHeight="1" x14ac:dyDescent="0.25">
      <c r="A13" s="62" t="s">
        <v>69</v>
      </c>
      <c r="B13" s="131">
        <v>3.2</v>
      </c>
      <c r="C13" s="131">
        <v>2.9</v>
      </c>
      <c r="D13" s="131">
        <v>3.5</v>
      </c>
      <c r="E13" s="131">
        <v>3.9</v>
      </c>
      <c r="F13" s="131">
        <v>3.8</v>
      </c>
      <c r="G13" s="131">
        <v>3.3</v>
      </c>
      <c r="H13" s="131">
        <v>3.9</v>
      </c>
      <c r="I13" s="131">
        <v>2.9</v>
      </c>
      <c r="J13" s="131">
        <v>3.4</v>
      </c>
      <c r="K13" s="131">
        <v>2.7</v>
      </c>
      <c r="L13" s="131">
        <v>3.8</v>
      </c>
      <c r="M13" s="131">
        <v>2.5</v>
      </c>
      <c r="N13" s="131">
        <v>4</v>
      </c>
      <c r="O13" s="131">
        <v>3.7</v>
      </c>
      <c r="P13" s="131">
        <v>2.6</v>
      </c>
      <c r="Q13" s="131">
        <v>4.2</v>
      </c>
      <c r="R13" s="131">
        <v>2.7</v>
      </c>
      <c r="S13" s="131">
        <v>2.4</v>
      </c>
      <c r="T13" s="131">
        <v>3.5</v>
      </c>
      <c r="U13" s="131">
        <v>3.9</v>
      </c>
      <c r="V13" s="131">
        <v>4.5</v>
      </c>
      <c r="W13" s="131">
        <v>3.8</v>
      </c>
      <c r="X13" s="131">
        <v>4.9000000000000004</v>
      </c>
      <c r="Y13" s="131">
        <v>3.6</v>
      </c>
      <c r="Z13" s="131">
        <v>4</v>
      </c>
      <c r="AA13" s="131">
        <v>3.2</v>
      </c>
      <c r="AB13" s="131">
        <v>3.7</v>
      </c>
      <c r="AC13" s="131">
        <v>4.2</v>
      </c>
      <c r="AD13" s="131">
        <v>5</v>
      </c>
      <c r="AE13" s="131">
        <v>4.8</v>
      </c>
      <c r="AF13" s="131">
        <v>3.7</v>
      </c>
      <c r="AG13" s="103">
        <f t="shared" si="0"/>
        <v>112.20000000000002</v>
      </c>
      <c r="AH13" s="120"/>
      <c r="AI13" s="120"/>
    </row>
    <row r="14" spans="1:35" s="91" customFormat="1" ht="18.75" customHeight="1" x14ac:dyDescent="0.25">
      <c r="A14" s="62" t="s">
        <v>71</v>
      </c>
      <c r="B14" s="86">
        <v>10.9</v>
      </c>
      <c r="C14" s="86">
        <v>9.1</v>
      </c>
      <c r="D14" s="86">
        <v>9.9</v>
      </c>
      <c r="E14" s="86">
        <v>10.6</v>
      </c>
      <c r="F14" s="86">
        <v>9.3000000000000007</v>
      </c>
      <c r="G14" s="86">
        <v>9.4</v>
      </c>
      <c r="H14" s="86">
        <v>10.7</v>
      </c>
      <c r="I14" s="86">
        <v>9.5</v>
      </c>
      <c r="J14" s="86">
        <v>8</v>
      </c>
      <c r="K14" s="86">
        <v>7.6</v>
      </c>
      <c r="L14" s="86">
        <v>10.7</v>
      </c>
      <c r="M14" s="86">
        <v>11.4</v>
      </c>
      <c r="N14" s="86">
        <v>11.3</v>
      </c>
      <c r="O14" s="86">
        <v>10.6</v>
      </c>
      <c r="P14" s="86">
        <v>10.7</v>
      </c>
      <c r="Q14" s="86">
        <v>9</v>
      </c>
      <c r="R14" s="86">
        <v>10.1</v>
      </c>
      <c r="S14" s="86">
        <v>8.8000000000000007</v>
      </c>
      <c r="T14" s="86">
        <v>9.4</v>
      </c>
      <c r="U14" s="86">
        <v>8.4</v>
      </c>
      <c r="V14" s="86">
        <v>8.8000000000000007</v>
      </c>
      <c r="W14" s="86">
        <v>9.3000000000000007</v>
      </c>
      <c r="X14" s="86">
        <v>8.3000000000000007</v>
      </c>
      <c r="Y14" s="106">
        <v>10.199999999999999</v>
      </c>
      <c r="Z14" s="106">
        <v>12.4</v>
      </c>
      <c r="AA14" s="106">
        <v>10</v>
      </c>
      <c r="AB14" s="106">
        <v>16.399999999999999</v>
      </c>
      <c r="AC14" s="106">
        <v>0</v>
      </c>
      <c r="AD14" s="106">
        <v>0</v>
      </c>
      <c r="AE14" s="106">
        <v>0</v>
      </c>
      <c r="AF14" s="106">
        <v>0</v>
      </c>
      <c r="AG14" s="103">
        <f t="shared" si="0"/>
        <v>270.8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1.3</v>
      </c>
      <c r="C15" s="86">
        <v>1.2</v>
      </c>
      <c r="D15" s="86">
        <v>1.3</v>
      </c>
      <c r="E15" s="86">
        <v>0</v>
      </c>
      <c r="F15" s="86">
        <v>1.5</v>
      </c>
      <c r="G15" s="86">
        <v>1.5</v>
      </c>
      <c r="H15" s="86">
        <v>1.4</v>
      </c>
      <c r="I15" s="86">
        <v>1.5</v>
      </c>
      <c r="J15" s="86">
        <v>1.8</v>
      </c>
      <c r="K15" s="86">
        <v>1.6</v>
      </c>
      <c r="L15" s="86">
        <v>1.9</v>
      </c>
      <c r="M15" s="86">
        <v>1.9</v>
      </c>
      <c r="N15" s="86">
        <v>1.9</v>
      </c>
      <c r="O15" s="86">
        <v>1.3</v>
      </c>
      <c r="P15" s="86">
        <v>1.5</v>
      </c>
      <c r="Q15" s="86">
        <v>2.4</v>
      </c>
      <c r="R15" s="86">
        <v>1.9</v>
      </c>
      <c r="S15" s="86">
        <v>2.5</v>
      </c>
      <c r="T15" s="86">
        <v>3.5</v>
      </c>
      <c r="U15" s="86">
        <v>2.5</v>
      </c>
      <c r="V15" s="86">
        <v>3.5</v>
      </c>
      <c r="W15" s="86">
        <v>4.5</v>
      </c>
      <c r="X15" s="86">
        <v>4.8</v>
      </c>
      <c r="Y15" s="86">
        <v>4.3</v>
      </c>
      <c r="Z15" s="86">
        <v>1.7</v>
      </c>
      <c r="AA15" s="86">
        <v>2.2999999999999998</v>
      </c>
      <c r="AB15" s="86">
        <v>1.7</v>
      </c>
      <c r="AC15" s="86">
        <v>1.9</v>
      </c>
      <c r="AD15" s="86">
        <v>2.7</v>
      </c>
      <c r="AE15" s="86">
        <v>2.2999999999999998</v>
      </c>
      <c r="AF15" s="86">
        <v>2.5</v>
      </c>
      <c r="AG15" s="103">
        <f t="shared" si="0"/>
        <v>66.599999999999994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>
        <v>2.8</v>
      </c>
      <c r="C17" s="86">
        <v>1.9</v>
      </c>
      <c r="D17" s="86">
        <v>2</v>
      </c>
      <c r="E17" s="86">
        <v>1.9</v>
      </c>
      <c r="F17" s="86">
        <v>2.2999999999999998</v>
      </c>
      <c r="G17" s="86">
        <v>1.6</v>
      </c>
      <c r="H17" s="86">
        <v>2.9</v>
      </c>
      <c r="I17" s="86">
        <v>3</v>
      </c>
      <c r="J17" s="86">
        <v>2.8</v>
      </c>
      <c r="K17" s="86">
        <v>3</v>
      </c>
      <c r="L17" s="86">
        <v>3.9</v>
      </c>
      <c r="M17" s="86">
        <v>3.1</v>
      </c>
      <c r="N17" s="86">
        <v>3.8</v>
      </c>
      <c r="O17" s="86">
        <v>3.2</v>
      </c>
      <c r="P17" s="86">
        <v>1.9</v>
      </c>
      <c r="Q17" s="86">
        <v>2.5</v>
      </c>
      <c r="R17" s="86">
        <v>2.8</v>
      </c>
      <c r="S17" s="86">
        <v>2.2999999999999998</v>
      </c>
      <c r="T17" s="86">
        <v>3</v>
      </c>
      <c r="U17" s="86">
        <v>4</v>
      </c>
      <c r="V17" s="86">
        <v>2.6</v>
      </c>
      <c r="W17" s="86">
        <v>1.9</v>
      </c>
      <c r="X17" s="86">
        <v>2.6</v>
      </c>
      <c r="Y17" s="86">
        <v>3.1</v>
      </c>
      <c r="Z17" s="86">
        <v>3.6</v>
      </c>
      <c r="AA17" s="86">
        <v>2.8</v>
      </c>
      <c r="AB17" s="86">
        <v>2.9</v>
      </c>
      <c r="AC17" s="86">
        <v>3.2</v>
      </c>
      <c r="AD17" s="86">
        <v>3.6</v>
      </c>
      <c r="AE17" s="86">
        <v>3.6</v>
      </c>
      <c r="AF17" s="86">
        <v>3.2</v>
      </c>
      <c r="AG17" s="103">
        <f t="shared" si="0"/>
        <v>87.799999999999983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v>4.4000000000000004</v>
      </c>
      <c r="C20" s="86">
        <v>4.2</v>
      </c>
      <c r="D20" s="86">
        <v>5.6</v>
      </c>
      <c r="E20" s="86">
        <v>4.4000000000000004</v>
      </c>
      <c r="F20" s="86">
        <v>4.7</v>
      </c>
      <c r="G20" s="86">
        <v>5.5</v>
      </c>
      <c r="H20" s="86">
        <v>3.5</v>
      </c>
      <c r="I20" s="86">
        <v>4.3</v>
      </c>
      <c r="J20" s="86">
        <v>3.5</v>
      </c>
      <c r="K20" s="86">
        <v>4.9000000000000004</v>
      </c>
      <c r="L20" s="86">
        <v>4</v>
      </c>
      <c r="M20" s="86">
        <v>4.8</v>
      </c>
      <c r="N20" s="86">
        <v>3.9</v>
      </c>
      <c r="O20" s="86">
        <v>4.5</v>
      </c>
      <c r="P20" s="86">
        <v>4.8</v>
      </c>
      <c r="Q20" s="86">
        <v>4</v>
      </c>
      <c r="R20" s="86">
        <v>4.5</v>
      </c>
      <c r="S20" s="86">
        <v>3.9</v>
      </c>
      <c r="T20" s="86">
        <v>5.7</v>
      </c>
      <c r="U20" s="86">
        <v>4.9000000000000004</v>
      </c>
      <c r="V20" s="86">
        <v>5.0999999999999996</v>
      </c>
      <c r="W20" s="86">
        <v>4.4000000000000004</v>
      </c>
      <c r="X20" s="86">
        <v>4.8</v>
      </c>
      <c r="Y20" s="86">
        <v>4.4000000000000004</v>
      </c>
      <c r="Z20" s="86">
        <v>4.3</v>
      </c>
      <c r="AA20" s="86">
        <v>3.9</v>
      </c>
      <c r="AB20" s="86">
        <v>4.5</v>
      </c>
      <c r="AC20" s="86">
        <v>3.8</v>
      </c>
      <c r="AD20" s="86">
        <v>5.3</v>
      </c>
      <c r="AE20" s="86">
        <v>6</v>
      </c>
      <c r="AF20" s="86">
        <v>6.3</v>
      </c>
      <c r="AG20" s="103">
        <f t="shared" si="0"/>
        <v>142.80000000000001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8.8000000000000007</v>
      </c>
      <c r="C21" s="86">
        <v>5.7</v>
      </c>
      <c r="D21" s="86">
        <v>9.6</v>
      </c>
      <c r="E21" s="86">
        <v>9.9</v>
      </c>
      <c r="F21" s="86">
        <v>8.1999999999999993</v>
      </c>
      <c r="G21" s="86">
        <v>8.1999999999999993</v>
      </c>
      <c r="H21" s="86">
        <v>8.1999999999999993</v>
      </c>
      <c r="I21" s="86">
        <v>8.6</v>
      </c>
      <c r="J21" s="86">
        <v>3.2</v>
      </c>
      <c r="K21" s="86">
        <v>4.3</v>
      </c>
      <c r="L21" s="86">
        <v>5.7</v>
      </c>
      <c r="M21" s="86">
        <v>8.1999999999999993</v>
      </c>
      <c r="N21" s="86">
        <v>10.1</v>
      </c>
      <c r="O21" s="86">
        <v>9.8000000000000007</v>
      </c>
      <c r="P21" s="86">
        <v>9.9</v>
      </c>
      <c r="Q21" s="86">
        <v>9.3000000000000007</v>
      </c>
      <c r="R21" s="86">
        <v>10.199999999999999</v>
      </c>
      <c r="S21" s="86">
        <v>8</v>
      </c>
      <c r="T21" s="86">
        <v>8.5</v>
      </c>
      <c r="U21" s="86">
        <v>7.6</v>
      </c>
      <c r="V21" s="86">
        <v>7.1</v>
      </c>
      <c r="W21" s="86">
        <v>6</v>
      </c>
      <c r="X21" s="86">
        <v>9</v>
      </c>
      <c r="Y21" s="86">
        <v>8.1</v>
      </c>
      <c r="Z21" s="86">
        <v>5.2</v>
      </c>
      <c r="AA21" s="86">
        <v>7.5</v>
      </c>
      <c r="AB21" s="86">
        <v>5.9</v>
      </c>
      <c r="AC21" s="86">
        <v>5.5</v>
      </c>
      <c r="AD21" s="86">
        <v>8.1</v>
      </c>
      <c r="AE21" s="86">
        <v>7.2</v>
      </c>
      <c r="AF21" s="86">
        <v>6.5</v>
      </c>
      <c r="AG21" s="132">
        <f t="shared" si="0"/>
        <v>238.09999999999997</v>
      </c>
      <c r="AH21" s="120"/>
      <c r="AI21" s="120"/>
    </row>
    <row r="22" spans="1:35" s="91" customFormat="1" ht="18.75" customHeight="1" x14ac:dyDescent="0.25">
      <c r="A22" s="62" t="s">
        <v>75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103">
        <f t="shared" si="0"/>
        <v>0</v>
      </c>
      <c r="AH22" s="120"/>
      <c r="AI22" s="120"/>
    </row>
    <row r="23" spans="1:35" s="91" customFormat="1" ht="18.75" customHeight="1" x14ac:dyDescent="0.25">
      <c r="A23" s="62" t="s">
        <v>77</v>
      </c>
      <c r="B23" s="86">
        <v>3.5</v>
      </c>
      <c r="C23" s="86">
        <v>2.9</v>
      </c>
      <c r="D23" s="86">
        <v>4.5</v>
      </c>
      <c r="E23" s="86">
        <v>3.2</v>
      </c>
      <c r="F23" s="86">
        <v>2.5</v>
      </c>
      <c r="G23" s="86">
        <v>1.4</v>
      </c>
      <c r="H23" s="86">
        <v>0.8</v>
      </c>
      <c r="I23" s="86">
        <v>1.9</v>
      </c>
      <c r="J23" s="86">
        <v>1</v>
      </c>
      <c r="K23" s="86">
        <v>0.8</v>
      </c>
      <c r="L23" s="86">
        <v>1.3</v>
      </c>
      <c r="M23" s="86">
        <v>0.9</v>
      </c>
      <c r="N23" s="86">
        <v>1.4</v>
      </c>
      <c r="O23" s="86">
        <v>0.7</v>
      </c>
      <c r="P23" s="86">
        <v>2.7</v>
      </c>
      <c r="Q23" s="86">
        <v>1.8</v>
      </c>
      <c r="R23" s="86">
        <v>0</v>
      </c>
      <c r="S23" s="86">
        <v>0</v>
      </c>
      <c r="T23" s="86">
        <v>1.9</v>
      </c>
      <c r="U23" s="86">
        <v>2.5</v>
      </c>
      <c r="V23" s="86">
        <v>0.6</v>
      </c>
      <c r="W23" s="86">
        <v>0.9</v>
      </c>
      <c r="X23" s="86">
        <v>0.8</v>
      </c>
      <c r="Y23" s="86">
        <v>0</v>
      </c>
      <c r="Z23" s="86">
        <v>0</v>
      </c>
      <c r="AA23" s="86">
        <v>0.4</v>
      </c>
      <c r="AB23" s="86">
        <v>0.2</v>
      </c>
      <c r="AC23" s="86">
        <v>1.4</v>
      </c>
      <c r="AD23" s="86">
        <v>1.9</v>
      </c>
      <c r="AE23" s="86">
        <v>0.7</v>
      </c>
      <c r="AF23" s="86">
        <v>0</v>
      </c>
      <c r="AG23" s="103">
        <f t="shared" si="0"/>
        <v>42.599999999999994</v>
      </c>
      <c r="AH23" s="120"/>
      <c r="AI23" s="120"/>
    </row>
    <row r="24" spans="1:35" s="91" customFormat="1" ht="18.75" customHeight="1" x14ac:dyDescent="0.25">
      <c r="A24" s="62" t="s">
        <v>78</v>
      </c>
      <c r="B24" s="86">
        <v>7</v>
      </c>
      <c r="C24" s="86">
        <v>11</v>
      </c>
      <c r="D24" s="86">
        <v>6</v>
      </c>
      <c r="E24" s="86">
        <v>5</v>
      </c>
      <c r="F24" s="86">
        <v>8</v>
      </c>
      <c r="G24" s="86">
        <v>7</v>
      </c>
      <c r="H24" s="86">
        <v>9</v>
      </c>
      <c r="I24" s="86">
        <v>6</v>
      </c>
      <c r="J24" s="86">
        <v>8</v>
      </c>
      <c r="K24" s="86">
        <v>7</v>
      </c>
      <c r="L24" s="86">
        <v>8</v>
      </c>
      <c r="M24" s="86">
        <v>7</v>
      </c>
      <c r="N24" s="86">
        <v>8</v>
      </c>
      <c r="O24" s="86">
        <v>7</v>
      </c>
      <c r="P24" s="86">
        <v>8</v>
      </c>
      <c r="Q24" s="86">
        <v>8</v>
      </c>
      <c r="R24" s="86">
        <v>7</v>
      </c>
      <c r="S24" s="86">
        <v>7</v>
      </c>
      <c r="T24" s="86">
        <v>9</v>
      </c>
      <c r="U24" s="86">
        <v>8</v>
      </c>
      <c r="V24" s="86">
        <v>11</v>
      </c>
      <c r="W24" s="86">
        <v>8</v>
      </c>
      <c r="X24" s="86">
        <v>8</v>
      </c>
      <c r="Y24" s="86">
        <v>9</v>
      </c>
      <c r="Z24" s="86">
        <v>12</v>
      </c>
      <c r="AA24" s="86">
        <v>5</v>
      </c>
      <c r="AB24" s="86">
        <v>7</v>
      </c>
      <c r="AC24" s="86">
        <v>4</v>
      </c>
      <c r="AD24" s="86">
        <v>7</v>
      </c>
      <c r="AE24" s="86">
        <v>7</v>
      </c>
      <c r="AF24" s="86">
        <v>8</v>
      </c>
      <c r="AG24" s="103">
        <f t="shared" si="0"/>
        <v>237</v>
      </c>
      <c r="AH24" s="120"/>
      <c r="AI24" s="120"/>
    </row>
    <row r="25" spans="1:35" s="91" customFormat="1" ht="18.75" customHeight="1" x14ac:dyDescent="0.25">
      <c r="A25" s="62" t="s">
        <v>79</v>
      </c>
      <c r="B25" s="86">
        <v>5.6</v>
      </c>
      <c r="C25" s="86">
        <v>4.9000000000000004</v>
      </c>
      <c r="D25" s="86">
        <v>6.3</v>
      </c>
      <c r="E25" s="86">
        <v>7.6</v>
      </c>
      <c r="F25" s="86">
        <v>6.8</v>
      </c>
      <c r="G25" s="86">
        <v>5.7</v>
      </c>
      <c r="H25" s="86">
        <v>4.9000000000000004</v>
      </c>
      <c r="I25" s="86">
        <v>6.3</v>
      </c>
      <c r="J25" s="86">
        <v>6.8</v>
      </c>
      <c r="K25" s="86">
        <v>7.9</v>
      </c>
      <c r="L25" s="86">
        <v>6.8</v>
      </c>
      <c r="M25" s="86">
        <v>7.9</v>
      </c>
      <c r="N25" s="86">
        <v>6.7</v>
      </c>
      <c r="O25" s="86">
        <v>7.8</v>
      </c>
      <c r="P25" s="86">
        <v>6.6</v>
      </c>
      <c r="Q25" s="86">
        <v>8.1</v>
      </c>
      <c r="R25" s="86">
        <v>7.9</v>
      </c>
      <c r="S25" s="86">
        <v>4.9000000000000004</v>
      </c>
      <c r="T25" s="86">
        <v>6.7</v>
      </c>
      <c r="U25" s="86">
        <v>5.4</v>
      </c>
      <c r="V25" s="86">
        <v>3.8</v>
      </c>
      <c r="W25" s="86">
        <v>6.2</v>
      </c>
      <c r="X25" s="86">
        <v>6.1</v>
      </c>
      <c r="Y25" s="86">
        <v>3.2</v>
      </c>
      <c r="Z25" s="86">
        <v>3.4</v>
      </c>
      <c r="AA25" s="86">
        <v>5.3</v>
      </c>
      <c r="AB25" s="86">
        <v>4.0999999999999996</v>
      </c>
      <c r="AC25" s="86">
        <v>4.3</v>
      </c>
      <c r="AD25" s="86">
        <v>2.8</v>
      </c>
      <c r="AE25" s="86">
        <v>2.1</v>
      </c>
      <c r="AF25" s="86">
        <v>3</v>
      </c>
      <c r="AG25" s="103">
        <f t="shared" si="0"/>
        <v>175.9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06">
        <v>3.2</v>
      </c>
      <c r="C27" s="106">
        <v>3.9</v>
      </c>
      <c r="D27" s="106">
        <v>2.9</v>
      </c>
      <c r="E27" s="106">
        <v>3.5</v>
      </c>
      <c r="F27" s="106">
        <v>3.9</v>
      </c>
      <c r="G27" s="106">
        <v>3.8</v>
      </c>
      <c r="H27" s="106">
        <v>3.2</v>
      </c>
      <c r="I27" s="106">
        <v>2.9</v>
      </c>
      <c r="J27" s="106">
        <v>3.9</v>
      </c>
      <c r="K27" s="106">
        <v>4.0999999999999996</v>
      </c>
      <c r="L27" s="106">
        <v>3.3</v>
      </c>
      <c r="M27" s="106">
        <v>3.2</v>
      </c>
      <c r="N27" s="106">
        <v>3.5</v>
      </c>
      <c r="O27" s="106">
        <v>2.9</v>
      </c>
      <c r="P27" s="106">
        <v>3.4</v>
      </c>
      <c r="Q27" s="106">
        <v>2.9</v>
      </c>
      <c r="R27" s="106">
        <v>3.8</v>
      </c>
      <c r="S27" s="106">
        <v>3.2</v>
      </c>
      <c r="T27" s="106">
        <v>3.5</v>
      </c>
      <c r="U27" s="106">
        <v>3.5</v>
      </c>
      <c r="V27" s="106">
        <v>3</v>
      </c>
      <c r="W27" s="106">
        <v>2.9</v>
      </c>
      <c r="X27" s="106">
        <v>3.9</v>
      </c>
      <c r="Y27" s="106">
        <v>2.9</v>
      </c>
      <c r="Z27" s="106">
        <v>2.9</v>
      </c>
      <c r="AA27" s="106">
        <v>3.5</v>
      </c>
      <c r="AB27" s="106">
        <v>3.8</v>
      </c>
      <c r="AC27" s="106">
        <v>3.5</v>
      </c>
      <c r="AD27" s="106">
        <v>3.3</v>
      </c>
      <c r="AE27" s="106">
        <v>2.9</v>
      </c>
      <c r="AF27" s="133">
        <v>4.3</v>
      </c>
      <c r="AG27" s="103">
        <f t="shared" si="0"/>
        <v>105.40000000000002</v>
      </c>
      <c r="AH27" s="120"/>
      <c r="AI27" s="120"/>
    </row>
    <row r="28" spans="1:35" s="91" customFormat="1" ht="18.75" customHeight="1" x14ac:dyDescent="0.25">
      <c r="A28" s="62" t="s">
        <v>76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25">
      <c r="A29" s="62" t="s">
        <v>81</v>
      </c>
      <c r="B29" s="106">
        <v>5.2</v>
      </c>
      <c r="C29" s="106">
        <v>6</v>
      </c>
      <c r="D29" s="106">
        <v>3.7</v>
      </c>
      <c r="E29" s="106">
        <v>4.5999999999999996</v>
      </c>
      <c r="F29" s="106">
        <v>5.3</v>
      </c>
      <c r="G29" s="106">
        <v>4.8</v>
      </c>
      <c r="H29" s="106">
        <v>5</v>
      </c>
      <c r="I29" s="106">
        <v>4.8</v>
      </c>
      <c r="J29" s="106">
        <v>4.7</v>
      </c>
      <c r="K29" s="106">
        <v>5.6</v>
      </c>
      <c r="L29" s="106">
        <v>4.2</v>
      </c>
      <c r="M29" s="106">
        <v>4.8</v>
      </c>
      <c r="N29" s="106">
        <v>4.5</v>
      </c>
      <c r="O29" s="106">
        <v>5.4</v>
      </c>
      <c r="P29" s="106">
        <v>5.0999999999999996</v>
      </c>
      <c r="Q29" s="106">
        <v>5.6</v>
      </c>
      <c r="R29" s="106">
        <v>5.4</v>
      </c>
      <c r="S29" s="106">
        <v>5.6</v>
      </c>
      <c r="T29" s="106">
        <v>4.5999999999999996</v>
      </c>
      <c r="U29" s="106">
        <v>5.4</v>
      </c>
      <c r="V29" s="106">
        <v>4.8</v>
      </c>
      <c r="W29" s="106">
        <v>5</v>
      </c>
      <c r="X29" s="106">
        <v>5.4</v>
      </c>
      <c r="Y29" s="106">
        <v>5.4</v>
      </c>
      <c r="Z29" s="106">
        <v>4.9000000000000004</v>
      </c>
      <c r="AA29" s="106">
        <v>5.3</v>
      </c>
      <c r="AB29" s="106">
        <v>4.8</v>
      </c>
      <c r="AC29" s="106">
        <v>5.7</v>
      </c>
      <c r="AD29" s="106">
        <v>4.3</v>
      </c>
      <c r="AE29" s="106">
        <v>5</v>
      </c>
      <c r="AF29" s="88">
        <v>4.7</v>
      </c>
      <c r="AG29" s="103">
        <f t="shared" si="0"/>
        <v>155.60000000000002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7.5</v>
      </c>
      <c r="C31" s="106">
        <v>6.5</v>
      </c>
      <c r="D31" s="106">
        <v>5.8</v>
      </c>
      <c r="E31" s="106">
        <v>6.5</v>
      </c>
      <c r="F31" s="106">
        <v>8</v>
      </c>
      <c r="G31" s="106">
        <v>7.5</v>
      </c>
      <c r="H31" s="106">
        <v>6.9</v>
      </c>
      <c r="I31" s="106">
        <v>7.4</v>
      </c>
      <c r="J31" s="106">
        <v>6.5</v>
      </c>
      <c r="K31" s="106">
        <v>7.9</v>
      </c>
      <c r="L31" s="106">
        <v>8.4</v>
      </c>
      <c r="M31" s="106">
        <v>7.3</v>
      </c>
      <c r="N31" s="106">
        <v>6.9</v>
      </c>
      <c r="O31" s="106">
        <v>8</v>
      </c>
      <c r="P31" s="106">
        <v>7.5</v>
      </c>
      <c r="Q31" s="106">
        <v>6.9</v>
      </c>
      <c r="R31" s="106">
        <v>8.3000000000000007</v>
      </c>
      <c r="S31" s="106">
        <v>7.2</v>
      </c>
      <c r="T31" s="106">
        <v>6.9</v>
      </c>
      <c r="U31" s="106">
        <v>7.5</v>
      </c>
      <c r="V31" s="106">
        <v>8.4</v>
      </c>
      <c r="W31" s="106">
        <v>8</v>
      </c>
      <c r="X31" s="106">
        <v>7.3</v>
      </c>
      <c r="Y31" s="106">
        <v>8.1999999999999993</v>
      </c>
      <c r="Z31" s="106">
        <v>8.4</v>
      </c>
      <c r="AA31" s="106">
        <v>7.9</v>
      </c>
      <c r="AB31" s="106">
        <v>6</v>
      </c>
      <c r="AC31" s="106">
        <v>7.8</v>
      </c>
      <c r="AD31" s="106">
        <v>8.5</v>
      </c>
      <c r="AE31" s="106">
        <v>9</v>
      </c>
      <c r="AF31" s="88">
        <v>8.3000000000000007</v>
      </c>
      <c r="AG31" s="103">
        <f t="shared" si="0"/>
        <v>233.20000000000005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100.39999999999999</v>
      </c>
      <c r="C33" s="87">
        <f t="shared" ref="C33:AF33" si="1">SUM(C3:C32)</f>
        <v>97.40000000000002</v>
      </c>
      <c r="D33" s="87">
        <f t="shared" si="1"/>
        <v>95.5</v>
      </c>
      <c r="E33" s="87">
        <f t="shared" si="1"/>
        <v>90.6</v>
      </c>
      <c r="F33" s="87">
        <f t="shared" si="1"/>
        <v>98.399999999999991</v>
      </c>
      <c r="G33" s="87">
        <f t="shared" si="1"/>
        <v>96.4</v>
      </c>
      <c r="H33" s="87">
        <f t="shared" si="1"/>
        <v>99.2</v>
      </c>
      <c r="I33" s="87">
        <f t="shared" si="1"/>
        <v>93.9</v>
      </c>
      <c r="J33" s="87">
        <f t="shared" si="1"/>
        <v>81.5</v>
      </c>
      <c r="K33" s="87">
        <f t="shared" si="1"/>
        <v>92.4</v>
      </c>
      <c r="L33" s="87">
        <f t="shared" si="1"/>
        <v>96.1</v>
      </c>
      <c r="M33" s="87">
        <f t="shared" si="1"/>
        <v>90.899999999999991</v>
      </c>
      <c r="N33" s="87">
        <f t="shared" si="1"/>
        <v>101</v>
      </c>
      <c r="O33" s="87">
        <f t="shared" si="1"/>
        <v>99.40000000000002</v>
      </c>
      <c r="P33" s="87">
        <f t="shared" si="1"/>
        <v>97.8</v>
      </c>
      <c r="Q33" s="87">
        <f t="shared" si="1"/>
        <v>97.2</v>
      </c>
      <c r="R33" s="87">
        <f t="shared" si="1"/>
        <v>97.600000000000009</v>
      </c>
      <c r="S33" s="87">
        <f t="shared" si="1"/>
        <v>82.399999999999991</v>
      </c>
      <c r="T33" s="87">
        <f t="shared" si="1"/>
        <v>97.9</v>
      </c>
      <c r="U33" s="87">
        <f t="shared" si="1"/>
        <v>95.700000000000017</v>
      </c>
      <c r="V33" s="87">
        <f t="shared" si="1"/>
        <v>96.899999999999991</v>
      </c>
      <c r="W33" s="87">
        <f t="shared" si="1"/>
        <v>95.4</v>
      </c>
      <c r="X33" s="87">
        <f t="shared" si="1"/>
        <v>101.69999999999999</v>
      </c>
      <c r="Y33" s="87">
        <f t="shared" si="1"/>
        <v>99.9</v>
      </c>
      <c r="Z33" s="87">
        <f t="shared" si="1"/>
        <v>91.800000000000026</v>
      </c>
      <c r="AA33" s="87">
        <f t="shared" si="1"/>
        <v>91.9</v>
      </c>
      <c r="AB33" s="87">
        <f t="shared" si="1"/>
        <v>96.399999999999991</v>
      </c>
      <c r="AC33" s="87">
        <f t="shared" si="1"/>
        <v>80.5</v>
      </c>
      <c r="AD33" s="87">
        <f t="shared" si="1"/>
        <v>90.699999999999989</v>
      </c>
      <c r="AE33" s="87">
        <f t="shared" si="1"/>
        <v>86.699999999999989</v>
      </c>
      <c r="AF33" s="87">
        <f t="shared" si="1"/>
        <v>89</v>
      </c>
      <c r="AG33" s="105">
        <f t="shared" si="0"/>
        <v>2922.6000000000004</v>
      </c>
      <c r="AH33" s="134"/>
      <c r="AI33" s="134"/>
    </row>
    <row r="34" spans="1:35" s="91" customFormat="1" x14ac:dyDescent="0.25">
      <c r="A34" s="136"/>
      <c r="AG34" s="24">
        <f>SUM(AG3:AG31)</f>
        <v>2922.5999999999995</v>
      </c>
    </row>
  </sheetData>
  <mergeCells count="1">
    <mergeCell ref="A1:AG1"/>
  </mergeCells>
  <conditionalFormatting sqref="AG33">
    <cfRule type="cellIs" dxfId="15" priority="2" operator="equal">
      <formula>$AG$34</formula>
    </cfRule>
  </conditionalFormatting>
  <conditionalFormatting sqref="AG34">
    <cfRule type="cellIs" dxfId="14" priority="1" operator="equal">
      <formula>$AG$33</formula>
    </cfRule>
  </conditionalFormatting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f>SUM(0.1,0.5)</f>
        <v>0.6</v>
      </c>
      <c r="C3" s="88">
        <v>0</v>
      </c>
      <c r="D3" s="85">
        <f>SUM(0.65,0.3)</f>
        <v>0.95</v>
      </c>
      <c r="E3" s="85">
        <f>SUM(0.25,0.9)</f>
        <v>1.1499999999999999</v>
      </c>
      <c r="F3" s="85">
        <f>SUM(0.45,0.4)</f>
        <v>0.85000000000000009</v>
      </c>
      <c r="G3" s="86">
        <f>SUM(0.35,0.7)</f>
        <v>1.0499999999999998</v>
      </c>
      <c r="H3" s="85">
        <f>SUM(0.25,0.8)</f>
        <v>1.05</v>
      </c>
      <c r="I3" s="86">
        <f>SUM(0.4,0.1)</f>
        <v>0.5</v>
      </c>
      <c r="J3" s="85">
        <f>SUM(0.65,0.5)</f>
        <v>1.1499999999999999</v>
      </c>
      <c r="K3" s="86">
        <f>SUM(0.6,0.7)</f>
        <v>1.2999999999999998</v>
      </c>
      <c r="L3" s="85">
        <f>SUM(0.45,0.9)</f>
        <v>1.35</v>
      </c>
      <c r="M3" s="86">
        <f>SUM(0.35,0.1)</f>
        <v>0.44999999999999996</v>
      </c>
      <c r="N3" s="85">
        <f>SUM(0.35,0.3)</f>
        <v>0.64999999999999991</v>
      </c>
      <c r="O3" s="85">
        <f>SUM(0.1,0.3)</f>
        <v>0.4</v>
      </c>
      <c r="P3" s="86">
        <v>0.7</v>
      </c>
      <c r="Q3" s="85">
        <v>0.9</v>
      </c>
      <c r="R3" s="85">
        <f>SUM(0.25,0.4)</f>
        <v>0.65</v>
      </c>
      <c r="S3" s="86">
        <f>SUM(0.25,0.3)</f>
        <v>0.55000000000000004</v>
      </c>
      <c r="T3" s="86">
        <f>SUM(0.15,0.4)</f>
        <v>0.55000000000000004</v>
      </c>
      <c r="U3" s="86">
        <f>SUM(0.35,0.2)</f>
        <v>0.55000000000000004</v>
      </c>
      <c r="V3" s="86">
        <f>SUM(0.2,0.3)</f>
        <v>0.5</v>
      </c>
      <c r="W3" s="85">
        <v>0.4</v>
      </c>
      <c r="X3" s="85">
        <f>SUM(0.45,0.3)</f>
        <v>0.75</v>
      </c>
      <c r="Y3" s="85">
        <f>SUM(0.35,0.9)</f>
        <v>1.25</v>
      </c>
      <c r="Z3" s="85">
        <f>SUM(0.15,0.7)</f>
        <v>0.85</v>
      </c>
      <c r="AA3" s="85">
        <f>SUM(0.2,0.3)</f>
        <v>0.5</v>
      </c>
      <c r="AB3" s="85">
        <v>0.4</v>
      </c>
      <c r="AC3" s="85">
        <f>SUM(0.05,0.3)</f>
        <v>0.35</v>
      </c>
      <c r="AD3" s="85">
        <f>SUM(0.35,0.8)</f>
        <v>1.1499999999999999</v>
      </c>
      <c r="AE3" s="85">
        <f>SUM(0.25,0.9)</f>
        <v>1.1499999999999999</v>
      </c>
      <c r="AF3" s="85"/>
      <c r="AG3" s="103">
        <f>SUM(B3:AF3)</f>
        <v>22.65</v>
      </c>
      <c r="AH3" s="119"/>
      <c r="AI3" s="120"/>
    </row>
    <row r="4" spans="1:35" s="91" customFormat="1" ht="33" customHeight="1" x14ac:dyDescent="0.25">
      <c r="A4" s="138" t="s">
        <v>193</v>
      </c>
      <c r="B4" s="85">
        <v>0.1</v>
      </c>
      <c r="C4" s="88">
        <v>0</v>
      </c>
      <c r="D4" s="85">
        <v>0.65</v>
      </c>
      <c r="E4" s="85">
        <v>0.25</v>
      </c>
      <c r="F4" s="85">
        <v>0.45</v>
      </c>
      <c r="G4" s="86">
        <v>0.35</v>
      </c>
      <c r="H4" s="85">
        <v>0.25</v>
      </c>
      <c r="I4" s="86">
        <v>0.4</v>
      </c>
      <c r="J4" s="85">
        <v>0.65</v>
      </c>
      <c r="K4" s="86">
        <v>0.6</v>
      </c>
      <c r="L4" s="85">
        <v>0.45</v>
      </c>
      <c r="M4" s="86">
        <v>0.35</v>
      </c>
      <c r="N4" s="85">
        <v>0.35</v>
      </c>
      <c r="O4" s="85">
        <v>0.1</v>
      </c>
      <c r="P4" s="86">
        <v>0</v>
      </c>
      <c r="Q4" s="85">
        <v>0</v>
      </c>
      <c r="R4" s="85">
        <v>0.25</v>
      </c>
      <c r="S4" s="86">
        <v>0.25</v>
      </c>
      <c r="T4" s="86">
        <v>0.15</v>
      </c>
      <c r="U4" s="86">
        <v>0.35</v>
      </c>
      <c r="V4" s="86">
        <v>0.2</v>
      </c>
      <c r="W4" s="85">
        <v>0</v>
      </c>
      <c r="X4" s="85">
        <v>0.45</v>
      </c>
      <c r="Y4" s="85">
        <v>0.35</v>
      </c>
      <c r="Z4" s="85">
        <v>0.15</v>
      </c>
      <c r="AA4" s="85">
        <v>0.2</v>
      </c>
      <c r="AB4" s="85">
        <v>0</v>
      </c>
      <c r="AC4" s="85">
        <v>0.05</v>
      </c>
      <c r="AD4" s="85">
        <v>0.35</v>
      </c>
      <c r="AE4" s="85">
        <v>0.25</v>
      </c>
      <c r="AF4" s="85"/>
      <c r="AG4" s="103">
        <f t="shared" ref="AG4:AG33" si="0">SUM(B4:AF4)</f>
        <v>7.9499999999999984</v>
      </c>
      <c r="AH4" s="120"/>
      <c r="AI4" s="120"/>
    </row>
    <row r="5" spans="1:35" s="91" customFormat="1" ht="18.75" customHeight="1" x14ac:dyDescent="0.25">
      <c r="A5" s="62" t="s">
        <v>83</v>
      </c>
      <c r="B5" s="85">
        <v>0</v>
      </c>
      <c r="C5" s="88">
        <v>0</v>
      </c>
      <c r="D5" s="85">
        <v>3.1</v>
      </c>
      <c r="E5" s="85">
        <v>4</v>
      </c>
      <c r="F5" s="85">
        <v>2.1</v>
      </c>
      <c r="G5" s="86">
        <v>2</v>
      </c>
      <c r="H5" s="85">
        <v>0</v>
      </c>
      <c r="I5" s="86">
        <v>0</v>
      </c>
      <c r="J5" s="85">
        <v>1.3</v>
      </c>
      <c r="K5" s="86">
        <v>1.9</v>
      </c>
      <c r="L5" s="85">
        <v>2.1</v>
      </c>
      <c r="M5" s="86">
        <v>2.1</v>
      </c>
      <c r="N5" s="85">
        <v>1.1000000000000001</v>
      </c>
      <c r="O5" s="85">
        <v>1.3</v>
      </c>
      <c r="P5" s="86">
        <v>0</v>
      </c>
      <c r="Q5" s="85">
        <v>2</v>
      </c>
      <c r="R5" s="85">
        <v>2</v>
      </c>
      <c r="S5" s="86">
        <v>5</v>
      </c>
      <c r="T5" s="86">
        <v>2.1</v>
      </c>
      <c r="U5" s="86">
        <v>2.1</v>
      </c>
      <c r="V5" s="86">
        <v>0.3</v>
      </c>
      <c r="W5" s="85">
        <v>0</v>
      </c>
      <c r="X5" s="85">
        <v>0.3</v>
      </c>
      <c r="Y5" s="85">
        <v>1</v>
      </c>
      <c r="Z5" s="85">
        <v>0.9</v>
      </c>
      <c r="AA5" s="85">
        <v>1.1000000000000001</v>
      </c>
      <c r="AB5" s="85">
        <v>1.3</v>
      </c>
      <c r="AC5" s="85">
        <v>2.1</v>
      </c>
      <c r="AD5" s="85">
        <v>0</v>
      </c>
      <c r="AE5" s="85">
        <v>0</v>
      </c>
      <c r="AF5" s="87"/>
      <c r="AG5" s="103">
        <f t="shared" si="0"/>
        <v>41.199999999999996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131">
        <v>2.3199999999999998</v>
      </c>
      <c r="C7" s="131">
        <v>2.5</v>
      </c>
      <c r="D7" s="131">
        <v>2.5</v>
      </c>
      <c r="E7" s="131">
        <v>1.9</v>
      </c>
      <c r="F7" s="131">
        <v>2.2999999999999998</v>
      </c>
      <c r="G7" s="131">
        <v>1.3</v>
      </c>
      <c r="H7" s="131">
        <v>1.8</v>
      </c>
      <c r="I7" s="131">
        <v>0.9</v>
      </c>
      <c r="J7" s="131">
        <v>1.9</v>
      </c>
      <c r="K7" s="131">
        <v>1.5</v>
      </c>
      <c r="L7" s="131">
        <v>2.2000000000000002</v>
      </c>
      <c r="M7" s="131">
        <v>2.2999999999999998</v>
      </c>
      <c r="N7" s="131">
        <v>1.9</v>
      </c>
      <c r="O7" s="131">
        <v>1.7</v>
      </c>
      <c r="P7" s="131">
        <v>1.1000000000000001</v>
      </c>
      <c r="Q7" s="131">
        <v>1.8</v>
      </c>
      <c r="R7" s="131">
        <v>1.5</v>
      </c>
      <c r="S7" s="131">
        <v>1.7</v>
      </c>
      <c r="T7" s="131">
        <v>1.3</v>
      </c>
      <c r="U7" s="131">
        <v>1.8</v>
      </c>
      <c r="V7" s="131">
        <v>1.2</v>
      </c>
      <c r="W7" s="131">
        <v>1.9</v>
      </c>
      <c r="X7" s="131">
        <v>1</v>
      </c>
      <c r="Y7" s="131">
        <v>1.6</v>
      </c>
      <c r="Z7" s="131">
        <v>2.4</v>
      </c>
      <c r="AA7" s="131">
        <v>2.1</v>
      </c>
      <c r="AB7" s="131">
        <v>1.9</v>
      </c>
      <c r="AC7" s="131">
        <v>1.3</v>
      </c>
      <c r="AD7" s="131">
        <v>1</v>
      </c>
      <c r="AE7" s="131">
        <v>2</v>
      </c>
      <c r="AF7" s="86"/>
      <c r="AG7" s="103">
        <f t="shared" si="0"/>
        <v>52.62</v>
      </c>
      <c r="AH7" s="120"/>
      <c r="AI7" s="120"/>
    </row>
    <row r="8" spans="1:35" s="91" customFormat="1" ht="18.75" customHeight="1" x14ac:dyDescent="0.25">
      <c r="A8" s="62" t="s">
        <v>65</v>
      </c>
      <c r="B8" s="86">
        <v>0</v>
      </c>
      <c r="C8" s="86">
        <v>0</v>
      </c>
      <c r="D8" s="86">
        <v>0</v>
      </c>
      <c r="E8" s="86">
        <v>3.1</v>
      </c>
      <c r="F8" s="86">
        <v>0</v>
      </c>
      <c r="G8" s="86">
        <v>0</v>
      </c>
      <c r="H8" s="86">
        <v>3.3</v>
      </c>
      <c r="I8" s="86">
        <v>3.8</v>
      </c>
      <c r="J8" s="86">
        <v>0</v>
      </c>
      <c r="K8" s="86">
        <v>0</v>
      </c>
      <c r="L8" s="86">
        <v>1.2</v>
      </c>
      <c r="M8" s="86">
        <v>3</v>
      </c>
      <c r="N8" s="86">
        <v>2.9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4.3</v>
      </c>
      <c r="AA8" s="86">
        <v>0</v>
      </c>
      <c r="AB8" s="86">
        <v>3.1</v>
      </c>
      <c r="AC8" s="86">
        <v>0</v>
      </c>
      <c r="AD8" s="86">
        <v>2.5</v>
      </c>
      <c r="AE8" s="86">
        <v>2.1</v>
      </c>
      <c r="AF8" s="86"/>
      <c r="AG8" s="103">
        <f t="shared" si="0"/>
        <v>29.3</v>
      </c>
      <c r="AH8" s="120"/>
      <c r="AI8" s="120"/>
    </row>
    <row r="9" spans="1:35" s="91" customFormat="1" ht="18.75" customHeight="1" x14ac:dyDescent="0.25">
      <c r="A9" s="62" t="s">
        <v>66</v>
      </c>
      <c r="B9" s="86">
        <v>1.2</v>
      </c>
      <c r="C9" s="86">
        <v>1.6</v>
      </c>
      <c r="D9" s="86">
        <v>1</v>
      </c>
      <c r="E9" s="86">
        <v>0.5</v>
      </c>
      <c r="F9" s="86">
        <v>1.7</v>
      </c>
      <c r="G9" s="86">
        <v>0.3</v>
      </c>
      <c r="H9" s="86">
        <v>1.6</v>
      </c>
      <c r="I9" s="86">
        <v>0.25</v>
      </c>
      <c r="J9" s="86">
        <v>2.2000000000000002</v>
      </c>
      <c r="K9" s="86">
        <v>2.7</v>
      </c>
      <c r="L9" s="86">
        <v>0.3</v>
      </c>
      <c r="M9" s="86">
        <v>1.9</v>
      </c>
      <c r="N9" s="86">
        <v>1</v>
      </c>
      <c r="O9" s="86">
        <v>1</v>
      </c>
      <c r="P9" s="86">
        <v>0.3</v>
      </c>
      <c r="Q9" s="86">
        <v>0.5</v>
      </c>
      <c r="R9" s="86">
        <v>2</v>
      </c>
      <c r="S9" s="86">
        <v>1</v>
      </c>
      <c r="T9" s="86">
        <v>0.4</v>
      </c>
      <c r="U9" s="86">
        <v>0.4</v>
      </c>
      <c r="V9" s="86">
        <v>1</v>
      </c>
      <c r="W9" s="86">
        <v>1.3</v>
      </c>
      <c r="X9" s="86">
        <v>1.3</v>
      </c>
      <c r="Y9" s="86">
        <v>1.1000000000000001</v>
      </c>
      <c r="Z9" s="86">
        <v>0.4</v>
      </c>
      <c r="AA9" s="86">
        <v>1.6</v>
      </c>
      <c r="AB9" s="86">
        <v>0.5</v>
      </c>
      <c r="AC9" s="86">
        <v>0.5</v>
      </c>
      <c r="AD9" s="86">
        <v>0.7</v>
      </c>
      <c r="AE9" s="86">
        <v>0.5</v>
      </c>
      <c r="AF9" s="106"/>
      <c r="AG9" s="103">
        <f t="shared" si="0"/>
        <v>30.75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0.5</v>
      </c>
      <c r="C12" s="86">
        <v>0.8</v>
      </c>
      <c r="D12" s="86">
        <v>1.6</v>
      </c>
      <c r="E12" s="86">
        <v>0.5</v>
      </c>
      <c r="F12" s="86">
        <v>0.9</v>
      </c>
      <c r="G12" s="86">
        <v>1</v>
      </c>
      <c r="H12" s="86">
        <v>1.5</v>
      </c>
      <c r="I12" s="86">
        <v>1.1000000000000001</v>
      </c>
      <c r="J12" s="86">
        <v>1</v>
      </c>
      <c r="K12" s="86">
        <v>0.3</v>
      </c>
      <c r="L12" s="86">
        <v>0.5</v>
      </c>
      <c r="M12" s="86">
        <v>2</v>
      </c>
      <c r="N12" s="86">
        <v>1</v>
      </c>
      <c r="O12" s="86">
        <v>1.1000000000000001</v>
      </c>
      <c r="P12" s="86">
        <v>0.4</v>
      </c>
      <c r="Q12" s="86">
        <v>0.6</v>
      </c>
      <c r="R12" s="86">
        <v>0.8</v>
      </c>
      <c r="S12" s="86">
        <v>1</v>
      </c>
      <c r="T12" s="86">
        <v>0.9</v>
      </c>
      <c r="U12" s="86">
        <v>0.3</v>
      </c>
      <c r="V12" s="86">
        <v>0.9</v>
      </c>
      <c r="W12" s="86">
        <v>0.8</v>
      </c>
      <c r="X12" s="86">
        <v>1.1000000000000001</v>
      </c>
      <c r="Y12" s="86">
        <v>1.4</v>
      </c>
      <c r="Z12" s="86">
        <v>2</v>
      </c>
      <c r="AA12" s="86">
        <v>1</v>
      </c>
      <c r="AB12" s="86">
        <v>0.3</v>
      </c>
      <c r="AC12" s="86">
        <v>0.5</v>
      </c>
      <c r="AD12" s="86">
        <v>0.9</v>
      </c>
      <c r="AE12" s="86">
        <v>1</v>
      </c>
      <c r="AF12" s="86"/>
      <c r="AG12" s="103">
        <f t="shared" si="0"/>
        <v>27.7</v>
      </c>
      <c r="AH12" s="120"/>
      <c r="AI12" s="120"/>
    </row>
    <row r="13" spans="1:35" s="91" customFormat="1" ht="18.75" customHeight="1" x14ac:dyDescent="0.25">
      <c r="A13" s="62" t="s">
        <v>69</v>
      </c>
      <c r="B13" s="131">
        <v>2.3199999999999998</v>
      </c>
      <c r="C13" s="131">
        <v>2.5</v>
      </c>
      <c r="D13" s="131">
        <v>2.5</v>
      </c>
      <c r="E13" s="131">
        <v>1.9</v>
      </c>
      <c r="F13" s="131">
        <v>2.2999999999999998</v>
      </c>
      <c r="G13" s="131">
        <v>1.3</v>
      </c>
      <c r="H13" s="131">
        <v>1.8</v>
      </c>
      <c r="I13" s="131">
        <v>0.9</v>
      </c>
      <c r="J13" s="131">
        <v>1.9</v>
      </c>
      <c r="K13" s="131">
        <v>1.5</v>
      </c>
      <c r="L13" s="131">
        <v>2.2000000000000002</v>
      </c>
      <c r="M13" s="131">
        <v>2.2999999999999998</v>
      </c>
      <c r="N13" s="131">
        <v>1.9</v>
      </c>
      <c r="O13" s="131">
        <v>1.7</v>
      </c>
      <c r="P13" s="131">
        <v>1.1000000000000001</v>
      </c>
      <c r="Q13" s="131">
        <v>1.8</v>
      </c>
      <c r="R13" s="131">
        <v>1.5</v>
      </c>
      <c r="S13" s="131">
        <v>1.7</v>
      </c>
      <c r="T13" s="131">
        <v>1.3</v>
      </c>
      <c r="U13" s="131">
        <v>1.8</v>
      </c>
      <c r="V13" s="131">
        <v>1.2</v>
      </c>
      <c r="W13" s="131">
        <v>1.9</v>
      </c>
      <c r="X13" s="131">
        <v>1</v>
      </c>
      <c r="Y13" s="131">
        <v>1.6</v>
      </c>
      <c r="Z13" s="131">
        <v>2.4</v>
      </c>
      <c r="AA13" s="131">
        <v>2.1</v>
      </c>
      <c r="AB13" s="131">
        <v>1.9</v>
      </c>
      <c r="AC13" s="131">
        <v>1.3</v>
      </c>
      <c r="AD13" s="131">
        <v>1</v>
      </c>
      <c r="AE13" s="131">
        <v>2</v>
      </c>
      <c r="AF13" s="131"/>
      <c r="AG13" s="103">
        <f t="shared" si="0"/>
        <v>52.62</v>
      </c>
      <c r="AH13" s="120"/>
      <c r="AI13" s="120"/>
    </row>
    <row r="14" spans="1:35" s="91" customFormat="1" ht="18.75" customHeight="1" x14ac:dyDescent="0.25">
      <c r="A14" s="141" t="s">
        <v>71</v>
      </c>
      <c r="B14" s="86">
        <v>2.2999999999999998</v>
      </c>
      <c r="C14" s="86">
        <v>1</v>
      </c>
      <c r="D14" s="86">
        <v>3</v>
      </c>
      <c r="E14" s="86">
        <v>2.5</v>
      </c>
      <c r="F14" s="86">
        <v>1.3</v>
      </c>
      <c r="G14" s="86">
        <v>2.5</v>
      </c>
      <c r="H14" s="86">
        <v>3</v>
      </c>
      <c r="I14" s="86">
        <v>1</v>
      </c>
      <c r="J14" s="86">
        <v>2.2000000000000002</v>
      </c>
      <c r="K14" s="86">
        <v>3.3</v>
      </c>
      <c r="L14" s="86">
        <v>3.1</v>
      </c>
      <c r="M14" s="86">
        <v>2.2000000000000002</v>
      </c>
      <c r="N14" s="86">
        <v>1</v>
      </c>
      <c r="O14" s="86">
        <v>2.1</v>
      </c>
      <c r="P14" s="86">
        <v>3.4</v>
      </c>
      <c r="Q14" s="86">
        <v>3</v>
      </c>
      <c r="R14" s="86">
        <v>2.5</v>
      </c>
      <c r="S14" s="86">
        <v>3</v>
      </c>
      <c r="T14" s="86">
        <v>1.5</v>
      </c>
      <c r="U14" s="86">
        <v>3</v>
      </c>
      <c r="V14" s="86">
        <v>2.2999999999999998</v>
      </c>
      <c r="W14" s="86">
        <v>2.5</v>
      </c>
      <c r="X14" s="86">
        <v>3.1</v>
      </c>
      <c r="Y14" s="106">
        <v>2.1</v>
      </c>
      <c r="Z14" s="106">
        <v>2.2000000000000002</v>
      </c>
      <c r="AA14" s="106">
        <v>3.5</v>
      </c>
      <c r="AB14" s="106">
        <v>2.5</v>
      </c>
      <c r="AC14" s="106">
        <v>3</v>
      </c>
      <c r="AD14" s="106">
        <v>1</v>
      </c>
      <c r="AE14" s="106">
        <v>2.5</v>
      </c>
      <c r="AF14" s="106"/>
      <c r="AG14" s="103">
        <f t="shared" si="0"/>
        <v>71.600000000000009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0</v>
      </c>
      <c r="C15" s="86">
        <v>0</v>
      </c>
      <c r="D15" s="86">
        <v>0</v>
      </c>
      <c r="E15" s="86">
        <v>0</v>
      </c>
      <c r="F15" s="86">
        <v>0</v>
      </c>
      <c r="G15" s="86">
        <v>0</v>
      </c>
      <c r="H15" s="86">
        <v>0</v>
      </c>
      <c r="I15" s="86">
        <v>0</v>
      </c>
      <c r="J15" s="86">
        <v>1.1000000000000001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1.1000000000000001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6">
        <v>0</v>
      </c>
      <c r="Y15" s="86">
        <v>1.2</v>
      </c>
      <c r="Z15" s="86">
        <v>0</v>
      </c>
      <c r="AA15" s="86">
        <v>0</v>
      </c>
      <c r="AB15" s="86">
        <v>1</v>
      </c>
      <c r="AC15" s="86">
        <v>0</v>
      </c>
      <c r="AD15" s="86">
        <v>0</v>
      </c>
      <c r="AE15" s="86">
        <v>0</v>
      </c>
      <c r="AF15" s="86"/>
      <c r="AG15" s="103">
        <f t="shared" si="0"/>
        <v>4.4000000000000004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>
        <v>1.2</v>
      </c>
      <c r="C17" s="86">
        <v>0.6</v>
      </c>
      <c r="D17" s="86">
        <v>1.3</v>
      </c>
      <c r="E17" s="86">
        <v>1.2</v>
      </c>
      <c r="F17" s="86">
        <v>1.6</v>
      </c>
      <c r="G17" s="86">
        <v>1.5</v>
      </c>
      <c r="H17" s="86">
        <v>2</v>
      </c>
      <c r="I17" s="86">
        <v>1.3</v>
      </c>
      <c r="J17" s="86">
        <v>0.6</v>
      </c>
      <c r="K17" s="86">
        <v>1.7</v>
      </c>
      <c r="L17" s="86">
        <v>1.5</v>
      </c>
      <c r="M17" s="86">
        <v>1.3</v>
      </c>
      <c r="N17" s="86">
        <v>1.5</v>
      </c>
      <c r="O17" s="86">
        <v>1.3</v>
      </c>
      <c r="P17" s="86">
        <v>1.2</v>
      </c>
      <c r="Q17" s="86">
        <v>1.2</v>
      </c>
      <c r="R17" s="86">
        <v>0.9</v>
      </c>
      <c r="S17" s="86">
        <v>1.6</v>
      </c>
      <c r="T17" s="86">
        <v>1.3</v>
      </c>
      <c r="U17" s="86">
        <v>2.2999999999999998</v>
      </c>
      <c r="V17" s="86">
        <v>1.7</v>
      </c>
      <c r="W17" s="86">
        <v>1.5</v>
      </c>
      <c r="X17" s="86">
        <v>2</v>
      </c>
      <c r="Y17" s="86">
        <v>1.6</v>
      </c>
      <c r="Z17" s="86">
        <v>1.7</v>
      </c>
      <c r="AA17" s="86">
        <v>1.3</v>
      </c>
      <c r="AB17" s="86">
        <v>1.6</v>
      </c>
      <c r="AC17" s="86">
        <v>2.5</v>
      </c>
      <c r="AD17" s="86">
        <v>1.2</v>
      </c>
      <c r="AE17" s="86">
        <v>1.3</v>
      </c>
      <c r="AF17" s="86"/>
      <c r="AG17" s="103">
        <f t="shared" si="0"/>
        <v>43.5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v>2.1</v>
      </c>
      <c r="C20" s="86">
        <v>3.1</v>
      </c>
      <c r="D20" s="86">
        <v>1.9</v>
      </c>
      <c r="E20" s="86">
        <v>3.8</v>
      </c>
      <c r="F20" s="86">
        <v>2.8</v>
      </c>
      <c r="G20" s="86">
        <v>1.4</v>
      </c>
      <c r="H20" s="86">
        <v>1.3</v>
      </c>
      <c r="I20" s="86">
        <v>2</v>
      </c>
      <c r="J20" s="86">
        <v>3.4</v>
      </c>
      <c r="K20" s="86">
        <v>2.6</v>
      </c>
      <c r="L20" s="86">
        <v>3.4</v>
      </c>
      <c r="M20" s="86">
        <v>1.6</v>
      </c>
      <c r="N20" s="86">
        <v>3.2</v>
      </c>
      <c r="O20" s="86">
        <v>2</v>
      </c>
      <c r="P20" s="86">
        <v>2.7</v>
      </c>
      <c r="Q20" s="86">
        <v>4.3</v>
      </c>
      <c r="R20" s="86">
        <v>1.3</v>
      </c>
      <c r="S20" s="86">
        <v>1.6</v>
      </c>
      <c r="T20" s="86">
        <v>2.2000000000000002</v>
      </c>
      <c r="U20" s="86">
        <v>1.8</v>
      </c>
      <c r="V20" s="86">
        <v>3</v>
      </c>
      <c r="W20" s="86">
        <v>2</v>
      </c>
      <c r="X20" s="86">
        <v>1.5</v>
      </c>
      <c r="Y20" s="86">
        <v>3.1</v>
      </c>
      <c r="Z20" s="86">
        <v>2</v>
      </c>
      <c r="AA20" s="86">
        <v>1.7</v>
      </c>
      <c r="AB20" s="86">
        <v>2.1</v>
      </c>
      <c r="AC20" s="86">
        <v>2.2000000000000002</v>
      </c>
      <c r="AD20" s="86">
        <v>3</v>
      </c>
      <c r="AE20" s="86">
        <v>2.2999999999999998</v>
      </c>
      <c r="AF20" s="86"/>
      <c r="AG20" s="103">
        <f t="shared" si="0"/>
        <v>71.400000000000006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0.96</v>
      </c>
      <c r="C21" s="86">
        <v>0</v>
      </c>
      <c r="D21" s="86">
        <v>1</v>
      </c>
      <c r="E21" s="86">
        <v>0</v>
      </c>
      <c r="F21" s="86">
        <v>0.9</v>
      </c>
      <c r="G21" s="86">
        <v>0</v>
      </c>
      <c r="H21" s="86">
        <v>0.6</v>
      </c>
      <c r="I21" s="86">
        <v>0</v>
      </c>
      <c r="J21" s="86">
        <v>0.86</v>
      </c>
      <c r="K21" s="86">
        <v>0</v>
      </c>
      <c r="L21" s="86">
        <v>1</v>
      </c>
      <c r="M21" s="86">
        <v>0</v>
      </c>
      <c r="N21" s="86">
        <v>0.66</v>
      </c>
      <c r="O21" s="86">
        <v>0</v>
      </c>
      <c r="P21" s="86">
        <v>0.6</v>
      </c>
      <c r="Q21" s="86">
        <v>0</v>
      </c>
      <c r="R21" s="86">
        <v>0.8</v>
      </c>
      <c r="S21" s="86">
        <v>0</v>
      </c>
      <c r="T21" s="86">
        <v>1.3</v>
      </c>
      <c r="U21" s="86">
        <v>0</v>
      </c>
      <c r="V21" s="86">
        <v>1.3</v>
      </c>
      <c r="W21" s="86">
        <v>0</v>
      </c>
      <c r="X21" s="86">
        <v>0.9</v>
      </c>
      <c r="Y21" s="86">
        <v>0</v>
      </c>
      <c r="Z21" s="140">
        <v>1.2</v>
      </c>
      <c r="AA21" s="86">
        <v>0</v>
      </c>
      <c r="AB21" s="140">
        <v>0.9</v>
      </c>
      <c r="AC21" s="86">
        <v>1</v>
      </c>
      <c r="AD21" s="86">
        <v>1</v>
      </c>
      <c r="AE21" s="86">
        <v>1</v>
      </c>
      <c r="AF21" s="86"/>
      <c r="AG21" s="132">
        <f t="shared" si="0"/>
        <v>15.98</v>
      </c>
      <c r="AH21" s="120"/>
      <c r="AI21" s="120"/>
    </row>
    <row r="22" spans="1:35" s="91" customFormat="1" ht="18.75" customHeight="1" x14ac:dyDescent="0.25">
      <c r="A22" s="62" t="s">
        <v>75</v>
      </c>
      <c r="B22" s="86">
        <v>0</v>
      </c>
      <c r="C22" s="86">
        <v>0</v>
      </c>
      <c r="D22" s="86">
        <v>1</v>
      </c>
      <c r="E22" s="86">
        <v>1</v>
      </c>
      <c r="F22" s="86">
        <v>0.4</v>
      </c>
      <c r="G22" s="86">
        <v>1.2</v>
      </c>
      <c r="H22" s="86">
        <v>2.2000000000000002</v>
      </c>
      <c r="I22" s="86">
        <v>0</v>
      </c>
      <c r="J22" s="86">
        <v>1.6</v>
      </c>
      <c r="K22" s="86">
        <v>1.3</v>
      </c>
      <c r="L22" s="86">
        <v>1.2</v>
      </c>
      <c r="M22" s="86">
        <v>1.1000000000000001</v>
      </c>
      <c r="N22" s="86">
        <v>1</v>
      </c>
      <c r="O22" s="86">
        <v>0.9</v>
      </c>
      <c r="P22" s="86">
        <v>0</v>
      </c>
      <c r="Q22" s="86">
        <v>0</v>
      </c>
      <c r="R22" s="86">
        <v>2</v>
      </c>
      <c r="S22" s="86">
        <v>2.2999999999999998</v>
      </c>
      <c r="T22" s="86">
        <v>2</v>
      </c>
      <c r="U22" s="86">
        <v>1.3</v>
      </c>
      <c r="V22" s="86">
        <v>0.8</v>
      </c>
      <c r="W22" s="86">
        <v>0</v>
      </c>
      <c r="X22" s="86">
        <v>0.4</v>
      </c>
      <c r="Y22" s="86">
        <v>1.9</v>
      </c>
      <c r="Z22" s="86">
        <v>2.6</v>
      </c>
      <c r="AA22" s="86">
        <v>2.2999999999999998</v>
      </c>
      <c r="AB22" s="86">
        <v>0.2</v>
      </c>
      <c r="AC22" s="86">
        <v>1.3</v>
      </c>
      <c r="AD22" s="86">
        <v>0</v>
      </c>
      <c r="AE22" s="86">
        <v>1.9</v>
      </c>
      <c r="AF22" s="86"/>
      <c r="AG22" s="103">
        <f t="shared" si="0"/>
        <v>31.9</v>
      </c>
      <c r="AH22" s="120"/>
      <c r="AI22" s="120"/>
    </row>
    <row r="23" spans="1:35" s="91" customFormat="1" ht="18.75" customHeight="1" x14ac:dyDescent="0.25">
      <c r="A23" s="62" t="s">
        <v>77</v>
      </c>
      <c r="B23" s="131">
        <v>0.5</v>
      </c>
      <c r="C23" s="131">
        <v>1</v>
      </c>
      <c r="D23" s="131">
        <v>0.9</v>
      </c>
      <c r="E23" s="131">
        <v>1.1000000000000001</v>
      </c>
      <c r="F23" s="131">
        <v>1.2</v>
      </c>
      <c r="G23" s="131">
        <v>0.8</v>
      </c>
      <c r="H23" s="131">
        <v>0.7</v>
      </c>
      <c r="I23" s="131">
        <v>0</v>
      </c>
      <c r="J23" s="131">
        <v>0.5</v>
      </c>
      <c r="K23" s="131">
        <v>1</v>
      </c>
      <c r="L23" s="131">
        <v>0.7</v>
      </c>
      <c r="M23" s="131">
        <v>1.4</v>
      </c>
      <c r="N23" s="131">
        <v>0.6</v>
      </c>
      <c r="O23" s="131">
        <v>0</v>
      </c>
      <c r="P23" s="131">
        <v>0</v>
      </c>
      <c r="Q23" s="131">
        <v>0</v>
      </c>
      <c r="R23" s="131">
        <v>0.3</v>
      </c>
      <c r="S23" s="131">
        <v>1.7</v>
      </c>
      <c r="T23" s="131">
        <v>1.5</v>
      </c>
      <c r="U23" s="131">
        <v>1.8</v>
      </c>
      <c r="V23" s="131">
        <v>0</v>
      </c>
      <c r="W23" s="131">
        <v>0</v>
      </c>
      <c r="X23" s="131">
        <v>0.5</v>
      </c>
      <c r="Y23" s="131">
        <v>1.1000000000000001</v>
      </c>
      <c r="Z23" s="131">
        <v>0.9</v>
      </c>
      <c r="AA23" s="131">
        <v>1.6</v>
      </c>
      <c r="AB23" s="131">
        <v>1.7</v>
      </c>
      <c r="AC23" s="131">
        <v>0</v>
      </c>
      <c r="AD23" s="131">
        <v>0</v>
      </c>
      <c r="AE23" s="131">
        <v>0</v>
      </c>
      <c r="AF23" s="131"/>
      <c r="AG23" s="103">
        <f t="shared" si="0"/>
        <v>21.500000000000004</v>
      </c>
      <c r="AH23" s="120"/>
      <c r="AI23" s="120"/>
    </row>
    <row r="24" spans="1:35" s="91" customFormat="1" ht="18.75" customHeight="1" x14ac:dyDescent="0.25">
      <c r="A24" s="62" t="s">
        <v>78</v>
      </c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103">
        <f t="shared" si="0"/>
        <v>0</v>
      </c>
      <c r="AH24" s="120"/>
      <c r="AI24" s="120"/>
    </row>
    <row r="25" spans="1:35" s="91" customFormat="1" ht="18.75" customHeight="1" x14ac:dyDescent="0.25">
      <c r="A25" s="62" t="s">
        <v>79</v>
      </c>
      <c r="B25" s="86">
        <v>1.2</v>
      </c>
      <c r="C25" s="86">
        <v>1.6</v>
      </c>
      <c r="D25" s="86">
        <v>1</v>
      </c>
      <c r="E25" s="86">
        <v>0.5</v>
      </c>
      <c r="F25" s="86">
        <v>1.7</v>
      </c>
      <c r="G25" s="86">
        <v>0.3</v>
      </c>
      <c r="H25" s="86">
        <v>1.6</v>
      </c>
      <c r="I25" s="86">
        <v>0.25</v>
      </c>
      <c r="J25" s="86">
        <v>2.2000000000000002</v>
      </c>
      <c r="K25" s="86">
        <v>2.7</v>
      </c>
      <c r="L25" s="86">
        <v>0.3</v>
      </c>
      <c r="M25" s="86">
        <v>1.9</v>
      </c>
      <c r="N25" s="86">
        <v>1</v>
      </c>
      <c r="O25" s="86">
        <v>1</v>
      </c>
      <c r="P25" s="86">
        <v>0.3</v>
      </c>
      <c r="Q25" s="86">
        <v>0.5</v>
      </c>
      <c r="R25" s="86">
        <v>2</v>
      </c>
      <c r="S25" s="86">
        <v>1</v>
      </c>
      <c r="T25" s="86">
        <v>0.4</v>
      </c>
      <c r="U25" s="86">
        <v>0.4</v>
      </c>
      <c r="V25" s="86">
        <v>1</v>
      </c>
      <c r="W25" s="86">
        <v>1.3</v>
      </c>
      <c r="X25" s="86">
        <v>1.3</v>
      </c>
      <c r="Y25" s="86">
        <v>1.1000000000000001</v>
      </c>
      <c r="Z25" s="86">
        <v>0.4</v>
      </c>
      <c r="AA25" s="86">
        <v>1.6</v>
      </c>
      <c r="AB25" s="86">
        <v>0.5</v>
      </c>
      <c r="AC25" s="86">
        <v>0.5</v>
      </c>
      <c r="AD25" s="86">
        <v>0.7</v>
      </c>
      <c r="AE25" s="86">
        <v>0.5</v>
      </c>
      <c r="AF25" s="86"/>
      <c r="AG25" s="103">
        <f t="shared" si="0"/>
        <v>30.75</v>
      </c>
      <c r="AH25" s="120"/>
      <c r="AI25" s="120"/>
    </row>
    <row r="26" spans="1:35" s="91" customFormat="1" ht="18.75" customHeight="1" x14ac:dyDescent="0.25">
      <c r="A26" s="62" t="s">
        <v>154</v>
      </c>
      <c r="B26" s="106">
        <v>0</v>
      </c>
      <c r="C26" s="106">
        <v>0</v>
      </c>
      <c r="D26" s="106">
        <v>2.1</v>
      </c>
      <c r="E26" s="106">
        <v>1.2</v>
      </c>
      <c r="F26" s="106">
        <v>1.2</v>
      </c>
      <c r="G26" s="106">
        <v>0</v>
      </c>
      <c r="H26" s="106">
        <v>0</v>
      </c>
      <c r="I26" s="106">
        <v>0</v>
      </c>
      <c r="J26" s="106">
        <v>0</v>
      </c>
      <c r="K26" s="106">
        <v>0</v>
      </c>
      <c r="L26" s="106">
        <v>0</v>
      </c>
      <c r="M26" s="106">
        <v>0</v>
      </c>
      <c r="N26" s="106">
        <v>0</v>
      </c>
      <c r="O26" s="106">
        <v>0</v>
      </c>
      <c r="P26" s="106">
        <v>0</v>
      </c>
      <c r="Q26" s="106">
        <v>0</v>
      </c>
      <c r="R26" s="106">
        <v>2.1</v>
      </c>
      <c r="S26" s="106">
        <v>0.2</v>
      </c>
      <c r="T26" s="106">
        <v>0.2</v>
      </c>
      <c r="U26" s="106">
        <v>1.2</v>
      </c>
      <c r="V26" s="106">
        <v>2.1</v>
      </c>
      <c r="W26" s="106">
        <v>0</v>
      </c>
      <c r="X26" s="106">
        <v>0</v>
      </c>
      <c r="Y26" s="106">
        <v>0</v>
      </c>
      <c r="Z26" s="106">
        <v>0</v>
      </c>
      <c r="AA26" s="106">
        <v>0</v>
      </c>
      <c r="AB26" s="106">
        <v>0</v>
      </c>
      <c r="AC26" s="106">
        <v>0</v>
      </c>
      <c r="AD26" s="106">
        <v>0</v>
      </c>
      <c r="AE26" s="106">
        <v>1.3</v>
      </c>
      <c r="AF26" s="106"/>
      <c r="AG26" s="103">
        <f t="shared" si="0"/>
        <v>11.6</v>
      </c>
      <c r="AH26" s="120"/>
      <c r="AI26" s="120"/>
    </row>
    <row r="27" spans="1:35" s="91" customFormat="1" ht="18.75" customHeight="1" x14ac:dyDescent="0.25">
      <c r="A27" s="62" t="s">
        <v>80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86">
        <v>0.96</v>
      </c>
      <c r="C28" s="86">
        <v>0</v>
      </c>
      <c r="D28" s="86">
        <v>1</v>
      </c>
      <c r="E28" s="86">
        <v>0</v>
      </c>
      <c r="F28" s="86">
        <v>0.9</v>
      </c>
      <c r="G28" s="86">
        <v>0</v>
      </c>
      <c r="H28" s="86">
        <v>0.6</v>
      </c>
      <c r="I28" s="86">
        <v>0</v>
      </c>
      <c r="J28" s="86">
        <v>0.86</v>
      </c>
      <c r="K28" s="86">
        <v>0</v>
      </c>
      <c r="L28" s="86">
        <v>1</v>
      </c>
      <c r="M28" s="86">
        <v>0</v>
      </c>
      <c r="N28" s="86">
        <v>0.66</v>
      </c>
      <c r="O28" s="86">
        <v>0</v>
      </c>
      <c r="P28" s="86">
        <v>0.6</v>
      </c>
      <c r="Q28" s="86">
        <v>0</v>
      </c>
      <c r="R28" s="86">
        <v>0.8</v>
      </c>
      <c r="S28" s="86">
        <v>0</v>
      </c>
      <c r="T28" s="86">
        <v>1.3</v>
      </c>
      <c r="U28" s="86">
        <v>0</v>
      </c>
      <c r="V28" s="86">
        <v>1.3</v>
      </c>
      <c r="W28" s="86">
        <v>0</v>
      </c>
      <c r="X28" s="86">
        <v>0.9</v>
      </c>
      <c r="Y28" s="86">
        <v>0</v>
      </c>
      <c r="Z28" s="140">
        <v>1.2</v>
      </c>
      <c r="AA28" s="86">
        <v>0</v>
      </c>
      <c r="AB28" s="140">
        <v>0.9</v>
      </c>
      <c r="AC28" s="86">
        <v>1</v>
      </c>
      <c r="AD28" s="86">
        <v>1</v>
      </c>
      <c r="AE28" s="86">
        <v>1</v>
      </c>
      <c r="AF28" s="88"/>
      <c r="AG28" s="103">
        <f t="shared" si="0"/>
        <v>15.98</v>
      </c>
      <c r="AH28" s="120"/>
      <c r="AI28" s="120"/>
    </row>
    <row r="29" spans="1:35" s="91" customFormat="1" ht="18.75" customHeight="1" x14ac:dyDescent="0.25">
      <c r="A29" s="62" t="s">
        <v>81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88"/>
      <c r="AG29" s="103">
        <f t="shared" si="0"/>
        <v>0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5</v>
      </c>
      <c r="C31" s="106">
        <v>2.2999999999999998</v>
      </c>
      <c r="D31" s="106">
        <v>1.8</v>
      </c>
      <c r="E31" s="106">
        <v>3.4</v>
      </c>
      <c r="F31" s="106">
        <v>1</v>
      </c>
      <c r="G31" s="106">
        <v>2.1</v>
      </c>
      <c r="H31" s="106">
        <v>1.5</v>
      </c>
      <c r="I31" s="106">
        <v>0</v>
      </c>
      <c r="J31" s="106">
        <v>3.1</v>
      </c>
      <c r="K31" s="106">
        <v>1</v>
      </c>
      <c r="L31" s="106">
        <v>1.9</v>
      </c>
      <c r="M31" s="106">
        <v>3</v>
      </c>
      <c r="N31" s="106">
        <v>2.5</v>
      </c>
      <c r="O31" s="106">
        <v>1.9</v>
      </c>
      <c r="P31" s="106">
        <v>2.2000000000000002</v>
      </c>
      <c r="Q31" s="106">
        <v>0</v>
      </c>
      <c r="R31" s="106">
        <v>3.6</v>
      </c>
      <c r="S31" s="106">
        <v>2.7</v>
      </c>
      <c r="T31" s="106">
        <v>1.2</v>
      </c>
      <c r="U31" s="106">
        <v>1.1000000000000001</v>
      </c>
      <c r="V31" s="106">
        <v>1.3</v>
      </c>
      <c r="W31" s="106">
        <v>1.2</v>
      </c>
      <c r="X31" s="106">
        <v>2.2999999999999998</v>
      </c>
      <c r="Y31" s="106">
        <v>0</v>
      </c>
      <c r="Z31" s="106">
        <v>4</v>
      </c>
      <c r="AA31" s="106">
        <v>3.2</v>
      </c>
      <c r="AB31" s="106">
        <v>2.8</v>
      </c>
      <c r="AC31" s="106">
        <v>3.1</v>
      </c>
      <c r="AD31" s="106">
        <v>3.5</v>
      </c>
      <c r="AE31" s="106">
        <v>2.9</v>
      </c>
      <c r="AF31" s="88"/>
      <c r="AG31" s="103">
        <f t="shared" si="0"/>
        <v>65.600000000000009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21.259999999999998</v>
      </c>
      <c r="C33" s="87">
        <f t="shared" ref="C33:AF33" si="1">SUM(C3:C32)</f>
        <v>16.999999999999996</v>
      </c>
      <c r="D33" s="87">
        <f t="shared" si="1"/>
        <v>27.299999999999997</v>
      </c>
      <c r="E33" s="87">
        <f t="shared" si="1"/>
        <v>28</v>
      </c>
      <c r="F33" s="87">
        <f t="shared" si="1"/>
        <v>23.599999999999994</v>
      </c>
      <c r="G33" s="87">
        <f t="shared" si="1"/>
        <v>17.100000000000001</v>
      </c>
      <c r="H33" s="87">
        <f t="shared" si="1"/>
        <v>24.800000000000004</v>
      </c>
      <c r="I33" s="87">
        <f t="shared" si="1"/>
        <v>12.4</v>
      </c>
      <c r="J33" s="87">
        <f t="shared" si="1"/>
        <v>26.52</v>
      </c>
      <c r="K33" s="87">
        <f t="shared" si="1"/>
        <v>23.400000000000002</v>
      </c>
      <c r="L33" s="87">
        <f t="shared" si="1"/>
        <v>24.4</v>
      </c>
      <c r="M33" s="87">
        <f t="shared" si="1"/>
        <v>26.9</v>
      </c>
      <c r="N33" s="87">
        <f t="shared" si="1"/>
        <v>22.92</v>
      </c>
      <c r="O33" s="87">
        <f t="shared" si="1"/>
        <v>16.5</v>
      </c>
      <c r="P33" s="87">
        <f t="shared" si="1"/>
        <v>14.599999999999998</v>
      </c>
      <c r="Q33" s="87">
        <f t="shared" si="1"/>
        <v>16.599999999999998</v>
      </c>
      <c r="R33" s="87">
        <f t="shared" si="1"/>
        <v>26.100000000000005</v>
      </c>
      <c r="S33" s="87">
        <f t="shared" si="1"/>
        <v>25.299999999999997</v>
      </c>
      <c r="T33" s="87">
        <f t="shared" si="1"/>
        <v>19.600000000000001</v>
      </c>
      <c r="U33" s="87">
        <f t="shared" si="1"/>
        <v>20.200000000000003</v>
      </c>
      <c r="V33" s="87">
        <f t="shared" si="1"/>
        <v>20.100000000000005</v>
      </c>
      <c r="W33" s="87">
        <f t="shared" si="1"/>
        <v>14.799999999999999</v>
      </c>
      <c r="X33" s="87">
        <f t="shared" si="1"/>
        <v>18.8</v>
      </c>
      <c r="Y33" s="87">
        <f t="shared" si="1"/>
        <v>20.400000000000002</v>
      </c>
      <c r="Z33" s="87">
        <f t="shared" si="1"/>
        <v>29.599999999999998</v>
      </c>
      <c r="AA33" s="87">
        <f t="shared" si="1"/>
        <v>23.8</v>
      </c>
      <c r="AB33" s="87">
        <f t="shared" si="1"/>
        <v>23.599999999999998</v>
      </c>
      <c r="AC33" s="87">
        <f t="shared" si="1"/>
        <v>20.700000000000003</v>
      </c>
      <c r="AD33" s="87">
        <f t="shared" si="1"/>
        <v>19</v>
      </c>
      <c r="AE33" s="87">
        <f t="shared" si="1"/>
        <v>23.7</v>
      </c>
      <c r="AF33" s="87">
        <f t="shared" si="1"/>
        <v>0</v>
      </c>
      <c r="AG33" s="105">
        <f t="shared" si="0"/>
        <v>649.00000000000023</v>
      </c>
      <c r="AH33" s="134"/>
      <c r="AI33" s="134"/>
    </row>
    <row r="34" spans="1:35" s="91" customFormat="1" x14ac:dyDescent="0.25">
      <c r="A34" s="136"/>
      <c r="AG34" s="24">
        <f>SUM(AG3:AG31)</f>
        <v>649</v>
      </c>
    </row>
  </sheetData>
  <mergeCells count="1">
    <mergeCell ref="A1:AG1"/>
  </mergeCells>
  <conditionalFormatting sqref="AG33">
    <cfRule type="cellIs" dxfId="13" priority="2" operator="equal">
      <formula>$AG$34</formula>
    </cfRule>
  </conditionalFormatting>
  <conditionalFormatting sqref="AG34">
    <cfRule type="cellIs" dxfId="12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219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v>1.6</v>
      </c>
      <c r="C3" s="91">
        <v>1.1000000000000001</v>
      </c>
      <c r="D3" s="85">
        <v>1.8</v>
      </c>
      <c r="E3" s="85">
        <v>0.8</v>
      </c>
      <c r="F3" s="85">
        <v>1.2</v>
      </c>
      <c r="G3" s="86">
        <v>1.1000000000000001</v>
      </c>
      <c r="H3" s="85">
        <v>2</v>
      </c>
      <c r="I3" s="86">
        <v>0.8</v>
      </c>
      <c r="J3" s="85">
        <v>1</v>
      </c>
      <c r="K3" s="86">
        <v>1.3</v>
      </c>
      <c r="L3" s="85">
        <v>1</v>
      </c>
      <c r="M3" s="86">
        <v>0.9</v>
      </c>
      <c r="N3" s="85">
        <v>1.1000000000000001</v>
      </c>
      <c r="O3" s="85">
        <v>0.5</v>
      </c>
      <c r="P3" s="86">
        <v>0.3</v>
      </c>
      <c r="Q3" s="85">
        <v>0.1</v>
      </c>
      <c r="R3" s="85">
        <v>1.1000000000000001</v>
      </c>
      <c r="S3" s="86">
        <v>1.1000000000000001</v>
      </c>
      <c r="T3" s="86">
        <v>0.7</v>
      </c>
      <c r="U3" s="86">
        <v>0.5</v>
      </c>
      <c r="V3" s="86">
        <v>0.3</v>
      </c>
      <c r="W3" s="85">
        <v>0.1</v>
      </c>
      <c r="X3" s="85">
        <v>0.2</v>
      </c>
      <c r="Y3" s="85">
        <v>0.9</v>
      </c>
      <c r="Z3" s="85">
        <v>0.4</v>
      </c>
      <c r="AA3" s="85">
        <v>0.8</v>
      </c>
      <c r="AB3" s="85">
        <v>0.9</v>
      </c>
      <c r="AC3" s="85">
        <v>1.1000000000000001</v>
      </c>
      <c r="AD3" s="85">
        <v>0.5</v>
      </c>
      <c r="AE3" s="85">
        <v>0.7</v>
      </c>
      <c r="AF3" s="85"/>
      <c r="AG3" s="103">
        <f>SUM(B3:AF3)</f>
        <v>25.900000000000006</v>
      </c>
      <c r="AH3" s="119"/>
      <c r="AI3" s="120"/>
    </row>
    <row r="4" spans="1:35" s="91" customFormat="1" ht="33" customHeight="1" x14ac:dyDescent="0.25">
      <c r="A4" s="138" t="s">
        <v>193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103">
        <f t="shared" ref="AG4:AG33" si="0">SUM(B4:AF4)</f>
        <v>0</v>
      </c>
      <c r="AH4" s="120"/>
      <c r="AI4" s="120"/>
    </row>
    <row r="5" spans="1:35" s="91" customFormat="1" ht="18.75" customHeight="1" x14ac:dyDescent="0.25">
      <c r="A5" s="62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>
        <v>4.0999999999999996</v>
      </c>
      <c r="C8" s="86">
        <v>3.9</v>
      </c>
      <c r="D8" s="86">
        <v>4.2</v>
      </c>
      <c r="E8" s="86">
        <v>4</v>
      </c>
      <c r="F8" s="86">
        <v>3.5</v>
      </c>
      <c r="G8" s="86">
        <v>4.3</v>
      </c>
      <c r="H8" s="86">
        <v>4.8</v>
      </c>
      <c r="I8" s="86">
        <v>4.3</v>
      </c>
      <c r="J8" s="86">
        <v>4.8</v>
      </c>
      <c r="K8" s="86">
        <v>4</v>
      </c>
      <c r="L8" s="86">
        <v>4.2</v>
      </c>
      <c r="M8" s="86">
        <v>4.7</v>
      </c>
      <c r="N8" s="86">
        <v>5</v>
      </c>
      <c r="O8" s="86">
        <v>4.9000000000000004</v>
      </c>
      <c r="P8" s="86">
        <v>5</v>
      </c>
      <c r="Q8" s="86">
        <v>4.9000000000000004</v>
      </c>
      <c r="R8" s="86">
        <v>4.3</v>
      </c>
      <c r="S8" s="86">
        <v>4.3</v>
      </c>
      <c r="T8" s="86">
        <v>4.2</v>
      </c>
      <c r="U8" s="86">
        <v>4.4000000000000004</v>
      </c>
      <c r="V8" s="86">
        <v>4.3</v>
      </c>
      <c r="W8" s="86">
        <v>4.2</v>
      </c>
      <c r="X8" s="86">
        <v>4.0999999999999996</v>
      </c>
      <c r="Y8" s="86">
        <v>0</v>
      </c>
      <c r="Z8" s="86">
        <v>3.9</v>
      </c>
      <c r="AA8" s="86">
        <v>3.5</v>
      </c>
      <c r="AB8" s="86">
        <v>4.2</v>
      </c>
      <c r="AC8" s="86">
        <v>4.5</v>
      </c>
      <c r="AD8" s="86">
        <v>3.1</v>
      </c>
      <c r="AE8" s="86">
        <v>3</v>
      </c>
      <c r="AF8" s="86"/>
      <c r="AG8" s="103">
        <f t="shared" si="0"/>
        <v>122.60000000000001</v>
      </c>
      <c r="AH8" s="120"/>
      <c r="AI8" s="120"/>
    </row>
    <row r="9" spans="1:35" s="91" customFormat="1" ht="18.75" customHeight="1" x14ac:dyDescent="0.25">
      <c r="A9" s="62" t="s">
        <v>66</v>
      </c>
      <c r="B9" s="106">
        <v>0.9</v>
      </c>
      <c r="C9" s="106">
        <v>1.8</v>
      </c>
      <c r="D9" s="106">
        <v>1.3</v>
      </c>
      <c r="E9" s="106">
        <v>1.5</v>
      </c>
      <c r="F9" s="106">
        <v>0.9</v>
      </c>
      <c r="G9" s="106">
        <v>1.6</v>
      </c>
      <c r="H9" s="106">
        <v>1.5</v>
      </c>
      <c r="I9" s="106">
        <v>1.4</v>
      </c>
      <c r="J9" s="106">
        <v>1.8</v>
      </c>
      <c r="K9" s="106">
        <v>1.4</v>
      </c>
      <c r="L9" s="106">
        <v>1.8</v>
      </c>
      <c r="M9" s="106">
        <v>1.7</v>
      </c>
      <c r="N9" s="106">
        <v>1.4</v>
      </c>
      <c r="O9" s="106">
        <v>1</v>
      </c>
      <c r="P9" s="106">
        <v>1.3</v>
      </c>
      <c r="Q9" s="106">
        <v>1.1000000000000001</v>
      </c>
      <c r="R9" s="106">
        <v>1.5</v>
      </c>
      <c r="S9" s="106">
        <v>1.5</v>
      </c>
      <c r="T9" s="106">
        <v>1.8</v>
      </c>
      <c r="U9" s="106">
        <v>1.8</v>
      </c>
      <c r="V9" s="106">
        <v>1.7</v>
      </c>
      <c r="W9" s="106">
        <v>1.5</v>
      </c>
      <c r="X9" s="106">
        <v>1.3</v>
      </c>
      <c r="Y9" s="106">
        <v>1.6</v>
      </c>
      <c r="Z9" s="106">
        <v>1</v>
      </c>
      <c r="AA9" s="106">
        <v>0.4</v>
      </c>
      <c r="AB9" s="106">
        <v>0.5</v>
      </c>
      <c r="AC9" s="106">
        <v>1</v>
      </c>
      <c r="AD9" s="106">
        <v>1.5</v>
      </c>
      <c r="AE9" s="106">
        <v>1.5</v>
      </c>
      <c r="AF9" s="106"/>
      <c r="AG9" s="103">
        <f t="shared" si="0"/>
        <v>41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2</v>
      </c>
      <c r="C12" s="86">
        <v>1.9</v>
      </c>
      <c r="D12" s="86">
        <v>2.6</v>
      </c>
      <c r="E12" s="86">
        <v>2</v>
      </c>
      <c r="F12" s="86">
        <v>1.4</v>
      </c>
      <c r="G12" s="86">
        <v>1.6</v>
      </c>
      <c r="H12" s="86">
        <v>1.9</v>
      </c>
      <c r="I12" s="86">
        <v>2</v>
      </c>
      <c r="J12" s="86">
        <v>1.4</v>
      </c>
      <c r="K12" s="86">
        <v>1.1000000000000001</v>
      </c>
      <c r="L12" s="86">
        <v>0.4</v>
      </c>
      <c r="M12" s="86">
        <v>0.6</v>
      </c>
      <c r="N12" s="86">
        <v>0.5</v>
      </c>
      <c r="O12" s="86">
        <v>1</v>
      </c>
      <c r="P12" s="86">
        <v>0.9</v>
      </c>
      <c r="Q12" s="86">
        <v>0.3</v>
      </c>
      <c r="R12" s="86">
        <v>1</v>
      </c>
      <c r="S12" s="86">
        <v>1.1000000000000001</v>
      </c>
      <c r="T12" s="86">
        <v>1.6</v>
      </c>
      <c r="U12" s="86">
        <v>1.5</v>
      </c>
      <c r="V12" s="86">
        <v>1.3</v>
      </c>
      <c r="W12" s="86">
        <v>0.9</v>
      </c>
      <c r="X12" s="86">
        <v>1</v>
      </c>
      <c r="Y12" s="86">
        <v>1.7</v>
      </c>
      <c r="Z12" s="86">
        <v>0.8</v>
      </c>
      <c r="AA12" s="86">
        <v>1.1000000000000001</v>
      </c>
      <c r="AB12" s="86">
        <v>1.8</v>
      </c>
      <c r="AC12" s="86">
        <v>1.7</v>
      </c>
      <c r="AD12" s="86">
        <v>0.5</v>
      </c>
      <c r="AE12" s="86">
        <v>0.6</v>
      </c>
      <c r="AF12" s="86"/>
      <c r="AG12" s="103">
        <f t="shared" si="0"/>
        <v>38.200000000000003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62" t="s">
        <v>71</v>
      </c>
      <c r="B14" s="86">
        <v>2.5</v>
      </c>
      <c r="C14" s="86">
        <v>3</v>
      </c>
      <c r="D14" s="86">
        <v>3.1</v>
      </c>
      <c r="E14" s="86">
        <v>2.1</v>
      </c>
      <c r="F14" s="86">
        <v>2.2000000000000002</v>
      </c>
      <c r="G14" s="86">
        <v>2.1</v>
      </c>
      <c r="H14" s="86">
        <v>3</v>
      </c>
      <c r="I14" s="86">
        <v>2.5</v>
      </c>
      <c r="J14" s="86">
        <v>2.2000000000000002</v>
      </c>
      <c r="K14" s="86">
        <v>2.1</v>
      </c>
      <c r="L14" s="86">
        <v>2.5</v>
      </c>
      <c r="M14" s="86">
        <v>3.4</v>
      </c>
      <c r="N14" s="86">
        <v>3</v>
      </c>
      <c r="O14" s="86">
        <v>2.5</v>
      </c>
      <c r="P14" s="86">
        <v>1</v>
      </c>
      <c r="Q14" s="86">
        <v>2.1</v>
      </c>
      <c r="R14" s="86">
        <v>1</v>
      </c>
      <c r="S14" s="86">
        <v>1.3</v>
      </c>
      <c r="T14" s="86">
        <v>3.4</v>
      </c>
      <c r="U14" s="86">
        <v>2</v>
      </c>
      <c r="V14" s="86">
        <v>3</v>
      </c>
      <c r="W14" s="86">
        <v>2.5</v>
      </c>
      <c r="X14" s="86">
        <v>1</v>
      </c>
      <c r="Y14" s="106">
        <v>2.5</v>
      </c>
      <c r="Z14" s="106">
        <v>3</v>
      </c>
      <c r="AA14" s="106">
        <v>3.1</v>
      </c>
      <c r="AB14" s="106">
        <v>3.5</v>
      </c>
      <c r="AC14" s="106">
        <v>2.1</v>
      </c>
      <c r="AD14" s="106">
        <v>3</v>
      </c>
      <c r="AE14" s="106">
        <v>2.5</v>
      </c>
      <c r="AF14" s="106"/>
      <c r="AG14" s="103">
        <f t="shared" si="0"/>
        <v>73.199999999999989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1.7</v>
      </c>
      <c r="C15" s="86">
        <v>1.3</v>
      </c>
      <c r="D15" s="86">
        <v>1.8</v>
      </c>
      <c r="E15" s="86">
        <v>1.3</v>
      </c>
      <c r="F15" s="86">
        <v>1.5</v>
      </c>
      <c r="G15" s="86">
        <v>1.9</v>
      </c>
      <c r="H15" s="86">
        <v>2.1</v>
      </c>
      <c r="I15" s="86">
        <v>1.5</v>
      </c>
      <c r="J15" s="86">
        <v>1.3</v>
      </c>
      <c r="K15" s="86">
        <v>1</v>
      </c>
      <c r="L15" s="86">
        <v>1.3</v>
      </c>
      <c r="M15" s="86">
        <v>1.5</v>
      </c>
      <c r="N15" s="86">
        <v>1</v>
      </c>
      <c r="O15" s="86">
        <v>0.8</v>
      </c>
      <c r="P15" s="86">
        <v>1.2</v>
      </c>
      <c r="Q15" s="86">
        <v>1.1000000000000001</v>
      </c>
      <c r="R15" s="86">
        <v>1.2</v>
      </c>
      <c r="S15" s="86">
        <v>1.5</v>
      </c>
      <c r="T15" s="86">
        <v>1.2</v>
      </c>
      <c r="U15" s="86">
        <v>1.1000000000000001</v>
      </c>
      <c r="V15" s="86">
        <v>1.1000000000000001</v>
      </c>
      <c r="W15" s="86">
        <v>1.2</v>
      </c>
      <c r="X15" s="86">
        <v>1</v>
      </c>
      <c r="Y15" s="86">
        <v>1.2</v>
      </c>
      <c r="Z15" s="86">
        <v>1</v>
      </c>
      <c r="AA15" s="86">
        <v>1.2</v>
      </c>
      <c r="AB15" s="86">
        <v>1</v>
      </c>
      <c r="AC15" s="86">
        <v>1</v>
      </c>
      <c r="AD15" s="86">
        <v>1</v>
      </c>
      <c r="AE15" s="86">
        <v>1</v>
      </c>
      <c r="AF15" s="86"/>
      <c r="AG15" s="103">
        <f t="shared" si="0"/>
        <v>38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103">
        <f t="shared" si="0"/>
        <v>0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f>SUM(3.3,2.2)</f>
        <v>5.5</v>
      </c>
      <c r="C20" s="86">
        <f>SUM(2.6,2.7)</f>
        <v>5.3000000000000007</v>
      </c>
      <c r="D20" s="86">
        <f>SUM(4,1.7)</f>
        <v>5.7</v>
      </c>
      <c r="E20" s="86">
        <v>2.9</v>
      </c>
      <c r="F20" s="86">
        <f>SUM(2.4,1.4)</f>
        <v>3.8</v>
      </c>
      <c r="G20" s="86">
        <f>SUM(3.3,4.1)</f>
        <v>7.3999999999999995</v>
      </c>
      <c r="H20" s="86">
        <f>SUM(2.8,3.4)</f>
        <v>6.1999999999999993</v>
      </c>
      <c r="I20" s="86">
        <f>SUM(1.9,2.8)</f>
        <v>4.6999999999999993</v>
      </c>
      <c r="J20" s="86">
        <f>SUM(2.7,3.2)</f>
        <v>5.9</v>
      </c>
      <c r="K20" s="86">
        <f>SUM(3.6,4)</f>
        <v>7.6</v>
      </c>
      <c r="L20" s="86">
        <f>SUM(4.1,3.2)</f>
        <v>7.3</v>
      </c>
      <c r="M20" s="86">
        <f>SUM(3,2.4)</f>
        <v>5.4</v>
      </c>
      <c r="N20" s="86">
        <f>SUM(4,1.8)</f>
        <v>5.8</v>
      </c>
      <c r="O20" s="86">
        <f>SUM(3.4,4)</f>
        <v>7.4</v>
      </c>
      <c r="P20" s="86">
        <f>SUM(1.8,2.2)</f>
        <v>4</v>
      </c>
      <c r="Q20" s="86">
        <f>SUM(3,2.2)</f>
        <v>5.2</v>
      </c>
      <c r="R20" s="86">
        <f>SUM(2.5,2.4)</f>
        <v>4.9000000000000004</v>
      </c>
      <c r="S20" s="86">
        <f>SUM(3.3,1.7)</f>
        <v>5</v>
      </c>
      <c r="T20" s="86">
        <f>SUM(4.4,1.3)</f>
        <v>5.7</v>
      </c>
      <c r="U20" s="86">
        <f>SUM(2.8,4)</f>
        <v>6.8</v>
      </c>
      <c r="V20" s="86">
        <f>SUM(3.2,3.1)</f>
        <v>6.3000000000000007</v>
      </c>
      <c r="W20" s="86">
        <f>SUM(1.9,3.3)</f>
        <v>5.1999999999999993</v>
      </c>
      <c r="X20" s="86">
        <f>SUM(2.4,2.1)</f>
        <v>4.5</v>
      </c>
      <c r="Y20" s="86">
        <f>SUM(4,4.2)</f>
        <v>8.1999999999999993</v>
      </c>
      <c r="Z20" s="86">
        <f>SUM(3.6,2.9)</f>
        <v>6.5</v>
      </c>
      <c r="AA20" s="86">
        <f>SUM(4.1,2.5)</f>
        <v>6.6</v>
      </c>
      <c r="AB20" s="86">
        <f>SUM(1.7,3.4)</f>
        <v>5.0999999999999996</v>
      </c>
      <c r="AC20" s="86">
        <f>SUM(2.3,1.8)</f>
        <v>4.0999999999999996</v>
      </c>
      <c r="AD20" s="86">
        <f>SUM(4.1,1.7)</f>
        <v>5.8</v>
      </c>
      <c r="AE20" s="86">
        <f>SUM(2.9,2.7)</f>
        <v>5.6</v>
      </c>
      <c r="AF20" s="86"/>
      <c r="AG20" s="103">
        <f t="shared" si="0"/>
        <v>170.39999999999998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1.2</v>
      </c>
      <c r="C21" s="86">
        <v>0</v>
      </c>
      <c r="D21" s="86">
        <v>0.9</v>
      </c>
      <c r="E21" s="86">
        <v>0</v>
      </c>
      <c r="F21" s="86">
        <v>1.5</v>
      </c>
      <c r="G21" s="86">
        <v>0</v>
      </c>
      <c r="H21" s="86">
        <v>1.8</v>
      </c>
      <c r="I21" s="86">
        <v>0</v>
      </c>
      <c r="J21" s="86">
        <v>1.2</v>
      </c>
      <c r="K21" s="86">
        <v>0</v>
      </c>
      <c r="L21" s="86">
        <f>SUM(0.7,2.4)</f>
        <v>3.0999999999999996</v>
      </c>
      <c r="M21" s="86">
        <v>0</v>
      </c>
      <c r="N21" s="86">
        <v>1.4</v>
      </c>
      <c r="O21" s="86">
        <v>0</v>
      </c>
      <c r="P21" s="86">
        <v>1.8</v>
      </c>
      <c r="Q21" s="86">
        <v>0</v>
      </c>
      <c r="R21" s="86">
        <v>1.1000000000000001</v>
      </c>
      <c r="S21" s="86">
        <v>0</v>
      </c>
      <c r="T21" s="86">
        <v>1.5</v>
      </c>
      <c r="U21" s="86">
        <v>0</v>
      </c>
      <c r="V21" s="86">
        <v>1.8</v>
      </c>
      <c r="W21" s="86">
        <v>0</v>
      </c>
      <c r="X21" s="86">
        <v>1.2</v>
      </c>
      <c r="Y21" s="86">
        <v>0</v>
      </c>
      <c r="Z21" s="86">
        <v>0</v>
      </c>
      <c r="AA21" s="86">
        <v>1</v>
      </c>
      <c r="AB21" s="86">
        <v>0</v>
      </c>
      <c r="AC21" s="86">
        <v>1.2</v>
      </c>
      <c r="AD21" s="86">
        <v>1</v>
      </c>
      <c r="AE21" s="86">
        <v>0.7</v>
      </c>
      <c r="AF21" s="86"/>
      <c r="AG21" s="132">
        <f t="shared" si="0"/>
        <v>22.4</v>
      </c>
      <c r="AH21" s="120"/>
      <c r="AI21" s="120"/>
    </row>
    <row r="22" spans="1:35" s="91" customFormat="1" ht="18.75" customHeight="1" x14ac:dyDescent="0.25">
      <c r="A22" s="62" t="s">
        <v>75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103">
        <f t="shared" si="0"/>
        <v>0</v>
      </c>
      <c r="AH22" s="120"/>
      <c r="AI22" s="120"/>
    </row>
    <row r="23" spans="1:35" s="91" customFormat="1" ht="18.75" customHeight="1" x14ac:dyDescent="0.25">
      <c r="A23" s="62" t="s">
        <v>77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103">
        <f t="shared" si="0"/>
        <v>0</v>
      </c>
      <c r="AH23" s="120"/>
      <c r="AI23" s="120"/>
    </row>
    <row r="24" spans="1:35" s="91" customFormat="1" ht="18.75" customHeight="1" x14ac:dyDescent="0.25">
      <c r="A24" s="62" t="s">
        <v>78</v>
      </c>
      <c r="B24" s="86">
        <v>5</v>
      </c>
      <c r="C24" s="86">
        <v>6</v>
      </c>
      <c r="D24" s="86">
        <v>5</v>
      </c>
      <c r="E24" s="86">
        <v>8</v>
      </c>
      <c r="F24" s="86">
        <v>6</v>
      </c>
      <c r="G24" s="86">
        <v>5</v>
      </c>
      <c r="H24" s="86">
        <v>5</v>
      </c>
      <c r="I24" s="86">
        <v>5</v>
      </c>
      <c r="J24" s="86">
        <v>6</v>
      </c>
      <c r="K24" s="86">
        <v>5</v>
      </c>
      <c r="L24" s="86">
        <v>5</v>
      </c>
      <c r="M24" s="86">
        <v>6</v>
      </c>
      <c r="N24" s="86">
        <v>5</v>
      </c>
      <c r="O24" s="86">
        <v>6</v>
      </c>
      <c r="P24" s="86">
        <v>6</v>
      </c>
      <c r="Q24" s="86">
        <v>5</v>
      </c>
      <c r="R24" s="86">
        <v>6</v>
      </c>
      <c r="S24" s="86">
        <v>4</v>
      </c>
      <c r="T24" s="86">
        <v>5</v>
      </c>
      <c r="U24" s="86">
        <v>5</v>
      </c>
      <c r="V24" s="86">
        <v>7</v>
      </c>
      <c r="W24" s="86">
        <v>6</v>
      </c>
      <c r="X24" s="86">
        <v>5</v>
      </c>
      <c r="Y24" s="86">
        <v>6</v>
      </c>
      <c r="Z24" s="86">
        <v>6</v>
      </c>
      <c r="AA24" s="86">
        <v>5</v>
      </c>
      <c r="AB24" s="86">
        <v>6</v>
      </c>
      <c r="AC24" s="86">
        <v>6</v>
      </c>
      <c r="AD24" s="86">
        <v>6</v>
      </c>
      <c r="AE24" s="86">
        <v>5</v>
      </c>
      <c r="AF24" s="86"/>
      <c r="AG24" s="103">
        <f t="shared" si="0"/>
        <v>167</v>
      </c>
      <c r="AH24" s="120"/>
      <c r="AI24" s="120"/>
    </row>
    <row r="25" spans="1:35" s="91" customFormat="1" ht="18.75" customHeight="1" x14ac:dyDescent="0.25">
      <c r="A25" s="62" t="s">
        <v>79</v>
      </c>
      <c r="B25" s="106">
        <v>0.9</v>
      </c>
      <c r="C25" s="106">
        <v>1.8</v>
      </c>
      <c r="D25" s="106">
        <v>1.3</v>
      </c>
      <c r="E25" s="106">
        <v>1.5</v>
      </c>
      <c r="F25" s="106">
        <v>0.9</v>
      </c>
      <c r="G25" s="106">
        <v>1.6</v>
      </c>
      <c r="H25" s="106">
        <v>1.5</v>
      </c>
      <c r="I25" s="106">
        <v>1.4</v>
      </c>
      <c r="J25" s="106">
        <v>1.8</v>
      </c>
      <c r="K25" s="106">
        <v>1.4</v>
      </c>
      <c r="L25" s="106">
        <v>1.8</v>
      </c>
      <c r="M25" s="106">
        <v>1.7</v>
      </c>
      <c r="N25" s="106">
        <v>1.4</v>
      </c>
      <c r="O25" s="106">
        <v>1</v>
      </c>
      <c r="P25" s="106">
        <v>1.3</v>
      </c>
      <c r="Q25" s="106">
        <v>1.1000000000000001</v>
      </c>
      <c r="R25" s="106">
        <v>1.5</v>
      </c>
      <c r="S25" s="106">
        <v>1.5</v>
      </c>
      <c r="T25" s="106">
        <v>1.8</v>
      </c>
      <c r="U25" s="106">
        <v>1.8</v>
      </c>
      <c r="V25" s="106">
        <v>1.7</v>
      </c>
      <c r="W25" s="106">
        <v>1.5</v>
      </c>
      <c r="X25" s="106">
        <v>1.3</v>
      </c>
      <c r="Y25" s="106">
        <v>1.6</v>
      </c>
      <c r="Z25" s="106">
        <v>1</v>
      </c>
      <c r="AA25" s="106">
        <v>0.4</v>
      </c>
      <c r="AB25" s="106">
        <v>0.5</v>
      </c>
      <c r="AC25" s="106">
        <v>1</v>
      </c>
      <c r="AD25" s="106">
        <v>1.5</v>
      </c>
      <c r="AE25" s="106">
        <v>1.5</v>
      </c>
      <c r="AF25" s="86"/>
      <c r="AG25" s="103">
        <f t="shared" si="0"/>
        <v>41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33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86">
        <v>1.2</v>
      </c>
      <c r="C28" s="86">
        <v>0</v>
      </c>
      <c r="D28" s="86">
        <v>0.9</v>
      </c>
      <c r="E28" s="86">
        <v>0</v>
      </c>
      <c r="F28" s="86">
        <v>1.5</v>
      </c>
      <c r="G28" s="86">
        <v>0</v>
      </c>
      <c r="H28" s="86">
        <v>1.8</v>
      </c>
      <c r="I28" s="86">
        <v>0</v>
      </c>
      <c r="J28" s="86">
        <v>1.2</v>
      </c>
      <c r="K28" s="86">
        <v>0</v>
      </c>
      <c r="L28" s="86">
        <v>0.7</v>
      </c>
      <c r="M28" s="86">
        <v>0</v>
      </c>
      <c r="N28" s="86">
        <v>1.4</v>
      </c>
      <c r="O28" s="86">
        <v>0</v>
      </c>
      <c r="P28" s="86">
        <v>1.8</v>
      </c>
      <c r="Q28" s="86">
        <v>0</v>
      </c>
      <c r="R28" s="86">
        <v>1.1000000000000001</v>
      </c>
      <c r="S28" s="86">
        <v>0</v>
      </c>
      <c r="T28" s="86">
        <v>1.5</v>
      </c>
      <c r="U28" s="86">
        <v>0</v>
      </c>
      <c r="V28" s="86">
        <v>1.8</v>
      </c>
      <c r="W28" s="86">
        <v>0</v>
      </c>
      <c r="X28" s="86">
        <v>1.2</v>
      </c>
      <c r="Y28" s="86">
        <v>0</v>
      </c>
      <c r="Z28" s="86">
        <v>0</v>
      </c>
      <c r="AA28" s="86">
        <v>1</v>
      </c>
      <c r="AB28" s="86">
        <v>0</v>
      </c>
      <c r="AC28" s="86">
        <v>1.2</v>
      </c>
      <c r="AD28" s="86">
        <v>1</v>
      </c>
      <c r="AE28" s="86">
        <v>0.7</v>
      </c>
      <c r="AF28" s="88"/>
      <c r="AG28" s="103">
        <f t="shared" si="0"/>
        <v>20</v>
      </c>
      <c r="AH28" s="120"/>
      <c r="AI28" s="120"/>
    </row>
    <row r="29" spans="1:35" s="91" customFormat="1" ht="18.75" customHeight="1" x14ac:dyDescent="0.25">
      <c r="A29" s="62" t="s">
        <v>81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88"/>
      <c r="AG29" s="103">
        <f t="shared" si="0"/>
        <v>0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88"/>
      <c r="AG31" s="103">
        <f t="shared" si="0"/>
        <v>0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26.599999999999994</v>
      </c>
      <c r="C33" s="87">
        <f t="shared" ref="C33:AF33" si="1">SUM(C3:C32)</f>
        <v>26.1</v>
      </c>
      <c r="D33" s="87">
        <f t="shared" si="1"/>
        <v>28.599999999999998</v>
      </c>
      <c r="E33" s="87">
        <f t="shared" si="1"/>
        <v>24.1</v>
      </c>
      <c r="F33" s="87">
        <f t="shared" si="1"/>
        <v>24.4</v>
      </c>
      <c r="G33" s="87">
        <f t="shared" si="1"/>
        <v>26.6</v>
      </c>
      <c r="H33" s="87">
        <f t="shared" si="1"/>
        <v>31.6</v>
      </c>
      <c r="I33" s="87">
        <f t="shared" si="1"/>
        <v>23.599999999999998</v>
      </c>
      <c r="J33" s="87">
        <f t="shared" si="1"/>
        <v>28.599999999999998</v>
      </c>
      <c r="K33" s="87">
        <f t="shared" si="1"/>
        <v>24.9</v>
      </c>
      <c r="L33" s="87">
        <f t="shared" si="1"/>
        <v>29.1</v>
      </c>
      <c r="M33" s="87">
        <f t="shared" si="1"/>
        <v>25.900000000000002</v>
      </c>
      <c r="N33" s="87">
        <f t="shared" si="1"/>
        <v>26.999999999999996</v>
      </c>
      <c r="O33" s="87">
        <f t="shared" si="1"/>
        <v>25.1</v>
      </c>
      <c r="P33" s="87">
        <f t="shared" si="1"/>
        <v>24.6</v>
      </c>
      <c r="Q33" s="87">
        <f t="shared" si="1"/>
        <v>20.900000000000002</v>
      </c>
      <c r="R33" s="87">
        <f t="shared" si="1"/>
        <v>24.700000000000003</v>
      </c>
      <c r="S33" s="87">
        <f t="shared" si="1"/>
        <v>21.3</v>
      </c>
      <c r="T33" s="87">
        <f t="shared" si="1"/>
        <v>28.400000000000002</v>
      </c>
      <c r="U33" s="87">
        <f t="shared" si="1"/>
        <v>24.9</v>
      </c>
      <c r="V33" s="87">
        <f t="shared" si="1"/>
        <v>30.3</v>
      </c>
      <c r="W33" s="87">
        <f t="shared" si="1"/>
        <v>23.099999999999998</v>
      </c>
      <c r="X33" s="87">
        <f t="shared" si="1"/>
        <v>21.799999999999997</v>
      </c>
      <c r="Y33" s="87">
        <f t="shared" si="1"/>
        <v>23.700000000000003</v>
      </c>
      <c r="Z33" s="87">
        <f t="shared" si="1"/>
        <v>23.6</v>
      </c>
      <c r="AA33" s="87">
        <f t="shared" si="1"/>
        <v>24.099999999999998</v>
      </c>
      <c r="AB33" s="87">
        <f t="shared" si="1"/>
        <v>23.5</v>
      </c>
      <c r="AC33" s="87">
        <f t="shared" si="1"/>
        <v>24.9</v>
      </c>
      <c r="AD33" s="87">
        <f t="shared" si="1"/>
        <v>24.9</v>
      </c>
      <c r="AE33" s="87">
        <f t="shared" si="1"/>
        <v>22.8</v>
      </c>
      <c r="AF33" s="87">
        <f t="shared" si="1"/>
        <v>0</v>
      </c>
      <c r="AG33" s="105">
        <f t="shared" si="0"/>
        <v>759.69999999999993</v>
      </c>
      <c r="AH33" s="134"/>
      <c r="AI33" s="134"/>
    </row>
    <row r="34" spans="1:35" s="91" customFormat="1" x14ac:dyDescent="0.25">
      <c r="A34" s="136"/>
      <c r="AG34" s="24">
        <f>SUM(AG3:AG31)</f>
        <v>759.69999999999993</v>
      </c>
    </row>
  </sheetData>
  <mergeCells count="1">
    <mergeCell ref="A1:AG1"/>
  </mergeCells>
  <conditionalFormatting sqref="AG33">
    <cfRule type="cellIs" dxfId="11" priority="2" operator="equal">
      <formula>$AG$34</formula>
    </cfRule>
  </conditionalFormatting>
  <conditionalFormatting sqref="AG34">
    <cfRule type="cellIs" dxfId="10" priority="1" operator="equal">
      <formula>$AG$33</formula>
    </cfRule>
  </conditionalFormatting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220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v>0</v>
      </c>
      <c r="C3" s="91">
        <v>0</v>
      </c>
      <c r="D3" s="85">
        <v>2.5</v>
      </c>
      <c r="E3" s="85">
        <v>1.9</v>
      </c>
      <c r="F3" s="85">
        <v>2.2999999999999998</v>
      </c>
      <c r="G3" s="86">
        <v>3.1</v>
      </c>
      <c r="H3" s="85">
        <v>1.3</v>
      </c>
      <c r="I3" s="86">
        <v>0</v>
      </c>
      <c r="J3" s="85">
        <v>2.2999999999999998</v>
      </c>
      <c r="K3" s="86">
        <v>2.2000000000000002</v>
      </c>
      <c r="L3" s="85">
        <v>1.9</v>
      </c>
      <c r="M3" s="86">
        <v>3.2</v>
      </c>
      <c r="N3" s="85">
        <v>3.5</v>
      </c>
      <c r="O3" s="85">
        <v>3.3</v>
      </c>
      <c r="P3" s="86">
        <v>0</v>
      </c>
      <c r="Q3" s="85">
        <v>0</v>
      </c>
      <c r="R3" s="85">
        <v>3.3</v>
      </c>
      <c r="S3" s="86">
        <v>2.5</v>
      </c>
      <c r="T3" s="86">
        <v>2.2999999999999998</v>
      </c>
      <c r="U3" s="86">
        <v>2.1</v>
      </c>
      <c r="V3" s="86">
        <v>1.9</v>
      </c>
      <c r="W3" s="85">
        <v>1.7</v>
      </c>
      <c r="X3" s="85">
        <v>2.5</v>
      </c>
      <c r="Y3" s="85">
        <v>2.2000000000000002</v>
      </c>
      <c r="Z3" s="85">
        <v>3.1</v>
      </c>
      <c r="AA3" s="85">
        <v>2.5</v>
      </c>
      <c r="AB3" s="85">
        <v>3.3</v>
      </c>
      <c r="AC3" s="85">
        <v>3.5</v>
      </c>
      <c r="AD3" s="85">
        <v>2.9</v>
      </c>
      <c r="AE3" s="85">
        <v>3.2</v>
      </c>
      <c r="AF3" s="85"/>
      <c r="AG3" s="103">
        <f>SUM(B3:AF3)</f>
        <v>64.5</v>
      </c>
      <c r="AH3" s="119"/>
      <c r="AI3" s="120"/>
    </row>
    <row r="4" spans="1:35" s="91" customFormat="1" ht="33" customHeight="1" x14ac:dyDescent="0.25">
      <c r="A4" s="138" t="s">
        <v>193</v>
      </c>
      <c r="B4" s="87">
        <v>1.9</v>
      </c>
      <c r="C4" s="87">
        <v>3.2</v>
      </c>
      <c r="D4" s="87">
        <v>4.3</v>
      </c>
      <c r="E4" s="87">
        <v>3.9</v>
      </c>
      <c r="F4" s="87">
        <v>4.5</v>
      </c>
      <c r="G4" s="87">
        <v>3.7</v>
      </c>
      <c r="H4" s="87">
        <v>3.3</v>
      </c>
      <c r="I4" s="87">
        <v>4.2</v>
      </c>
      <c r="J4" s="87">
        <v>3.1</v>
      </c>
      <c r="K4" s="87">
        <v>3.1</v>
      </c>
      <c r="L4" s="87">
        <v>2.9</v>
      </c>
      <c r="M4" s="87">
        <v>2.7</v>
      </c>
      <c r="N4" s="87">
        <v>3.9</v>
      </c>
      <c r="O4" s="87">
        <v>3.3</v>
      </c>
      <c r="P4" s="87">
        <v>2.7</v>
      </c>
      <c r="Q4" s="87">
        <v>2.2999999999999998</v>
      </c>
      <c r="R4" s="87">
        <v>3.2</v>
      </c>
      <c r="S4" s="87">
        <v>3.1</v>
      </c>
      <c r="T4" s="87">
        <v>2.7</v>
      </c>
      <c r="U4" s="87">
        <v>3.5</v>
      </c>
      <c r="V4" s="87">
        <v>3.3</v>
      </c>
      <c r="W4" s="87">
        <v>2</v>
      </c>
      <c r="X4" s="87">
        <v>3.1</v>
      </c>
      <c r="Y4" s="87">
        <v>2.7</v>
      </c>
      <c r="Z4" s="87">
        <v>3.3</v>
      </c>
      <c r="AA4" s="87">
        <v>3.1</v>
      </c>
      <c r="AB4" s="87">
        <v>3</v>
      </c>
      <c r="AC4" s="87">
        <v>3.5</v>
      </c>
      <c r="AD4" s="87">
        <v>3.1</v>
      </c>
      <c r="AE4" s="87">
        <v>3.3</v>
      </c>
      <c r="AF4" s="87"/>
      <c r="AG4" s="103">
        <f t="shared" ref="AG4:AG33" si="0">SUM(B4:AF4)</f>
        <v>95.899999999999977</v>
      </c>
      <c r="AH4" s="120"/>
      <c r="AI4" s="120"/>
    </row>
    <row r="5" spans="1:35" s="91" customFormat="1" ht="18.75" customHeight="1" x14ac:dyDescent="0.25">
      <c r="A5" s="62" t="s">
        <v>83</v>
      </c>
      <c r="B5" s="87">
        <v>0</v>
      </c>
      <c r="C5" s="87">
        <v>0</v>
      </c>
      <c r="D5" s="87">
        <v>2.1</v>
      </c>
      <c r="E5" s="87">
        <v>2</v>
      </c>
      <c r="F5" s="87">
        <v>2</v>
      </c>
      <c r="G5" s="87">
        <v>2.1</v>
      </c>
      <c r="H5" s="87">
        <v>3.1</v>
      </c>
      <c r="I5" s="87">
        <v>0</v>
      </c>
      <c r="J5" s="87">
        <v>2.7</v>
      </c>
      <c r="K5" s="87">
        <v>2.2999999999999998</v>
      </c>
      <c r="L5" s="87">
        <v>2.2000000000000002</v>
      </c>
      <c r="M5" s="87">
        <v>3.1</v>
      </c>
      <c r="N5" s="87">
        <v>2.8</v>
      </c>
      <c r="O5" s="87">
        <v>2.5</v>
      </c>
      <c r="P5" s="87">
        <v>0</v>
      </c>
      <c r="Q5" s="87">
        <v>0</v>
      </c>
      <c r="R5" s="87">
        <v>2.1</v>
      </c>
      <c r="S5" s="87">
        <v>2.1</v>
      </c>
      <c r="T5" s="87">
        <v>2</v>
      </c>
      <c r="U5" s="87">
        <v>2</v>
      </c>
      <c r="V5" s="87">
        <v>2</v>
      </c>
      <c r="W5" s="87">
        <v>0</v>
      </c>
      <c r="X5" s="87">
        <v>2.8</v>
      </c>
      <c r="Y5" s="87">
        <v>2.4</v>
      </c>
      <c r="Z5" s="87">
        <v>3</v>
      </c>
      <c r="AA5" s="87">
        <v>2.9</v>
      </c>
      <c r="AB5" s="87">
        <v>2.8</v>
      </c>
      <c r="AC5" s="87">
        <v>3.1</v>
      </c>
      <c r="AD5" s="87">
        <v>0</v>
      </c>
      <c r="AE5" s="87">
        <v>0</v>
      </c>
      <c r="AF5" s="87"/>
      <c r="AG5" s="103">
        <f t="shared" si="0"/>
        <v>54.1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5">
        <v>4.5999999999999996</v>
      </c>
      <c r="C8" s="91">
        <v>3.2</v>
      </c>
      <c r="D8" s="85">
        <v>5</v>
      </c>
      <c r="E8" s="85">
        <v>6.1</v>
      </c>
      <c r="F8" s="85">
        <v>7</v>
      </c>
      <c r="G8" s="86">
        <v>8</v>
      </c>
      <c r="H8" s="85">
        <v>3.1</v>
      </c>
      <c r="I8" s="86">
        <v>8</v>
      </c>
      <c r="J8" s="85">
        <v>7.2</v>
      </c>
      <c r="K8" s="86">
        <v>6.9</v>
      </c>
      <c r="L8" s="85">
        <v>5</v>
      </c>
      <c r="M8" s="86">
        <v>6.5</v>
      </c>
      <c r="N8" s="85">
        <v>7</v>
      </c>
      <c r="O8" s="85">
        <v>7.1</v>
      </c>
      <c r="P8" s="86">
        <v>0</v>
      </c>
      <c r="Q8" s="85">
        <v>0</v>
      </c>
      <c r="R8" s="85">
        <v>4.3</v>
      </c>
      <c r="S8" s="86">
        <v>5.0999999999999996</v>
      </c>
      <c r="T8" s="86">
        <v>7.1</v>
      </c>
      <c r="U8" s="86">
        <v>8</v>
      </c>
      <c r="V8" s="86">
        <v>5.0999999999999996</v>
      </c>
      <c r="W8" s="85">
        <v>6.3</v>
      </c>
      <c r="X8" s="85">
        <v>7.2</v>
      </c>
      <c r="Y8" s="85">
        <v>6.6</v>
      </c>
      <c r="Z8" s="85">
        <v>6.8</v>
      </c>
      <c r="AA8" s="85">
        <v>5.0999999999999996</v>
      </c>
      <c r="AB8" s="85">
        <v>5.3</v>
      </c>
      <c r="AC8" s="85">
        <v>5.2</v>
      </c>
      <c r="AD8" s="85">
        <v>5.3</v>
      </c>
      <c r="AE8" s="85">
        <v>5.4</v>
      </c>
      <c r="AF8" s="86"/>
      <c r="AG8" s="103">
        <f t="shared" si="0"/>
        <v>167.5</v>
      </c>
      <c r="AH8" s="120"/>
      <c r="AI8" s="120"/>
    </row>
    <row r="9" spans="1:35" s="91" customFormat="1" ht="18.75" customHeight="1" x14ac:dyDescent="0.25">
      <c r="A9" s="62" t="s">
        <v>66</v>
      </c>
      <c r="B9" s="106">
        <v>10.9</v>
      </c>
      <c r="C9" s="106">
        <v>11.1</v>
      </c>
      <c r="D9" s="106">
        <v>9.9</v>
      </c>
      <c r="E9" s="106">
        <v>6.8</v>
      </c>
      <c r="F9" s="106">
        <v>10.8</v>
      </c>
      <c r="G9" s="106">
        <v>11.5</v>
      </c>
      <c r="H9" s="106">
        <v>10.9</v>
      </c>
      <c r="I9" s="106">
        <v>9</v>
      </c>
      <c r="J9" s="106">
        <v>12.1</v>
      </c>
      <c r="K9" s="106">
        <v>10</v>
      </c>
      <c r="L9" s="106">
        <v>15.7</v>
      </c>
      <c r="M9" s="106">
        <v>11.7</v>
      </c>
      <c r="N9" s="106">
        <v>16.5</v>
      </c>
      <c r="O9" s="106">
        <v>11.1</v>
      </c>
      <c r="P9" s="106">
        <v>10.7</v>
      </c>
      <c r="Q9" s="106">
        <v>10.7</v>
      </c>
      <c r="R9" s="106">
        <v>5</v>
      </c>
      <c r="S9" s="106">
        <v>13.8</v>
      </c>
      <c r="T9" s="106">
        <v>8.5</v>
      </c>
      <c r="U9" s="106">
        <v>9.3000000000000007</v>
      </c>
      <c r="V9" s="106">
        <v>10</v>
      </c>
      <c r="W9" s="106">
        <v>12.3</v>
      </c>
      <c r="X9" s="106">
        <v>7.4</v>
      </c>
      <c r="Y9" s="106">
        <v>7.5</v>
      </c>
      <c r="Z9" s="106">
        <v>6.5</v>
      </c>
      <c r="AA9" s="106">
        <v>6.8</v>
      </c>
      <c r="AB9" s="106">
        <v>12.8</v>
      </c>
      <c r="AC9" s="106">
        <v>9.6</v>
      </c>
      <c r="AD9" s="106">
        <v>11.3</v>
      </c>
      <c r="AE9" s="106">
        <v>6.5</v>
      </c>
      <c r="AF9" s="106"/>
      <c r="AG9" s="103">
        <f t="shared" si="0"/>
        <v>306.7000000000001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4</v>
      </c>
      <c r="C12" s="86">
        <v>3.8</v>
      </c>
      <c r="D12" s="86">
        <v>3.9</v>
      </c>
      <c r="E12" s="86">
        <v>2.4</v>
      </c>
      <c r="F12" s="86">
        <v>2.2000000000000002</v>
      </c>
      <c r="G12" s="86">
        <v>2.2999999999999998</v>
      </c>
      <c r="H12" s="86">
        <v>3.1</v>
      </c>
      <c r="I12" s="86">
        <v>2.7</v>
      </c>
      <c r="J12" s="86">
        <v>2.4</v>
      </c>
      <c r="K12" s="86">
        <v>4.7</v>
      </c>
      <c r="L12" s="86">
        <v>3.8</v>
      </c>
      <c r="M12" s="86">
        <v>4.0999999999999996</v>
      </c>
      <c r="N12" s="86">
        <v>3.4</v>
      </c>
      <c r="O12" s="86">
        <v>3.6</v>
      </c>
      <c r="P12" s="86">
        <v>3.9</v>
      </c>
      <c r="Q12" s="86">
        <v>3.4</v>
      </c>
      <c r="R12" s="86">
        <v>6.9</v>
      </c>
      <c r="S12" s="86">
        <v>5.4</v>
      </c>
      <c r="T12" s="86">
        <v>5.2</v>
      </c>
      <c r="U12" s="86">
        <v>3.2</v>
      </c>
      <c r="V12" s="86">
        <v>3.9</v>
      </c>
      <c r="W12" s="86">
        <v>3.6</v>
      </c>
      <c r="X12" s="86">
        <v>3.4</v>
      </c>
      <c r="Y12" s="86">
        <v>3.1</v>
      </c>
      <c r="Z12" s="86">
        <v>6.5</v>
      </c>
      <c r="AA12" s="86">
        <v>6.4</v>
      </c>
      <c r="AB12" s="86">
        <v>4.4000000000000004</v>
      </c>
      <c r="AC12" s="86">
        <v>5.5</v>
      </c>
      <c r="AD12" s="86">
        <v>3.5</v>
      </c>
      <c r="AE12" s="86">
        <v>3.2</v>
      </c>
      <c r="AF12" s="86"/>
      <c r="AG12" s="103">
        <f t="shared" si="0"/>
        <v>117.90000000000002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62" t="s">
        <v>71</v>
      </c>
      <c r="B14" s="86">
        <v>13.4</v>
      </c>
      <c r="C14" s="86">
        <v>10.6</v>
      </c>
      <c r="D14" s="86">
        <v>10.1</v>
      </c>
      <c r="E14" s="86">
        <v>9.3000000000000007</v>
      </c>
      <c r="F14" s="86">
        <v>6.5</v>
      </c>
      <c r="G14" s="86">
        <v>11.3</v>
      </c>
      <c r="H14" s="86">
        <v>14.4</v>
      </c>
      <c r="I14" s="86">
        <v>8.5</v>
      </c>
      <c r="J14" s="86">
        <v>8.6999999999999993</v>
      </c>
      <c r="K14" s="86">
        <v>6.8</v>
      </c>
      <c r="L14" s="86">
        <v>9.3000000000000007</v>
      </c>
      <c r="M14" s="86">
        <v>11.3</v>
      </c>
      <c r="N14" s="86">
        <v>14.6</v>
      </c>
      <c r="O14" s="86">
        <v>8.8000000000000007</v>
      </c>
      <c r="P14" s="86">
        <v>7.1</v>
      </c>
      <c r="Q14" s="86">
        <v>5.7</v>
      </c>
      <c r="R14" s="86">
        <v>7.3</v>
      </c>
      <c r="S14" s="86">
        <v>7.3</v>
      </c>
      <c r="T14" s="86">
        <v>9.3000000000000007</v>
      </c>
      <c r="U14" s="86">
        <v>9.8000000000000007</v>
      </c>
      <c r="V14" s="86">
        <v>14.4</v>
      </c>
      <c r="W14" s="86">
        <v>14.8</v>
      </c>
      <c r="X14" s="86">
        <v>10.3</v>
      </c>
      <c r="Y14" s="106">
        <v>6.5</v>
      </c>
      <c r="Z14" s="106">
        <v>8</v>
      </c>
      <c r="AA14" s="106">
        <v>7.3</v>
      </c>
      <c r="AB14" s="106">
        <v>9.3000000000000007</v>
      </c>
      <c r="AC14" s="106">
        <v>12.6</v>
      </c>
      <c r="AD14" s="106">
        <v>8.3000000000000007</v>
      </c>
      <c r="AE14" s="106">
        <v>13.3</v>
      </c>
      <c r="AF14" s="106"/>
      <c r="AG14" s="103">
        <f t="shared" si="0"/>
        <v>294.90000000000015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1.9</v>
      </c>
      <c r="C15" s="86">
        <v>1.5</v>
      </c>
      <c r="D15" s="86">
        <v>1.8</v>
      </c>
      <c r="E15" s="86">
        <v>1.5</v>
      </c>
      <c r="F15" s="86">
        <v>2.8</v>
      </c>
      <c r="G15" s="86">
        <v>3.1</v>
      </c>
      <c r="H15" s="86">
        <v>3.1</v>
      </c>
      <c r="I15" s="86">
        <v>3</v>
      </c>
      <c r="J15" s="86">
        <v>2</v>
      </c>
      <c r="K15" s="86">
        <v>2.2999999999999998</v>
      </c>
      <c r="L15" s="86">
        <v>2.5</v>
      </c>
      <c r="M15" s="86">
        <v>2.2999999999999998</v>
      </c>
      <c r="N15" s="86">
        <v>2.2999999999999998</v>
      </c>
      <c r="O15" s="86">
        <v>2.5</v>
      </c>
      <c r="P15" s="86">
        <v>3.5</v>
      </c>
      <c r="Q15" s="86">
        <v>4.8</v>
      </c>
      <c r="R15" s="86">
        <v>4.0999999999999996</v>
      </c>
      <c r="S15" s="86">
        <v>3.8</v>
      </c>
      <c r="T15" s="86">
        <v>2.8</v>
      </c>
      <c r="U15" s="86">
        <v>3.3</v>
      </c>
      <c r="V15" s="86">
        <v>3.5</v>
      </c>
      <c r="W15" s="86">
        <v>3</v>
      </c>
      <c r="X15" s="86">
        <v>2.2999999999999998</v>
      </c>
      <c r="Y15" s="86">
        <v>2.5</v>
      </c>
      <c r="Z15" s="86">
        <v>2.2999999999999998</v>
      </c>
      <c r="AA15" s="86">
        <v>2</v>
      </c>
      <c r="AB15" s="86">
        <v>2.2999999999999998</v>
      </c>
      <c r="AC15" s="86">
        <v>2.2999999999999998</v>
      </c>
      <c r="AD15" s="86">
        <v>2.2000000000000002</v>
      </c>
      <c r="AE15" s="86">
        <v>2.4</v>
      </c>
      <c r="AF15" s="86"/>
      <c r="AG15" s="103">
        <f t="shared" si="0"/>
        <v>79.699999999999989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>
        <v>2.8</v>
      </c>
      <c r="C17" s="86">
        <v>2.6</v>
      </c>
      <c r="D17" s="86">
        <v>2.4</v>
      </c>
      <c r="E17" s="86">
        <v>1.7</v>
      </c>
      <c r="F17" s="86">
        <v>1.6</v>
      </c>
      <c r="G17" s="86">
        <v>1.2</v>
      </c>
      <c r="H17" s="86">
        <v>1.6</v>
      </c>
      <c r="I17" s="86">
        <v>1.8</v>
      </c>
      <c r="J17" s="86">
        <v>1.3</v>
      </c>
      <c r="K17" s="86">
        <v>1.4</v>
      </c>
      <c r="L17" s="86">
        <v>1.8</v>
      </c>
      <c r="M17" s="86">
        <v>1.7</v>
      </c>
      <c r="N17" s="86">
        <v>1.6</v>
      </c>
      <c r="O17" s="86">
        <v>1.4</v>
      </c>
      <c r="P17" s="86">
        <v>1.6</v>
      </c>
      <c r="Q17" s="86">
        <v>1.5</v>
      </c>
      <c r="R17" s="86">
        <v>1.3</v>
      </c>
      <c r="S17" s="86">
        <v>1.6</v>
      </c>
      <c r="T17" s="86">
        <v>2</v>
      </c>
      <c r="U17" s="86">
        <v>2.2000000000000002</v>
      </c>
      <c r="V17" s="86">
        <v>1.8</v>
      </c>
      <c r="W17" s="86">
        <v>1.6</v>
      </c>
      <c r="X17" s="86">
        <v>1.3</v>
      </c>
      <c r="Y17" s="86">
        <v>1.9</v>
      </c>
      <c r="Z17" s="86">
        <v>1.1000000000000001</v>
      </c>
      <c r="AA17" s="86">
        <v>1</v>
      </c>
      <c r="AB17" s="86">
        <v>1.3</v>
      </c>
      <c r="AC17" s="86">
        <v>1.2</v>
      </c>
      <c r="AD17" s="86">
        <v>1.6</v>
      </c>
      <c r="AE17" s="86">
        <v>2.4</v>
      </c>
      <c r="AF17" s="86"/>
      <c r="AG17" s="103">
        <f t="shared" si="0"/>
        <v>50.300000000000004</v>
      </c>
      <c r="AH17" s="120"/>
      <c r="AI17" s="120"/>
    </row>
    <row r="18" spans="1:35" s="91" customFormat="1" ht="18.75" customHeight="1" x14ac:dyDescent="0.25">
      <c r="A18" s="62" t="s">
        <v>73</v>
      </c>
      <c r="B18" s="86">
        <v>2.5</v>
      </c>
      <c r="C18" s="86">
        <v>3.2</v>
      </c>
      <c r="D18" s="86">
        <v>3.5</v>
      </c>
      <c r="E18" s="86">
        <v>2.5</v>
      </c>
      <c r="F18" s="86">
        <v>1.9</v>
      </c>
      <c r="G18" s="86">
        <v>2.5</v>
      </c>
      <c r="H18" s="86">
        <v>4.2</v>
      </c>
      <c r="I18" s="86">
        <v>3.2</v>
      </c>
      <c r="J18" s="86">
        <v>2.9</v>
      </c>
      <c r="K18" s="86">
        <v>2.7</v>
      </c>
      <c r="L18" s="86">
        <v>2.2999999999999998</v>
      </c>
      <c r="M18" s="86">
        <v>2.5</v>
      </c>
      <c r="N18" s="86">
        <v>3.4</v>
      </c>
      <c r="O18" s="86">
        <v>3.8</v>
      </c>
      <c r="P18" s="86">
        <v>3.5</v>
      </c>
      <c r="Q18" s="86">
        <v>1.4</v>
      </c>
      <c r="R18" s="86">
        <v>2.7</v>
      </c>
      <c r="S18" s="86">
        <v>2.8</v>
      </c>
      <c r="T18" s="86">
        <v>2.2000000000000002</v>
      </c>
      <c r="U18" s="86">
        <v>2.5</v>
      </c>
      <c r="V18" s="86">
        <v>4.0999999999999996</v>
      </c>
      <c r="W18" s="86">
        <v>3.4</v>
      </c>
      <c r="X18" s="86">
        <v>3.2</v>
      </c>
      <c r="Y18" s="86">
        <v>3.3</v>
      </c>
      <c r="Z18" s="86">
        <v>0</v>
      </c>
      <c r="AA18" s="86">
        <v>0</v>
      </c>
      <c r="AB18" s="86">
        <v>0</v>
      </c>
      <c r="AC18" s="86">
        <v>0</v>
      </c>
      <c r="AD18" s="86">
        <v>0</v>
      </c>
      <c r="AE18" s="86">
        <v>0</v>
      </c>
      <c r="AF18" s="86"/>
      <c r="AG18" s="103">
        <f t="shared" si="0"/>
        <v>70.199999999999989</v>
      </c>
      <c r="AH18" s="120"/>
      <c r="AI18" s="120"/>
    </row>
    <row r="19" spans="1:35" s="91" customFormat="1" ht="18.75" customHeight="1" x14ac:dyDescent="0.25">
      <c r="A19" s="62" t="s">
        <v>92</v>
      </c>
      <c r="B19" s="86">
        <v>2.5</v>
      </c>
      <c r="C19" s="86">
        <v>3.2</v>
      </c>
      <c r="D19" s="86">
        <v>3.2</v>
      </c>
      <c r="E19" s="86">
        <v>2.7</v>
      </c>
      <c r="F19" s="86">
        <v>2.7</v>
      </c>
      <c r="G19" s="86">
        <v>1.9</v>
      </c>
      <c r="H19" s="86">
        <v>2.5</v>
      </c>
      <c r="I19" s="86">
        <v>2.9</v>
      </c>
      <c r="J19" s="86">
        <v>2.5</v>
      </c>
      <c r="K19" s="86">
        <v>4.0999999999999996</v>
      </c>
      <c r="L19" s="86">
        <v>2.2000000000000002</v>
      </c>
      <c r="M19" s="86">
        <v>3</v>
      </c>
      <c r="N19" s="86">
        <v>2.6</v>
      </c>
      <c r="O19" s="86">
        <v>2.9</v>
      </c>
      <c r="P19" s="86">
        <v>3.2</v>
      </c>
      <c r="Q19" s="86">
        <v>2.2999999999999998</v>
      </c>
      <c r="R19" s="86">
        <v>2.9</v>
      </c>
      <c r="S19" s="86">
        <v>2.7</v>
      </c>
      <c r="T19" s="86">
        <v>2.2999999999999998</v>
      </c>
      <c r="U19" s="86">
        <v>2.5</v>
      </c>
      <c r="V19" s="86">
        <v>2.5</v>
      </c>
      <c r="W19" s="86">
        <v>2.2000000000000002</v>
      </c>
      <c r="X19" s="86">
        <v>2.8</v>
      </c>
      <c r="Y19" s="86">
        <v>2.7</v>
      </c>
      <c r="Z19" s="86">
        <v>2.7</v>
      </c>
      <c r="AA19" s="86">
        <v>2.2000000000000002</v>
      </c>
      <c r="AB19" s="86">
        <v>3.1</v>
      </c>
      <c r="AC19" s="86">
        <v>3.3</v>
      </c>
      <c r="AD19" s="86">
        <v>3.5</v>
      </c>
      <c r="AE19" s="86">
        <v>2.7</v>
      </c>
      <c r="AF19" s="86"/>
      <c r="AG19" s="103">
        <f t="shared" si="0"/>
        <v>82.499999999999986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v>9.6999999999999993</v>
      </c>
      <c r="C20" s="86">
        <v>10.3</v>
      </c>
      <c r="D20" s="86">
        <v>9.1</v>
      </c>
      <c r="E20" s="86">
        <v>8.4</v>
      </c>
      <c r="F20" s="86">
        <v>8</v>
      </c>
      <c r="G20" s="86">
        <v>10.3</v>
      </c>
      <c r="H20" s="86">
        <v>8.4</v>
      </c>
      <c r="I20" s="86">
        <v>10.6</v>
      </c>
      <c r="J20" s="86">
        <v>9</v>
      </c>
      <c r="K20" s="86">
        <v>10.3</v>
      </c>
      <c r="L20" s="86">
        <v>8.4</v>
      </c>
      <c r="M20" s="86">
        <v>10</v>
      </c>
      <c r="N20" s="86">
        <v>6.4</v>
      </c>
      <c r="O20" s="86">
        <v>6.3</v>
      </c>
      <c r="P20" s="86">
        <v>10.4</v>
      </c>
      <c r="Q20" s="86">
        <v>8.6</v>
      </c>
      <c r="R20" s="86">
        <v>9.8000000000000007</v>
      </c>
      <c r="S20" s="86">
        <v>10</v>
      </c>
      <c r="T20" s="86">
        <v>11</v>
      </c>
      <c r="U20" s="86">
        <v>9.4</v>
      </c>
      <c r="V20" s="86">
        <v>9.5</v>
      </c>
      <c r="W20" s="86">
        <v>8.4</v>
      </c>
      <c r="X20" s="86">
        <v>6.5</v>
      </c>
      <c r="Y20" s="86">
        <v>6.7</v>
      </c>
      <c r="Z20" s="86">
        <v>8.8000000000000007</v>
      </c>
      <c r="AA20" s="86">
        <v>10.1</v>
      </c>
      <c r="AB20" s="86">
        <v>9.3000000000000007</v>
      </c>
      <c r="AC20" s="86">
        <v>10.8</v>
      </c>
      <c r="AD20" s="86">
        <v>10.6</v>
      </c>
      <c r="AE20" s="86">
        <v>7.9</v>
      </c>
      <c r="AF20" s="86"/>
      <c r="AG20" s="103">
        <f t="shared" si="0"/>
        <v>273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7.7</v>
      </c>
      <c r="C21" s="86">
        <v>8.3000000000000007</v>
      </c>
      <c r="D21" s="86">
        <v>7.1</v>
      </c>
      <c r="E21" s="86">
        <v>4.2</v>
      </c>
      <c r="F21" s="86">
        <v>4.5999999999999996</v>
      </c>
      <c r="G21" s="86">
        <v>5.0999999999999996</v>
      </c>
      <c r="H21" s="86">
        <v>5.5</v>
      </c>
      <c r="I21" s="86">
        <v>4.2</v>
      </c>
      <c r="J21" s="86">
        <v>6.2</v>
      </c>
      <c r="K21" s="86">
        <v>6.3</v>
      </c>
      <c r="L21" s="86">
        <v>6.8</v>
      </c>
      <c r="M21" s="86">
        <v>5.2</v>
      </c>
      <c r="N21" s="86">
        <v>4.5999999999999996</v>
      </c>
      <c r="O21" s="86">
        <v>6.3</v>
      </c>
      <c r="P21" s="86">
        <v>6</v>
      </c>
      <c r="Q21" s="86">
        <v>5.7</v>
      </c>
      <c r="R21" s="86">
        <v>3.6</v>
      </c>
      <c r="S21" s="86">
        <v>4.2</v>
      </c>
      <c r="T21" s="86">
        <v>4.8</v>
      </c>
      <c r="U21" s="86">
        <v>4.9000000000000004</v>
      </c>
      <c r="V21" s="86">
        <v>5.0999999999999996</v>
      </c>
      <c r="W21" s="86">
        <v>5.7</v>
      </c>
      <c r="X21" s="86">
        <v>5.8</v>
      </c>
      <c r="Y21" s="86">
        <v>5.6</v>
      </c>
      <c r="Z21" s="86">
        <v>5.9</v>
      </c>
      <c r="AA21" s="86">
        <v>4.9000000000000004</v>
      </c>
      <c r="AB21" s="86">
        <v>5.9</v>
      </c>
      <c r="AC21" s="86">
        <v>4.2</v>
      </c>
      <c r="AD21" s="86">
        <v>4.5</v>
      </c>
      <c r="AE21" s="86">
        <v>5.3</v>
      </c>
      <c r="AF21" s="86"/>
      <c r="AG21" s="132">
        <f t="shared" si="0"/>
        <v>164.20000000000002</v>
      </c>
      <c r="AH21" s="120"/>
      <c r="AI21" s="120"/>
    </row>
    <row r="22" spans="1:35" s="91" customFormat="1" ht="18.75" customHeight="1" x14ac:dyDescent="0.25">
      <c r="A22" s="62" t="s">
        <v>75</v>
      </c>
      <c r="B22" s="86">
        <v>0</v>
      </c>
      <c r="C22" s="86">
        <v>0</v>
      </c>
      <c r="D22" s="86">
        <v>1.6</v>
      </c>
      <c r="E22" s="86">
        <v>1.6</v>
      </c>
      <c r="F22" s="86">
        <v>1.4</v>
      </c>
      <c r="G22" s="86">
        <v>1.2</v>
      </c>
      <c r="H22" s="86">
        <v>1.5</v>
      </c>
      <c r="I22" s="86">
        <v>0</v>
      </c>
      <c r="J22" s="86">
        <v>0</v>
      </c>
      <c r="K22" s="86">
        <v>9</v>
      </c>
      <c r="L22" s="86">
        <v>1.5</v>
      </c>
      <c r="M22" s="86">
        <v>1.3</v>
      </c>
      <c r="N22" s="86">
        <v>1.6</v>
      </c>
      <c r="O22" s="86">
        <v>1.7</v>
      </c>
      <c r="P22" s="86">
        <v>0</v>
      </c>
      <c r="Q22" s="86">
        <v>0</v>
      </c>
      <c r="R22" s="86">
        <v>1.6</v>
      </c>
      <c r="S22" s="86">
        <v>1.7</v>
      </c>
      <c r="T22" s="86">
        <v>1.4</v>
      </c>
      <c r="U22" s="86">
        <v>1.2</v>
      </c>
      <c r="V22" s="86">
        <v>1.9</v>
      </c>
      <c r="W22" s="86">
        <v>0</v>
      </c>
      <c r="X22" s="86">
        <v>1.3</v>
      </c>
      <c r="Y22" s="86">
        <v>1.2</v>
      </c>
      <c r="Z22" s="86">
        <v>0.9</v>
      </c>
      <c r="AA22" s="86">
        <v>0.7</v>
      </c>
      <c r="AB22" s="86">
        <v>0.5</v>
      </c>
      <c r="AC22" s="86">
        <v>0.9</v>
      </c>
      <c r="AD22" s="86">
        <v>0</v>
      </c>
      <c r="AE22" s="86">
        <v>1.2</v>
      </c>
      <c r="AF22" s="86"/>
      <c r="AG22" s="103">
        <f t="shared" si="0"/>
        <v>36.900000000000006</v>
      </c>
      <c r="AH22" s="120"/>
      <c r="AI22" s="120"/>
    </row>
    <row r="23" spans="1:35" s="91" customFormat="1" ht="18.75" customHeight="1" x14ac:dyDescent="0.25">
      <c r="A23" s="62" t="s">
        <v>77</v>
      </c>
      <c r="B23" s="86">
        <v>0</v>
      </c>
      <c r="C23" s="86">
        <v>0</v>
      </c>
      <c r="D23" s="86">
        <v>1.2</v>
      </c>
      <c r="E23" s="86">
        <v>1</v>
      </c>
      <c r="F23" s="86">
        <v>1.3</v>
      </c>
      <c r="G23" s="86">
        <v>1.4</v>
      </c>
      <c r="H23" s="86">
        <v>0</v>
      </c>
      <c r="I23" s="86">
        <v>0</v>
      </c>
      <c r="J23" s="86">
        <v>0.9</v>
      </c>
      <c r="K23" s="86">
        <v>1.5</v>
      </c>
      <c r="L23" s="86">
        <v>0.8</v>
      </c>
      <c r="M23" s="86">
        <v>1.1000000000000001</v>
      </c>
      <c r="N23" s="86">
        <v>0.7</v>
      </c>
      <c r="O23" s="86">
        <v>0</v>
      </c>
      <c r="P23" s="86">
        <v>0</v>
      </c>
      <c r="Q23" s="86">
        <v>0</v>
      </c>
      <c r="R23" s="86">
        <v>0.5</v>
      </c>
      <c r="S23" s="86">
        <v>1</v>
      </c>
      <c r="T23" s="86">
        <v>1.5</v>
      </c>
      <c r="U23" s="86">
        <v>1.8</v>
      </c>
      <c r="V23" s="86">
        <v>0</v>
      </c>
      <c r="W23" s="86">
        <v>0</v>
      </c>
      <c r="X23" s="86">
        <v>0.4</v>
      </c>
      <c r="Y23" s="86">
        <v>1.2</v>
      </c>
      <c r="Z23" s="86">
        <v>1.7</v>
      </c>
      <c r="AA23" s="86">
        <v>1.9</v>
      </c>
      <c r="AB23" s="86">
        <v>1.6</v>
      </c>
      <c r="AC23" s="86">
        <v>0</v>
      </c>
      <c r="AD23" s="86">
        <v>0</v>
      </c>
      <c r="AE23" s="86">
        <v>0.9</v>
      </c>
      <c r="AF23" s="86"/>
      <c r="AG23" s="103">
        <f t="shared" si="0"/>
        <v>22.4</v>
      </c>
      <c r="AH23" s="120"/>
      <c r="AI23" s="120"/>
    </row>
    <row r="24" spans="1:35" s="91" customFormat="1" ht="18.75" customHeight="1" x14ac:dyDescent="0.25">
      <c r="A24" s="62" t="s">
        <v>78</v>
      </c>
      <c r="B24" s="86">
        <v>6</v>
      </c>
      <c r="C24" s="86">
        <v>7</v>
      </c>
      <c r="D24" s="86">
        <v>7</v>
      </c>
      <c r="E24" s="86">
        <v>6</v>
      </c>
      <c r="F24" s="86">
        <v>6</v>
      </c>
      <c r="G24" s="86">
        <v>5</v>
      </c>
      <c r="H24" s="86">
        <v>4</v>
      </c>
      <c r="I24" s="86">
        <v>6</v>
      </c>
      <c r="J24" s="86">
        <v>5</v>
      </c>
      <c r="K24" s="86">
        <v>7</v>
      </c>
      <c r="L24" s="86">
        <v>5</v>
      </c>
      <c r="M24" s="86">
        <v>6</v>
      </c>
      <c r="N24" s="86">
        <v>5</v>
      </c>
      <c r="O24" s="86">
        <v>7</v>
      </c>
      <c r="P24" s="86">
        <v>6</v>
      </c>
      <c r="Q24" s="86">
        <v>5</v>
      </c>
      <c r="R24" s="86">
        <v>7</v>
      </c>
      <c r="S24" s="86">
        <v>5</v>
      </c>
      <c r="T24" s="86">
        <v>6</v>
      </c>
      <c r="U24" s="86">
        <v>3</v>
      </c>
      <c r="V24" s="86">
        <v>6</v>
      </c>
      <c r="W24" s="86">
        <v>7</v>
      </c>
      <c r="X24" s="86">
        <v>5</v>
      </c>
      <c r="Y24" s="86">
        <v>5</v>
      </c>
      <c r="Z24" s="86">
        <v>6</v>
      </c>
      <c r="AA24" s="86">
        <v>7</v>
      </c>
      <c r="AB24" s="86">
        <v>10</v>
      </c>
      <c r="AC24" s="86">
        <v>8</v>
      </c>
      <c r="AD24" s="86">
        <v>7</v>
      </c>
      <c r="AE24" s="86">
        <v>8</v>
      </c>
      <c r="AF24" s="86"/>
      <c r="AG24" s="103">
        <f t="shared" si="0"/>
        <v>183</v>
      </c>
      <c r="AH24" s="120"/>
      <c r="AI24" s="120"/>
    </row>
    <row r="25" spans="1:35" s="91" customFormat="1" ht="18.75" customHeight="1" x14ac:dyDescent="0.25">
      <c r="A25" s="62" t="s">
        <v>79</v>
      </c>
      <c r="B25" s="86">
        <v>3.7</v>
      </c>
      <c r="C25" s="86">
        <v>3.8</v>
      </c>
      <c r="D25" s="86">
        <v>3.7</v>
      </c>
      <c r="E25" s="86">
        <v>2.8</v>
      </c>
      <c r="F25" s="86">
        <v>3.8</v>
      </c>
      <c r="G25" s="86">
        <v>3.6</v>
      </c>
      <c r="H25" s="86">
        <v>3.8</v>
      </c>
      <c r="I25" s="86">
        <v>3.9</v>
      </c>
      <c r="J25" s="86">
        <v>3.9</v>
      </c>
      <c r="K25" s="86">
        <v>4.5</v>
      </c>
      <c r="L25" s="86">
        <v>3.9</v>
      </c>
      <c r="M25" s="86">
        <v>3.7</v>
      </c>
      <c r="N25" s="86">
        <v>3.9</v>
      </c>
      <c r="O25" s="86">
        <v>3.9</v>
      </c>
      <c r="P25" s="86">
        <v>4.5</v>
      </c>
      <c r="Q25" s="86">
        <v>3.9</v>
      </c>
      <c r="R25" s="86">
        <v>3.9</v>
      </c>
      <c r="S25" s="86">
        <v>4.8</v>
      </c>
      <c r="T25" s="86">
        <v>3.7</v>
      </c>
      <c r="U25" s="86">
        <v>3.4</v>
      </c>
      <c r="V25" s="86">
        <v>3.6</v>
      </c>
      <c r="W25" s="86">
        <v>4.7</v>
      </c>
      <c r="X25" s="86">
        <v>3.9</v>
      </c>
      <c r="Y25" s="86">
        <v>3.7</v>
      </c>
      <c r="Z25" s="86">
        <v>3.9</v>
      </c>
      <c r="AA25" s="86">
        <v>4.5</v>
      </c>
      <c r="AB25" s="86">
        <v>3.8</v>
      </c>
      <c r="AC25" s="86">
        <v>3.6</v>
      </c>
      <c r="AD25" s="86">
        <v>3.7</v>
      </c>
      <c r="AE25" s="86">
        <v>3.9</v>
      </c>
      <c r="AF25" s="86"/>
      <c r="AG25" s="103">
        <f t="shared" si="0"/>
        <v>116.40000000000002</v>
      </c>
      <c r="AH25" s="120"/>
      <c r="AI25" s="120"/>
    </row>
    <row r="26" spans="1:35" s="91" customFormat="1" ht="18.75" customHeight="1" x14ac:dyDescent="0.25">
      <c r="A26" s="62" t="s">
        <v>154</v>
      </c>
      <c r="B26" s="106">
        <v>0</v>
      </c>
      <c r="C26" s="106">
        <v>0</v>
      </c>
      <c r="D26" s="106">
        <v>2.5</v>
      </c>
      <c r="E26" s="106">
        <v>2</v>
      </c>
      <c r="F26" s="106">
        <v>2.2000000000000002</v>
      </c>
      <c r="G26" s="106">
        <v>2</v>
      </c>
      <c r="H26" s="106">
        <v>2</v>
      </c>
      <c r="I26" s="142">
        <v>0</v>
      </c>
      <c r="J26" s="106">
        <v>2</v>
      </c>
      <c r="K26" s="106">
        <v>2.5</v>
      </c>
      <c r="L26" s="106">
        <v>2.1</v>
      </c>
      <c r="M26" s="106">
        <v>2.2000000000000002</v>
      </c>
      <c r="N26" s="106">
        <v>2</v>
      </c>
      <c r="O26" s="106">
        <v>1.9</v>
      </c>
      <c r="P26" s="106">
        <v>0</v>
      </c>
      <c r="Q26" s="106">
        <v>0</v>
      </c>
      <c r="R26" s="106">
        <v>1.9</v>
      </c>
      <c r="S26" s="106">
        <v>2</v>
      </c>
      <c r="T26" s="106">
        <v>2.5</v>
      </c>
      <c r="U26" s="106">
        <v>2.5</v>
      </c>
      <c r="V26" s="106">
        <v>2.5</v>
      </c>
      <c r="W26" s="106">
        <v>0</v>
      </c>
      <c r="X26" s="106">
        <v>2.5</v>
      </c>
      <c r="Y26" s="106">
        <v>3</v>
      </c>
      <c r="Z26" s="106">
        <v>2.5</v>
      </c>
      <c r="AA26" s="106">
        <v>2</v>
      </c>
      <c r="AB26" s="106">
        <v>2</v>
      </c>
      <c r="AC26" s="106">
        <v>2.1</v>
      </c>
      <c r="AD26" s="106">
        <v>0</v>
      </c>
      <c r="AE26" s="106">
        <v>2.8</v>
      </c>
      <c r="AF26" s="106"/>
      <c r="AG26" s="103">
        <f t="shared" si="0"/>
        <v>51.699999999999996</v>
      </c>
      <c r="AH26" s="120"/>
      <c r="AI26" s="120"/>
    </row>
    <row r="27" spans="1:35" s="91" customFormat="1" ht="18.75" customHeight="1" x14ac:dyDescent="0.25">
      <c r="A27" s="62" t="s">
        <v>80</v>
      </c>
      <c r="B27" s="106">
        <v>3.3</v>
      </c>
      <c r="C27" s="106">
        <v>3.9</v>
      </c>
      <c r="D27" s="106">
        <v>3.5</v>
      </c>
      <c r="E27" s="106">
        <v>4.2</v>
      </c>
      <c r="F27" s="106">
        <v>3.5</v>
      </c>
      <c r="G27" s="106">
        <v>3.5</v>
      </c>
      <c r="H27" s="106">
        <v>4.0999999999999996</v>
      </c>
      <c r="I27" s="106">
        <v>3.9</v>
      </c>
      <c r="J27" s="106">
        <v>3.5</v>
      </c>
      <c r="K27" s="106">
        <v>4.2</v>
      </c>
      <c r="L27" s="106">
        <v>3.7</v>
      </c>
      <c r="M27" s="106">
        <v>4</v>
      </c>
      <c r="N27" s="106">
        <v>3.2</v>
      </c>
      <c r="O27" s="106">
        <v>3.2</v>
      </c>
      <c r="P27" s="106">
        <v>2.5</v>
      </c>
      <c r="Q27" s="106">
        <v>3.2</v>
      </c>
      <c r="R27" s="106">
        <v>3.9</v>
      </c>
      <c r="S27" s="106">
        <v>3.5</v>
      </c>
      <c r="T27" s="106">
        <v>3</v>
      </c>
      <c r="U27" s="106">
        <v>2.4</v>
      </c>
      <c r="V27" s="106">
        <v>1.7</v>
      </c>
      <c r="W27" s="106">
        <v>2.2999999999999998</v>
      </c>
      <c r="X27" s="106">
        <v>1.9</v>
      </c>
      <c r="Y27" s="106">
        <v>2.2000000000000002</v>
      </c>
      <c r="Z27" s="106">
        <v>0</v>
      </c>
      <c r="AA27" s="106">
        <v>0</v>
      </c>
      <c r="AB27" s="106">
        <v>0</v>
      </c>
      <c r="AC27" s="106">
        <v>0</v>
      </c>
      <c r="AD27" s="106">
        <v>0</v>
      </c>
      <c r="AE27" s="106">
        <v>0</v>
      </c>
      <c r="AF27" s="133"/>
      <c r="AG27" s="103">
        <f t="shared" si="0"/>
        <v>78.300000000000026</v>
      </c>
      <c r="AH27" s="120"/>
      <c r="AI27" s="120"/>
    </row>
    <row r="28" spans="1:35" s="91" customFormat="1" ht="18.75" customHeight="1" x14ac:dyDescent="0.25">
      <c r="A28" s="62" t="s">
        <v>76</v>
      </c>
      <c r="B28" s="106">
        <v>2</v>
      </c>
      <c r="C28" s="106">
        <v>2.6</v>
      </c>
      <c r="D28" s="106">
        <v>2.4</v>
      </c>
      <c r="E28" s="106">
        <v>2.9</v>
      </c>
      <c r="F28" s="106">
        <v>3</v>
      </c>
      <c r="G28" s="106">
        <v>1.5</v>
      </c>
      <c r="H28" s="106">
        <v>1</v>
      </c>
      <c r="I28" s="106">
        <v>2.2000000000000002</v>
      </c>
      <c r="J28" s="106">
        <v>1.6</v>
      </c>
      <c r="K28" s="106">
        <v>2</v>
      </c>
      <c r="L28" s="106">
        <v>1.5</v>
      </c>
      <c r="M28" s="106">
        <v>2.2999999999999998</v>
      </c>
      <c r="N28" s="106">
        <v>2</v>
      </c>
      <c r="O28" s="106">
        <v>2.2000000000000002</v>
      </c>
      <c r="P28" s="106">
        <v>1.9</v>
      </c>
      <c r="Q28" s="106">
        <v>1.5</v>
      </c>
      <c r="R28" s="106">
        <v>1.4</v>
      </c>
      <c r="S28" s="106">
        <v>2.2000000000000002</v>
      </c>
      <c r="T28" s="106">
        <v>2.4</v>
      </c>
      <c r="U28" s="106">
        <v>3.3</v>
      </c>
      <c r="V28" s="106">
        <v>2.4</v>
      </c>
      <c r="W28" s="106">
        <v>1.6</v>
      </c>
      <c r="X28" s="106">
        <v>2.4</v>
      </c>
      <c r="Y28" s="106">
        <v>2.5</v>
      </c>
      <c r="Z28" s="106">
        <v>2.2000000000000002</v>
      </c>
      <c r="AA28" s="106">
        <v>2</v>
      </c>
      <c r="AB28" s="106">
        <v>3.2</v>
      </c>
      <c r="AC28" s="106">
        <v>3</v>
      </c>
      <c r="AD28" s="106">
        <v>2</v>
      </c>
      <c r="AE28" s="106">
        <v>3</v>
      </c>
      <c r="AF28" s="88"/>
      <c r="AG28" s="103">
        <f t="shared" si="0"/>
        <v>66.2</v>
      </c>
      <c r="AH28" s="120"/>
      <c r="AI28" s="120"/>
    </row>
    <row r="29" spans="1:35" s="91" customFormat="1" ht="18.75" customHeight="1" x14ac:dyDescent="0.25">
      <c r="A29" s="62" t="s">
        <v>81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88"/>
      <c r="AG29" s="103">
        <f t="shared" si="0"/>
        <v>0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4</v>
      </c>
      <c r="C31" s="106">
        <v>5.2</v>
      </c>
      <c r="D31" s="106">
        <v>0.8</v>
      </c>
      <c r="E31" s="106">
        <v>0.7</v>
      </c>
      <c r="F31" s="106">
        <v>12.8</v>
      </c>
      <c r="G31" s="106">
        <v>2</v>
      </c>
      <c r="H31" s="106">
        <v>2.1</v>
      </c>
      <c r="I31" s="106">
        <v>2.4</v>
      </c>
      <c r="J31" s="106">
        <v>4.3</v>
      </c>
      <c r="K31" s="106">
        <v>3.5</v>
      </c>
      <c r="L31" s="106">
        <v>4.8</v>
      </c>
      <c r="M31" s="106">
        <v>2.9</v>
      </c>
      <c r="N31" s="106">
        <v>3.8</v>
      </c>
      <c r="O31" s="106">
        <v>4.0999999999999996</v>
      </c>
      <c r="P31" s="106">
        <v>2.9</v>
      </c>
      <c r="Q31" s="106">
        <v>3.3</v>
      </c>
      <c r="R31" s="106">
        <v>2.5</v>
      </c>
      <c r="S31" s="106">
        <v>3.8</v>
      </c>
      <c r="T31" s="106">
        <v>4.0999999999999996</v>
      </c>
      <c r="U31" s="106">
        <v>3.4</v>
      </c>
      <c r="V31" s="106">
        <v>3</v>
      </c>
      <c r="W31" s="106">
        <v>2.5</v>
      </c>
      <c r="X31" s="106">
        <v>2.9</v>
      </c>
      <c r="Y31" s="106">
        <v>3</v>
      </c>
      <c r="Z31" s="106">
        <v>2.4</v>
      </c>
      <c r="AA31" s="106">
        <v>3.6</v>
      </c>
      <c r="AB31" s="106">
        <v>4</v>
      </c>
      <c r="AC31" s="106">
        <v>2.9</v>
      </c>
      <c r="AD31" s="106">
        <v>3.5</v>
      </c>
      <c r="AE31" s="106">
        <v>5</v>
      </c>
      <c r="AF31" s="88"/>
      <c r="AG31" s="103">
        <f t="shared" si="0"/>
        <v>106.2</v>
      </c>
      <c r="AH31" s="120"/>
      <c r="AI31" s="120"/>
    </row>
    <row r="32" spans="1:35" s="91" customFormat="1" ht="18.75" customHeight="1" x14ac:dyDescent="0.25">
      <c r="A32" s="62" t="s">
        <v>179</v>
      </c>
      <c r="B32" s="106">
        <v>0.3</v>
      </c>
      <c r="C32" s="106">
        <v>0.4</v>
      </c>
      <c r="D32" s="106">
        <v>0.5</v>
      </c>
      <c r="E32" s="106">
        <v>0.2</v>
      </c>
      <c r="F32" s="106">
        <v>0.3</v>
      </c>
      <c r="G32" s="106">
        <v>0.4</v>
      </c>
      <c r="H32" s="106">
        <v>0.3</v>
      </c>
      <c r="I32" s="106">
        <v>0.4</v>
      </c>
      <c r="J32" s="106">
        <v>0.4</v>
      </c>
      <c r="K32" s="106">
        <v>0.3</v>
      </c>
      <c r="L32" s="106">
        <v>0.2</v>
      </c>
      <c r="M32" s="106">
        <v>0.4</v>
      </c>
      <c r="N32" s="106">
        <v>0.3</v>
      </c>
      <c r="O32" s="106">
        <v>0.5</v>
      </c>
      <c r="P32" s="106">
        <v>0.2</v>
      </c>
      <c r="Q32" s="106">
        <v>0.3</v>
      </c>
      <c r="R32" s="106">
        <v>0.2</v>
      </c>
      <c r="S32" s="106">
        <v>0.3</v>
      </c>
      <c r="T32" s="106">
        <v>0.5</v>
      </c>
      <c r="U32" s="106">
        <v>0.3</v>
      </c>
      <c r="V32" s="106">
        <v>0.4</v>
      </c>
      <c r="W32" s="106">
        <v>0.2</v>
      </c>
      <c r="X32" s="106">
        <v>0.4</v>
      </c>
      <c r="Y32" s="106">
        <v>0.2</v>
      </c>
      <c r="Z32" s="106">
        <v>0.4</v>
      </c>
      <c r="AA32" s="106">
        <v>0.3</v>
      </c>
      <c r="AB32" s="106">
        <v>0.5</v>
      </c>
      <c r="AC32" s="106">
        <v>0.4</v>
      </c>
      <c r="AD32" s="106">
        <v>0.5</v>
      </c>
      <c r="AE32" s="106">
        <v>0.3</v>
      </c>
      <c r="AF32" s="88"/>
      <c r="AG32" s="103">
        <f t="shared" si="0"/>
        <v>10.300000000000002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81.199999999999989</v>
      </c>
      <c r="C33" s="87">
        <f t="shared" ref="C33:AF33" si="1">SUM(C3:C32)</f>
        <v>83.9</v>
      </c>
      <c r="D33" s="87">
        <f t="shared" si="1"/>
        <v>88.1</v>
      </c>
      <c r="E33" s="87">
        <f t="shared" si="1"/>
        <v>74.800000000000026</v>
      </c>
      <c r="F33" s="87">
        <f t="shared" si="1"/>
        <v>91.199999999999989</v>
      </c>
      <c r="G33" s="87">
        <f t="shared" si="1"/>
        <v>86.7</v>
      </c>
      <c r="H33" s="87">
        <f t="shared" si="1"/>
        <v>83.299999999999983</v>
      </c>
      <c r="I33" s="87">
        <f t="shared" si="1"/>
        <v>76.90000000000002</v>
      </c>
      <c r="J33" s="87">
        <f t="shared" si="1"/>
        <v>84</v>
      </c>
      <c r="K33" s="87">
        <f t="shared" si="1"/>
        <v>97.6</v>
      </c>
      <c r="L33" s="87">
        <f t="shared" si="1"/>
        <v>88.3</v>
      </c>
      <c r="M33" s="87">
        <f t="shared" si="1"/>
        <v>91.2</v>
      </c>
      <c r="N33" s="87">
        <f t="shared" si="1"/>
        <v>95.1</v>
      </c>
      <c r="O33" s="87">
        <f t="shared" si="1"/>
        <v>87.4</v>
      </c>
      <c r="P33" s="87">
        <f t="shared" si="1"/>
        <v>70.600000000000009</v>
      </c>
      <c r="Q33" s="87">
        <f t="shared" si="1"/>
        <v>63.599999999999994</v>
      </c>
      <c r="R33" s="87">
        <f t="shared" si="1"/>
        <v>79.40000000000002</v>
      </c>
      <c r="S33" s="87">
        <f t="shared" si="1"/>
        <v>88.699999999999989</v>
      </c>
      <c r="T33" s="87">
        <f t="shared" si="1"/>
        <v>87.3</v>
      </c>
      <c r="U33" s="87">
        <f t="shared" si="1"/>
        <v>84.000000000000014</v>
      </c>
      <c r="V33" s="87">
        <f t="shared" si="1"/>
        <v>88.600000000000009</v>
      </c>
      <c r="W33" s="87">
        <f t="shared" si="1"/>
        <v>83.3</v>
      </c>
      <c r="X33" s="87">
        <f t="shared" si="1"/>
        <v>79.300000000000011</v>
      </c>
      <c r="Y33" s="87">
        <f t="shared" si="1"/>
        <v>75.700000000000017</v>
      </c>
      <c r="Z33" s="87">
        <f t="shared" si="1"/>
        <v>78.000000000000028</v>
      </c>
      <c r="AA33" s="87">
        <f t="shared" si="1"/>
        <v>76.3</v>
      </c>
      <c r="AB33" s="87">
        <f t="shared" si="1"/>
        <v>88.4</v>
      </c>
      <c r="AC33" s="87">
        <f t="shared" si="1"/>
        <v>85.7</v>
      </c>
      <c r="AD33" s="87">
        <f t="shared" si="1"/>
        <v>73.500000000000014</v>
      </c>
      <c r="AE33" s="87">
        <f t="shared" si="1"/>
        <v>80.699999999999989</v>
      </c>
      <c r="AF33" s="87">
        <f t="shared" si="1"/>
        <v>0</v>
      </c>
      <c r="AG33" s="105">
        <f t="shared" si="0"/>
        <v>2492.7999999999997</v>
      </c>
      <c r="AH33" s="134"/>
      <c r="AI33" s="134"/>
    </row>
    <row r="34" spans="1:35" s="91" customFormat="1" x14ac:dyDescent="0.25">
      <c r="A34" s="136"/>
      <c r="AG34" s="24">
        <f>SUM(AG3:AG31)</f>
        <v>2482.5000000000005</v>
      </c>
    </row>
  </sheetData>
  <mergeCells count="1">
    <mergeCell ref="A1:AG1"/>
  </mergeCells>
  <conditionalFormatting sqref="AG33">
    <cfRule type="cellIs" dxfId="9" priority="2" operator="equal">
      <formula>$AG$34</formula>
    </cfRule>
  </conditionalFormatting>
  <conditionalFormatting sqref="AG34">
    <cfRule type="cellIs" dxfId="8" priority="1" operator="equal">
      <formula>$AG$33</formula>
    </cfRule>
  </conditionalFormatting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v>0</v>
      </c>
      <c r="C3" s="91">
        <v>0</v>
      </c>
      <c r="D3" s="85">
        <v>0.3</v>
      </c>
      <c r="E3" s="85">
        <v>0.4</v>
      </c>
      <c r="F3" s="85">
        <v>0.2</v>
      </c>
      <c r="G3" s="86">
        <v>0.3</v>
      </c>
      <c r="H3" s="85">
        <v>0.2</v>
      </c>
      <c r="I3" s="86">
        <v>0</v>
      </c>
      <c r="J3" s="85">
        <v>0.2</v>
      </c>
      <c r="K3" s="86">
        <v>0.3</v>
      </c>
      <c r="L3" s="85">
        <v>0.5</v>
      </c>
      <c r="M3" s="86">
        <v>0.3</v>
      </c>
      <c r="N3" s="85">
        <v>0.2</v>
      </c>
      <c r="O3" s="85">
        <v>0.4</v>
      </c>
      <c r="P3" s="86">
        <v>0</v>
      </c>
      <c r="Q3" s="85">
        <v>0</v>
      </c>
      <c r="R3" s="85">
        <v>0.4</v>
      </c>
      <c r="S3" s="86">
        <v>0.1</v>
      </c>
      <c r="T3" s="86">
        <v>0.7</v>
      </c>
      <c r="U3" s="86">
        <v>0.5</v>
      </c>
      <c r="V3" s="86">
        <v>1.1000000000000001</v>
      </c>
      <c r="W3" s="85">
        <v>0.7</v>
      </c>
      <c r="X3" s="85">
        <v>0.9</v>
      </c>
      <c r="Y3" s="85">
        <v>1.3</v>
      </c>
      <c r="Z3" s="85">
        <v>0.7</v>
      </c>
      <c r="AA3" s="85">
        <v>0.4</v>
      </c>
      <c r="AB3" s="85">
        <v>0.7</v>
      </c>
      <c r="AC3" s="85">
        <v>0.4</v>
      </c>
      <c r="AD3" s="85">
        <v>0.1</v>
      </c>
      <c r="AE3" s="85">
        <v>0.2</v>
      </c>
      <c r="AF3" s="85"/>
      <c r="AG3" s="103">
        <f>SUM(B3:AF3)</f>
        <v>11.499999999999998</v>
      </c>
      <c r="AH3" s="119"/>
      <c r="AI3" s="120"/>
    </row>
    <row r="4" spans="1:35" s="91" customFormat="1" ht="33" customHeight="1" x14ac:dyDescent="0.25">
      <c r="A4" s="138" t="s">
        <v>193</v>
      </c>
      <c r="B4" s="87">
        <v>1.3</v>
      </c>
      <c r="C4" s="87">
        <v>1.7</v>
      </c>
      <c r="D4" s="87">
        <v>1.9</v>
      </c>
      <c r="E4" s="87">
        <v>1.7</v>
      </c>
      <c r="F4" s="87">
        <v>3</v>
      </c>
      <c r="G4" s="87">
        <v>1.4</v>
      </c>
      <c r="H4" s="87">
        <v>1.3</v>
      </c>
      <c r="I4" s="87">
        <v>1.7</v>
      </c>
      <c r="J4" s="87">
        <v>1.9</v>
      </c>
      <c r="K4" s="87">
        <v>1.3</v>
      </c>
      <c r="L4" s="87">
        <v>2.1</v>
      </c>
      <c r="M4" s="87">
        <v>1.9</v>
      </c>
      <c r="N4" s="87">
        <v>2.9</v>
      </c>
      <c r="O4" s="87">
        <v>2.1</v>
      </c>
      <c r="P4" s="87">
        <v>1.1000000000000001</v>
      </c>
      <c r="Q4" s="87">
        <v>1.2</v>
      </c>
      <c r="R4" s="87">
        <v>1.1000000000000001</v>
      </c>
      <c r="S4" s="87">
        <v>1.4</v>
      </c>
      <c r="T4" s="87">
        <v>1.3</v>
      </c>
      <c r="U4" s="87">
        <v>1.3</v>
      </c>
      <c r="V4" s="87">
        <v>1.5</v>
      </c>
      <c r="W4" s="87">
        <v>1</v>
      </c>
      <c r="X4" s="87">
        <v>2.7</v>
      </c>
      <c r="Y4" s="87">
        <v>1.3</v>
      </c>
      <c r="Z4" s="87">
        <v>1.1000000000000001</v>
      </c>
      <c r="AA4" s="87">
        <v>0.9</v>
      </c>
      <c r="AB4" s="87">
        <v>1.3</v>
      </c>
      <c r="AC4" s="87">
        <v>0.5</v>
      </c>
      <c r="AD4" s="87">
        <v>0.3</v>
      </c>
      <c r="AE4" s="87">
        <v>0.4</v>
      </c>
      <c r="AF4" s="87"/>
      <c r="AG4" s="103">
        <f t="shared" ref="AG4:AG33" si="0">SUM(B4:AF4)</f>
        <v>44.599999999999994</v>
      </c>
      <c r="AH4" s="120"/>
      <c r="AI4" s="120"/>
    </row>
    <row r="5" spans="1:35" s="91" customFormat="1" ht="18.75" customHeight="1" x14ac:dyDescent="0.25">
      <c r="A5" s="62" t="s">
        <v>83</v>
      </c>
      <c r="B5" s="87">
        <v>0</v>
      </c>
      <c r="C5" s="87">
        <v>0</v>
      </c>
      <c r="D5" s="87">
        <v>1</v>
      </c>
      <c r="E5" s="87">
        <v>0.1</v>
      </c>
      <c r="F5" s="87">
        <v>0.1</v>
      </c>
      <c r="G5" s="87">
        <v>1</v>
      </c>
      <c r="H5" s="87">
        <v>2.5</v>
      </c>
      <c r="I5" s="87">
        <v>0</v>
      </c>
      <c r="J5" s="87">
        <v>1.3</v>
      </c>
      <c r="K5" s="87">
        <v>1.1000000000000001</v>
      </c>
      <c r="L5" s="87">
        <v>1.1000000000000001</v>
      </c>
      <c r="M5" s="87">
        <v>1.3</v>
      </c>
      <c r="N5" s="87">
        <v>1.1000000000000001</v>
      </c>
      <c r="O5" s="87">
        <v>1.3</v>
      </c>
      <c r="P5" s="87">
        <v>0</v>
      </c>
      <c r="Q5" s="87">
        <v>0</v>
      </c>
      <c r="R5" s="87">
        <v>1</v>
      </c>
      <c r="S5" s="87">
        <v>1.1000000000000001</v>
      </c>
      <c r="T5" s="87">
        <v>0.9</v>
      </c>
      <c r="U5" s="87">
        <v>1.9</v>
      </c>
      <c r="V5" s="87">
        <v>1</v>
      </c>
      <c r="W5" s="87">
        <v>0</v>
      </c>
      <c r="X5" s="87">
        <v>0.9</v>
      </c>
      <c r="Y5" s="87">
        <v>1</v>
      </c>
      <c r="Z5" s="87">
        <v>1.3</v>
      </c>
      <c r="AA5" s="87">
        <v>1.3</v>
      </c>
      <c r="AB5" s="87">
        <v>1.1000000000000001</v>
      </c>
      <c r="AC5" s="87">
        <v>1.2</v>
      </c>
      <c r="AD5" s="87">
        <v>0</v>
      </c>
      <c r="AE5" s="87">
        <v>0</v>
      </c>
      <c r="AF5" s="87"/>
      <c r="AG5" s="103">
        <f t="shared" si="0"/>
        <v>24.6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5">
        <v>1</v>
      </c>
      <c r="C8" s="91">
        <v>0.9</v>
      </c>
      <c r="D8" s="85">
        <v>0</v>
      </c>
      <c r="E8" s="85">
        <v>0.8</v>
      </c>
      <c r="F8" s="85">
        <v>1.2</v>
      </c>
      <c r="G8" s="86">
        <v>1</v>
      </c>
      <c r="H8" s="85">
        <v>0.9</v>
      </c>
      <c r="I8" s="86">
        <v>1</v>
      </c>
      <c r="J8" s="85">
        <v>0.7</v>
      </c>
      <c r="K8" s="86">
        <v>0.8</v>
      </c>
      <c r="L8" s="85">
        <v>0.9</v>
      </c>
      <c r="M8" s="86">
        <v>0.8</v>
      </c>
      <c r="N8" s="85">
        <v>1.9</v>
      </c>
      <c r="O8" s="85">
        <v>1.2</v>
      </c>
      <c r="P8" s="86">
        <v>0</v>
      </c>
      <c r="Q8" s="85">
        <v>0</v>
      </c>
      <c r="R8" s="85">
        <v>2.1</v>
      </c>
      <c r="S8" s="86">
        <v>2</v>
      </c>
      <c r="T8" s="86">
        <v>1.9</v>
      </c>
      <c r="U8" s="86">
        <v>0.9</v>
      </c>
      <c r="V8" s="86">
        <v>0.8</v>
      </c>
      <c r="W8" s="85">
        <v>0</v>
      </c>
      <c r="X8" s="85">
        <v>0</v>
      </c>
      <c r="Y8" s="85">
        <v>0</v>
      </c>
      <c r="Z8" s="85">
        <v>0.5</v>
      </c>
      <c r="AA8" s="85">
        <v>0.8</v>
      </c>
      <c r="AB8" s="85">
        <v>0.9</v>
      </c>
      <c r="AC8" s="85">
        <v>5.2</v>
      </c>
      <c r="AD8" s="85">
        <v>1.2</v>
      </c>
      <c r="AE8" s="85">
        <v>0</v>
      </c>
      <c r="AF8" s="86"/>
      <c r="AG8" s="103">
        <f t="shared" si="0"/>
        <v>29.4</v>
      </c>
      <c r="AH8" s="120"/>
      <c r="AI8" s="120"/>
    </row>
    <row r="9" spans="1:35" s="91" customFormat="1" ht="18.75" customHeight="1" x14ac:dyDescent="0.25">
      <c r="A9" s="62" t="s">
        <v>66</v>
      </c>
      <c r="B9" s="106">
        <v>10.7</v>
      </c>
      <c r="C9" s="106">
        <v>8.6</v>
      </c>
      <c r="D9" s="106">
        <v>9.3000000000000007</v>
      </c>
      <c r="E9" s="106">
        <v>9.8000000000000007</v>
      </c>
      <c r="F9" s="106">
        <v>10.7</v>
      </c>
      <c r="G9" s="106">
        <v>9.4</v>
      </c>
      <c r="H9" s="106">
        <v>9.6</v>
      </c>
      <c r="I9" s="106">
        <v>5</v>
      </c>
      <c r="J9" s="106">
        <v>8.6999999999999993</v>
      </c>
      <c r="K9" s="106">
        <v>5.7</v>
      </c>
      <c r="L9" s="106">
        <v>9.6</v>
      </c>
      <c r="M9" s="106">
        <v>9.5</v>
      </c>
      <c r="N9" s="106">
        <v>9.6</v>
      </c>
      <c r="O9" s="106">
        <v>9.6999999999999993</v>
      </c>
      <c r="P9" s="106">
        <v>13.1</v>
      </c>
      <c r="Q9" s="106">
        <v>9.6999999999999993</v>
      </c>
      <c r="R9" s="106">
        <v>5.9</v>
      </c>
      <c r="S9" s="106">
        <v>5.6</v>
      </c>
      <c r="T9" s="106">
        <v>4.9000000000000004</v>
      </c>
      <c r="U9" s="106">
        <v>8</v>
      </c>
      <c r="V9" s="106">
        <v>8</v>
      </c>
      <c r="W9" s="106">
        <v>5.5</v>
      </c>
      <c r="X9" s="106">
        <v>4.9000000000000004</v>
      </c>
      <c r="Y9" s="106">
        <v>8.3000000000000007</v>
      </c>
      <c r="Z9" s="106">
        <v>5.5</v>
      </c>
      <c r="AA9" s="106">
        <v>7.5</v>
      </c>
      <c r="AB9" s="106">
        <v>6.4</v>
      </c>
      <c r="AC9" s="106">
        <v>4.9000000000000004</v>
      </c>
      <c r="AD9" s="106">
        <v>8.3000000000000007</v>
      </c>
      <c r="AE9" s="106">
        <v>4.5</v>
      </c>
      <c r="AF9" s="106"/>
      <c r="AG9" s="103">
        <f t="shared" si="0"/>
        <v>236.90000000000003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1</v>
      </c>
      <c r="C12" s="86">
        <v>1</v>
      </c>
      <c r="D12" s="86">
        <v>1.1000000000000001</v>
      </c>
      <c r="E12" s="86">
        <v>1</v>
      </c>
      <c r="F12" s="86">
        <v>0.4</v>
      </c>
      <c r="G12" s="86">
        <v>0.8</v>
      </c>
      <c r="H12" s="86">
        <v>0.7</v>
      </c>
      <c r="I12" s="86">
        <v>0.5</v>
      </c>
      <c r="J12" s="86">
        <v>1</v>
      </c>
      <c r="K12" s="86">
        <v>1.1000000000000001</v>
      </c>
      <c r="L12" s="86">
        <v>0.4</v>
      </c>
      <c r="M12" s="86">
        <v>0.6</v>
      </c>
      <c r="N12" s="86">
        <v>0.8</v>
      </c>
      <c r="O12" s="86">
        <v>1</v>
      </c>
      <c r="P12" s="86">
        <v>0.3</v>
      </c>
      <c r="Q12" s="86">
        <v>0.5</v>
      </c>
      <c r="R12" s="86">
        <v>1</v>
      </c>
      <c r="S12" s="86">
        <v>0.6</v>
      </c>
      <c r="T12" s="86">
        <v>0.7</v>
      </c>
      <c r="U12" s="86">
        <v>0.3</v>
      </c>
      <c r="V12" s="86">
        <v>0.8</v>
      </c>
      <c r="W12" s="86">
        <v>0.5</v>
      </c>
      <c r="X12" s="86">
        <v>0.7</v>
      </c>
      <c r="Y12" s="86">
        <v>0.9</v>
      </c>
      <c r="Z12" s="86">
        <v>0.7</v>
      </c>
      <c r="AA12" s="86">
        <v>1</v>
      </c>
      <c r="AB12" s="86">
        <v>0.9</v>
      </c>
      <c r="AC12" s="86">
        <v>0.9</v>
      </c>
      <c r="AD12" s="86">
        <v>1.5</v>
      </c>
      <c r="AE12" s="86">
        <v>0.3</v>
      </c>
      <c r="AF12" s="86"/>
      <c r="AG12" s="103">
        <f t="shared" si="0"/>
        <v>22.999999999999996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62" t="s">
        <v>71</v>
      </c>
      <c r="B14" s="86">
        <v>4.3</v>
      </c>
      <c r="C14" s="86">
        <v>3.5</v>
      </c>
      <c r="D14" s="86">
        <v>1.2</v>
      </c>
      <c r="E14" s="86">
        <v>3</v>
      </c>
      <c r="F14" s="86">
        <v>3.5</v>
      </c>
      <c r="G14" s="86">
        <v>8.3000000000000007</v>
      </c>
      <c r="H14" s="86">
        <v>3</v>
      </c>
      <c r="I14" s="86">
        <v>2.2000000000000002</v>
      </c>
      <c r="J14" s="86">
        <v>2</v>
      </c>
      <c r="K14" s="86">
        <v>3.5</v>
      </c>
      <c r="L14" s="86">
        <v>3.1</v>
      </c>
      <c r="M14" s="86">
        <v>3.3</v>
      </c>
      <c r="N14" s="86">
        <v>8.5</v>
      </c>
      <c r="O14" s="86">
        <v>3.3</v>
      </c>
      <c r="P14" s="86">
        <v>3.2</v>
      </c>
      <c r="Q14" s="86">
        <v>4.4000000000000004</v>
      </c>
      <c r="R14" s="86">
        <v>2</v>
      </c>
      <c r="S14" s="86">
        <v>1.5</v>
      </c>
      <c r="T14" s="86">
        <v>2.2999999999999998</v>
      </c>
      <c r="U14" s="86">
        <v>3.4</v>
      </c>
      <c r="V14" s="86">
        <v>3.5</v>
      </c>
      <c r="W14" s="86">
        <v>3.1</v>
      </c>
      <c r="X14" s="86">
        <v>3.8</v>
      </c>
      <c r="Y14" s="106">
        <v>3.5</v>
      </c>
      <c r="Z14" s="106">
        <v>2</v>
      </c>
      <c r="AA14" s="106">
        <v>3</v>
      </c>
      <c r="AB14" s="106">
        <v>3.5</v>
      </c>
      <c r="AC14" s="106">
        <v>1.1000000000000001</v>
      </c>
      <c r="AD14" s="106">
        <v>2.5</v>
      </c>
      <c r="AE14" s="106">
        <v>3</v>
      </c>
      <c r="AF14" s="106"/>
      <c r="AG14" s="103">
        <f t="shared" si="0"/>
        <v>98.499999999999986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1.1000000000000001</v>
      </c>
      <c r="C15" s="86">
        <v>2</v>
      </c>
      <c r="D15" s="86">
        <v>1.5</v>
      </c>
      <c r="E15" s="86">
        <v>1.3</v>
      </c>
      <c r="F15" s="86">
        <v>1.9</v>
      </c>
      <c r="G15" s="86">
        <v>2.1</v>
      </c>
      <c r="H15" s="86">
        <v>1.5</v>
      </c>
      <c r="I15" s="86">
        <v>1.7</v>
      </c>
      <c r="J15" s="86">
        <v>1</v>
      </c>
      <c r="K15" s="86">
        <v>1.5</v>
      </c>
      <c r="L15" s="86">
        <v>1.3</v>
      </c>
      <c r="M15" s="86">
        <v>1.7</v>
      </c>
      <c r="N15" s="86">
        <v>1.3</v>
      </c>
      <c r="O15" s="86">
        <v>1</v>
      </c>
      <c r="P15" s="86">
        <v>2.1</v>
      </c>
      <c r="Q15" s="86">
        <v>2.5</v>
      </c>
      <c r="R15" s="86">
        <v>0.8</v>
      </c>
      <c r="S15" s="86">
        <v>1.1000000000000001</v>
      </c>
      <c r="T15" s="86">
        <v>1.2</v>
      </c>
      <c r="U15" s="86">
        <v>1.2</v>
      </c>
      <c r="V15" s="86">
        <v>0</v>
      </c>
      <c r="W15" s="86">
        <v>1.3</v>
      </c>
      <c r="X15" s="86">
        <v>1</v>
      </c>
      <c r="Y15" s="86">
        <v>1.1000000000000001</v>
      </c>
      <c r="Z15" s="86">
        <v>1</v>
      </c>
      <c r="AA15" s="86">
        <v>1.1000000000000001</v>
      </c>
      <c r="AB15" s="86">
        <v>1.5</v>
      </c>
      <c r="AC15" s="86">
        <v>1</v>
      </c>
      <c r="AD15" s="86">
        <v>1.3</v>
      </c>
      <c r="AE15" s="86">
        <v>1</v>
      </c>
      <c r="AF15" s="86"/>
      <c r="AG15" s="103">
        <f t="shared" si="0"/>
        <v>40.1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>
        <v>1.9</v>
      </c>
      <c r="C17" s="86">
        <v>1.3</v>
      </c>
      <c r="D17" s="86">
        <v>2.4</v>
      </c>
      <c r="E17" s="86">
        <v>2.2999999999999998</v>
      </c>
      <c r="F17" s="86">
        <v>1.4</v>
      </c>
      <c r="G17" s="86">
        <v>0.9</v>
      </c>
      <c r="H17" s="86">
        <v>0.8</v>
      </c>
      <c r="I17" s="86">
        <v>1.2</v>
      </c>
      <c r="J17" s="86">
        <v>0.9</v>
      </c>
      <c r="K17" s="86">
        <v>1</v>
      </c>
      <c r="L17" s="86">
        <v>1.7</v>
      </c>
      <c r="M17" s="86">
        <v>1.5</v>
      </c>
      <c r="N17" s="86">
        <v>1.4</v>
      </c>
      <c r="O17" s="86">
        <v>1</v>
      </c>
      <c r="P17" s="86">
        <v>1.2</v>
      </c>
      <c r="Q17" s="86">
        <v>1.8</v>
      </c>
      <c r="R17" s="86">
        <v>0.9</v>
      </c>
      <c r="S17" s="86">
        <v>1.2</v>
      </c>
      <c r="T17" s="86">
        <v>0</v>
      </c>
      <c r="U17" s="86">
        <v>0</v>
      </c>
      <c r="V17" s="86">
        <v>0</v>
      </c>
      <c r="W17" s="86">
        <v>0</v>
      </c>
      <c r="X17" s="86">
        <v>0</v>
      </c>
      <c r="Y17" s="86">
        <v>0</v>
      </c>
      <c r="Z17" s="86">
        <v>0</v>
      </c>
      <c r="AA17" s="86">
        <v>0</v>
      </c>
      <c r="AB17" s="86">
        <v>0</v>
      </c>
      <c r="AC17" s="86">
        <v>0</v>
      </c>
      <c r="AD17" s="86">
        <v>0</v>
      </c>
      <c r="AE17" s="86">
        <v>0</v>
      </c>
      <c r="AF17" s="86">
        <v>0</v>
      </c>
      <c r="AG17" s="103">
        <f t="shared" si="0"/>
        <v>24.799999999999994</v>
      </c>
      <c r="AH17" s="120"/>
      <c r="AI17" s="120"/>
    </row>
    <row r="18" spans="1:35" s="91" customFormat="1" ht="18.75" customHeight="1" x14ac:dyDescent="0.25">
      <c r="A18" s="62" t="s">
        <v>73</v>
      </c>
      <c r="B18" s="86">
        <v>1.1000000000000001</v>
      </c>
      <c r="C18" s="86">
        <v>0.4</v>
      </c>
      <c r="D18" s="86">
        <v>1.3</v>
      </c>
      <c r="E18" s="86">
        <v>1.5</v>
      </c>
      <c r="F18" s="86">
        <v>0.4</v>
      </c>
      <c r="G18" s="86">
        <v>0.9</v>
      </c>
      <c r="H18" s="86">
        <v>1.1000000000000001</v>
      </c>
      <c r="I18" s="86">
        <v>0.9</v>
      </c>
      <c r="J18" s="86">
        <v>0.8</v>
      </c>
      <c r="K18" s="86">
        <v>1.4</v>
      </c>
      <c r="L18" s="86">
        <v>0.3</v>
      </c>
      <c r="M18" s="86">
        <v>0.7</v>
      </c>
      <c r="N18" s="86">
        <v>1.4</v>
      </c>
      <c r="O18" s="86">
        <v>0.9</v>
      </c>
      <c r="P18" s="86">
        <v>0.5</v>
      </c>
      <c r="Q18" s="86">
        <v>0.2</v>
      </c>
      <c r="R18" s="86">
        <v>1.2</v>
      </c>
      <c r="S18" s="86">
        <v>1.1000000000000001</v>
      </c>
      <c r="T18" s="86">
        <v>0.7</v>
      </c>
      <c r="U18" s="86">
        <v>0.4</v>
      </c>
      <c r="V18" s="86">
        <v>0.3</v>
      </c>
      <c r="W18" s="86">
        <v>0.7</v>
      </c>
      <c r="X18" s="86">
        <v>1.2</v>
      </c>
      <c r="Y18" s="86">
        <v>0.7</v>
      </c>
      <c r="Z18" s="86">
        <v>0</v>
      </c>
      <c r="AA18" s="86">
        <v>0</v>
      </c>
      <c r="AB18" s="86">
        <v>0</v>
      </c>
      <c r="AC18" s="86">
        <v>0</v>
      </c>
      <c r="AD18" s="86">
        <v>0</v>
      </c>
      <c r="AE18" s="86">
        <v>0</v>
      </c>
      <c r="AF18" s="86"/>
      <c r="AG18" s="103">
        <f t="shared" si="0"/>
        <v>20.099999999999998</v>
      </c>
      <c r="AH18" s="120"/>
      <c r="AI18" s="120"/>
    </row>
    <row r="19" spans="1:35" s="91" customFormat="1" ht="18.75" customHeight="1" x14ac:dyDescent="0.25">
      <c r="A19" s="62" t="s">
        <v>92</v>
      </c>
      <c r="B19" s="86">
        <v>0.5</v>
      </c>
      <c r="C19" s="86">
        <v>0.3</v>
      </c>
      <c r="D19" s="86">
        <v>0.1</v>
      </c>
      <c r="E19" s="86">
        <v>0.7</v>
      </c>
      <c r="F19" s="86">
        <v>0.2</v>
      </c>
      <c r="G19" s="86">
        <v>0.4</v>
      </c>
      <c r="H19" s="86">
        <v>0.1</v>
      </c>
      <c r="I19" s="86">
        <v>0.3</v>
      </c>
      <c r="J19" s="86">
        <v>0.6</v>
      </c>
      <c r="K19" s="86">
        <v>0.3</v>
      </c>
      <c r="L19" s="86">
        <v>0.7</v>
      </c>
      <c r="M19" s="86">
        <v>0.9</v>
      </c>
      <c r="N19" s="86">
        <v>0.2</v>
      </c>
      <c r="O19" s="86">
        <v>0.2</v>
      </c>
      <c r="P19" s="86">
        <v>0.3</v>
      </c>
      <c r="Q19" s="86">
        <v>0.7</v>
      </c>
      <c r="R19" s="86">
        <v>0.3</v>
      </c>
      <c r="S19" s="86">
        <v>0.3</v>
      </c>
      <c r="T19" s="86">
        <v>0.1</v>
      </c>
      <c r="U19" s="86">
        <v>0.3</v>
      </c>
      <c r="V19" s="86">
        <v>0.2</v>
      </c>
      <c r="W19" s="86">
        <v>0.5</v>
      </c>
      <c r="X19" s="86">
        <v>0.5</v>
      </c>
      <c r="Y19" s="86">
        <v>0.8</v>
      </c>
      <c r="Z19" s="86">
        <v>0.7</v>
      </c>
      <c r="AA19" s="86">
        <v>0.9</v>
      </c>
      <c r="AB19" s="86">
        <v>1.7</v>
      </c>
      <c r="AC19" s="86">
        <v>1.1000000000000001</v>
      </c>
      <c r="AD19" s="86">
        <v>1.2</v>
      </c>
      <c r="AE19" s="86">
        <v>0.4</v>
      </c>
      <c r="AF19" s="86"/>
      <c r="AG19" s="103">
        <f t="shared" si="0"/>
        <v>15.499999999999998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v>4.8</v>
      </c>
      <c r="C20" s="86">
        <v>5.4</v>
      </c>
      <c r="D20" s="86">
        <v>3.2</v>
      </c>
      <c r="E20" s="86">
        <v>4.5999999999999996</v>
      </c>
      <c r="F20" s="86">
        <v>6.7</v>
      </c>
      <c r="G20" s="86">
        <v>5.4</v>
      </c>
      <c r="H20" s="86">
        <v>6.1</v>
      </c>
      <c r="I20" s="86">
        <v>4.4000000000000004</v>
      </c>
      <c r="J20" s="86">
        <v>4.5999999999999996</v>
      </c>
      <c r="K20" s="86">
        <v>6.3</v>
      </c>
      <c r="L20" s="86">
        <v>6</v>
      </c>
      <c r="M20" s="86">
        <v>4.9000000000000004</v>
      </c>
      <c r="N20" s="86">
        <v>4.2</v>
      </c>
      <c r="O20" s="86">
        <v>6.2</v>
      </c>
      <c r="P20" s="86">
        <v>6.8</v>
      </c>
      <c r="Q20" s="86">
        <v>4.8</v>
      </c>
      <c r="R20" s="86">
        <v>3.4</v>
      </c>
      <c r="S20" s="86">
        <v>4.2</v>
      </c>
      <c r="T20" s="86">
        <v>5.9</v>
      </c>
      <c r="U20" s="86">
        <v>6.4</v>
      </c>
      <c r="V20" s="86">
        <v>5</v>
      </c>
      <c r="W20" s="86">
        <v>5.5</v>
      </c>
      <c r="X20" s="86">
        <v>5.5</v>
      </c>
      <c r="Y20" s="86">
        <v>5.5</v>
      </c>
      <c r="Z20" s="86">
        <v>0</v>
      </c>
      <c r="AA20" s="86">
        <v>0</v>
      </c>
      <c r="AB20" s="86">
        <v>0</v>
      </c>
      <c r="AC20" s="86">
        <v>0</v>
      </c>
      <c r="AD20" s="86">
        <v>0</v>
      </c>
      <c r="AE20" s="86">
        <v>0</v>
      </c>
      <c r="AF20" s="86"/>
      <c r="AG20" s="103">
        <f t="shared" si="0"/>
        <v>125.80000000000001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4</v>
      </c>
      <c r="C21" s="86">
        <v>4.9000000000000004</v>
      </c>
      <c r="D21" s="86">
        <v>3.6</v>
      </c>
      <c r="E21" s="86">
        <v>4.4000000000000004</v>
      </c>
      <c r="F21" s="86">
        <v>5.7</v>
      </c>
      <c r="G21" s="86">
        <v>4.5999999999999996</v>
      </c>
      <c r="H21" s="86">
        <v>4.5999999999999996</v>
      </c>
      <c r="I21" s="86">
        <v>4.2</v>
      </c>
      <c r="J21" s="86">
        <v>2.2000000000000002</v>
      </c>
      <c r="K21" s="86">
        <v>3.8</v>
      </c>
      <c r="L21" s="86">
        <v>4</v>
      </c>
      <c r="M21" s="86">
        <v>3.3</v>
      </c>
      <c r="N21" s="86">
        <v>4.5999999999999996</v>
      </c>
      <c r="O21" s="86">
        <v>5.9</v>
      </c>
      <c r="P21" s="86">
        <v>3</v>
      </c>
      <c r="Q21" s="86">
        <v>4.2</v>
      </c>
      <c r="R21" s="86">
        <v>3.9</v>
      </c>
      <c r="S21" s="86">
        <v>4</v>
      </c>
      <c r="T21" s="86">
        <v>4.2</v>
      </c>
      <c r="U21" s="86">
        <v>5.6</v>
      </c>
      <c r="V21" s="86">
        <v>3.9</v>
      </c>
      <c r="W21" s="86">
        <v>6</v>
      </c>
      <c r="X21" s="86">
        <v>2</v>
      </c>
      <c r="Y21" s="86">
        <v>3.9</v>
      </c>
      <c r="Z21" s="86">
        <v>0</v>
      </c>
      <c r="AA21" s="86">
        <v>0</v>
      </c>
      <c r="AB21" s="86">
        <v>0</v>
      </c>
      <c r="AC21" s="86">
        <v>0</v>
      </c>
      <c r="AD21" s="86">
        <v>0</v>
      </c>
      <c r="AE21" s="86">
        <v>0</v>
      </c>
      <c r="AF21" s="86"/>
      <c r="AG21" s="132">
        <f t="shared" si="0"/>
        <v>100.50000000000001</v>
      </c>
      <c r="AH21" s="120"/>
      <c r="AI21" s="120"/>
    </row>
    <row r="22" spans="1:35" s="91" customFormat="1" ht="18.75" customHeight="1" x14ac:dyDescent="0.25">
      <c r="A22" s="62" t="s">
        <v>75</v>
      </c>
      <c r="B22" s="86">
        <v>3</v>
      </c>
      <c r="C22" s="86">
        <v>4</v>
      </c>
      <c r="D22" s="86">
        <v>0.8</v>
      </c>
      <c r="E22" s="86">
        <v>0.7</v>
      </c>
      <c r="F22" s="86">
        <v>1.7</v>
      </c>
      <c r="G22" s="86">
        <v>1.9</v>
      </c>
      <c r="H22" s="86">
        <v>1.2</v>
      </c>
      <c r="I22" s="86">
        <v>0</v>
      </c>
      <c r="J22" s="86">
        <v>1.2</v>
      </c>
      <c r="K22" s="86">
        <v>1.3</v>
      </c>
      <c r="L22" s="86">
        <v>1.8</v>
      </c>
      <c r="M22" s="86">
        <v>1</v>
      </c>
      <c r="N22" s="86">
        <v>1.2</v>
      </c>
      <c r="O22" s="86">
        <v>1.4</v>
      </c>
      <c r="P22" s="86">
        <v>0</v>
      </c>
      <c r="Q22" s="86">
        <v>0</v>
      </c>
      <c r="R22" s="86">
        <v>0.8</v>
      </c>
      <c r="S22" s="86">
        <v>0.5</v>
      </c>
      <c r="T22" s="86">
        <v>1.1000000000000001</v>
      </c>
      <c r="U22" s="86">
        <v>0.3</v>
      </c>
      <c r="V22" s="86">
        <v>0.6</v>
      </c>
      <c r="W22" s="86">
        <v>0.1</v>
      </c>
      <c r="X22" s="86">
        <v>1.2</v>
      </c>
      <c r="Y22" s="86">
        <v>1.5</v>
      </c>
      <c r="Z22" s="86">
        <v>1.2</v>
      </c>
      <c r="AA22" s="86">
        <v>0.8</v>
      </c>
      <c r="AB22" s="86">
        <v>1.3</v>
      </c>
      <c r="AC22" s="86">
        <v>1.5</v>
      </c>
      <c r="AD22" s="86">
        <v>1.8</v>
      </c>
      <c r="AE22" s="86">
        <v>1.9</v>
      </c>
      <c r="AF22" s="86"/>
      <c r="AG22" s="103">
        <f t="shared" si="0"/>
        <v>35.799999999999997</v>
      </c>
      <c r="AH22" s="120"/>
      <c r="AI22" s="120"/>
    </row>
    <row r="23" spans="1:35" s="91" customFormat="1" ht="18.75" customHeight="1" x14ac:dyDescent="0.25">
      <c r="A23" s="62" t="s">
        <v>77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103">
        <f t="shared" si="0"/>
        <v>0</v>
      </c>
      <c r="AH23" s="120"/>
      <c r="AI23" s="120"/>
    </row>
    <row r="24" spans="1:35" s="91" customFormat="1" ht="18.75" customHeight="1" x14ac:dyDescent="0.25">
      <c r="A24" s="62" t="s">
        <v>78</v>
      </c>
      <c r="B24" s="86">
        <v>5</v>
      </c>
      <c r="C24" s="86">
        <v>5</v>
      </c>
      <c r="D24" s="86">
        <v>6</v>
      </c>
      <c r="E24" s="86">
        <v>5</v>
      </c>
      <c r="F24" s="86">
        <v>5</v>
      </c>
      <c r="G24" s="86">
        <v>6</v>
      </c>
      <c r="H24" s="86">
        <v>5</v>
      </c>
      <c r="I24" s="86">
        <v>4</v>
      </c>
      <c r="J24" s="86">
        <v>4</v>
      </c>
      <c r="K24" s="86">
        <v>5</v>
      </c>
      <c r="L24" s="86">
        <v>6</v>
      </c>
      <c r="M24" s="86">
        <v>5</v>
      </c>
      <c r="N24" s="86">
        <v>6</v>
      </c>
      <c r="O24" s="86">
        <v>5</v>
      </c>
      <c r="P24" s="86">
        <v>7</v>
      </c>
      <c r="Q24" s="86">
        <v>6</v>
      </c>
      <c r="R24" s="86">
        <v>3</v>
      </c>
      <c r="S24" s="86">
        <v>4</v>
      </c>
      <c r="T24" s="86">
        <v>5</v>
      </c>
      <c r="U24" s="86">
        <v>6</v>
      </c>
      <c r="V24" s="86">
        <v>6</v>
      </c>
      <c r="W24" s="86">
        <v>5</v>
      </c>
      <c r="X24" s="86">
        <v>9</v>
      </c>
      <c r="Y24" s="86">
        <v>7</v>
      </c>
      <c r="Z24" s="86">
        <v>4</v>
      </c>
      <c r="AA24" s="86">
        <v>5</v>
      </c>
      <c r="AB24" s="86">
        <v>6</v>
      </c>
      <c r="AC24" s="86">
        <v>7</v>
      </c>
      <c r="AD24" s="86">
        <v>5</v>
      </c>
      <c r="AE24" s="86">
        <v>7</v>
      </c>
      <c r="AF24" s="86"/>
      <c r="AG24" s="103">
        <f t="shared" si="0"/>
        <v>164</v>
      </c>
      <c r="AH24" s="120"/>
      <c r="AI24" s="120"/>
    </row>
    <row r="25" spans="1:35" s="91" customFormat="1" ht="18.75" customHeight="1" x14ac:dyDescent="0.25">
      <c r="A25" s="62" t="s">
        <v>79</v>
      </c>
      <c r="B25" s="86">
        <v>2.5</v>
      </c>
      <c r="C25" s="86">
        <v>2.8</v>
      </c>
      <c r="D25" s="86">
        <v>3</v>
      </c>
      <c r="E25" s="86">
        <v>2.9</v>
      </c>
      <c r="F25" s="86">
        <v>3</v>
      </c>
      <c r="G25" s="86">
        <v>4.8</v>
      </c>
      <c r="H25" s="86">
        <v>3.7</v>
      </c>
      <c r="I25" s="86">
        <v>2.8</v>
      </c>
      <c r="J25" s="86">
        <v>3</v>
      </c>
      <c r="K25" s="86">
        <v>2.9</v>
      </c>
      <c r="L25" s="86">
        <v>3</v>
      </c>
      <c r="M25" s="86">
        <v>2.7</v>
      </c>
      <c r="N25" s="86">
        <v>3.2</v>
      </c>
      <c r="O25" s="86">
        <v>3</v>
      </c>
      <c r="P25" s="86">
        <v>3.2</v>
      </c>
      <c r="Q25" s="86">
        <v>3.6</v>
      </c>
      <c r="R25" s="86">
        <v>2.2000000000000002</v>
      </c>
      <c r="S25" s="86">
        <v>2.8</v>
      </c>
      <c r="T25" s="86">
        <v>2.7</v>
      </c>
      <c r="U25" s="86">
        <v>2.5</v>
      </c>
      <c r="V25" s="86">
        <v>3</v>
      </c>
      <c r="W25" s="86">
        <v>2.6</v>
      </c>
      <c r="X25" s="86">
        <v>2.8</v>
      </c>
      <c r="Y25" s="86">
        <v>2.6</v>
      </c>
      <c r="Z25" s="86">
        <v>2.8</v>
      </c>
      <c r="AA25" s="86">
        <v>2.7</v>
      </c>
      <c r="AB25" s="86">
        <v>2.5</v>
      </c>
      <c r="AC25" s="86">
        <v>2.7</v>
      </c>
      <c r="AD25" s="86">
        <v>2.8</v>
      </c>
      <c r="AE25" s="86">
        <v>2.9</v>
      </c>
      <c r="AF25" s="86"/>
      <c r="AG25" s="103">
        <f t="shared" si="0"/>
        <v>87.7</v>
      </c>
      <c r="AH25" s="120"/>
      <c r="AI25" s="120"/>
    </row>
    <row r="26" spans="1:35" s="91" customFormat="1" ht="18.75" customHeight="1" x14ac:dyDescent="0.25">
      <c r="A26" s="62" t="s">
        <v>154</v>
      </c>
      <c r="B26" s="106">
        <v>0</v>
      </c>
      <c r="C26" s="106">
        <v>0</v>
      </c>
      <c r="D26" s="106">
        <v>1</v>
      </c>
      <c r="E26" s="106">
        <v>0.1</v>
      </c>
      <c r="F26" s="106">
        <v>1</v>
      </c>
      <c r="G26" s="106">
        <v>1</v>
      </c>
      <c r="H26" s="106">
        <v>1.5</v>
      </c>
      <c r="I26" s="106">
        <v>0</v>
      </c>
      <c r="J26" s="106">
        <v>1</v>
      </c>
      <c r="K26" s="106">
        <v>1</v>
      </c>
      <c r="L26" s="106">
        <v>0.2</v>
      </c>
      <c r="M26" s="106">
        <v>0.2</v>
      </c>
      <c r="N26" s="106">
        <v>1.2</v>
      </c>
      <c r="O26" s="106">
        <v>2</v>
      </c>
      <c r="P26" s="106">
        <v>0</v>
      </c>
      <c r="Q26" s="106">
        <v>0</v>
      </c>
      <c r="R26" s="106">
        <v>1</v>
      </c>
      <c r="S26" s="106">
        <v>0.2</v>
      </c>
      <c r="T26" s="106">
        <v>0.2</v>
      </c>
      <c r="U26" s="106">
        <v>1.2</v>
      </c>
      <c r="V26" s="106">
        <v>1.2</v>
      </c>
      <c r="W26" s="106">
        <v>0</v>
      </c>
      <c r="X26" s="106">
        <v>2.1</v>
      </c>
      <c r="Y26" s="106">
        <v>2</v>
      </c>
      <c r="Z26" s="106">
        <v>1</v>
      </c>
      <c r="AA26" s="106">
        <v>1</v>
      </c>
      <c r="AB26" s="106">
        <v>1</v>
      </c>
      <c r="AC26" s="106">
        <v>0</v>
      </c>
      <c r="AD26" s="106">
        <v>1.3</v>
      </c>
      <c r="AE26" s="106">
        <v>0</v>
      </c>
      <c r="AF26" s="106"/>
      <c r="AG26" s="103">
        <f t="shared" si="0"/>
        <v>22.4</v>
      </c>
      <c r="AH26" s="120"/>
      <c r="AI26" s="120"/>
    </row>
    <row r="27" spans="1:35" s="91" customFormat="1" ht="18.75" customHeight="1" x14ac:dyDescent="0.25">
      <c r="A27" s="62" t="s">
        <v>80</v>
      </c>
      <c r="B27" s="106">
        <v>2.1</v>
      </c>
      <c r="C27" s="106">
        <v>2.2000000000000002</v>
      </c>
      <c r="D27" s="106">
        <v>2</v>
      </c>
      <c r="E27" s="106">
        <v>2.5</v>
      </c>
      <c r="F27" s="106">
        <v>2.8</v>
      </c>
      <c r="G27" s="106">
        <v>2.8</v>
      </c>
      <c r="H27" s="106">
        <v>3</v>
      </c>
      <c r="I27" s="106">
        <v>2.2999999999999998</v>
      </c>
      <c r="J27" s="106">
        <v>2.2000000000000002</v>
      </c>
      <c r="K27" s="106">
        <v>2.4</v>
      </c>
      <c r="L27" s="106">
        <v>3</v>
      </c>
      <c r="M27" s="106">
        <v>3.2</v>
      </c>
      <c r="N27" s="106">
        <v>3</v>
      </c>
      <c r="O27" s="106">
        <v>3</v>
      </c>
      <c r="P27" s="106">
        <v>2.2999999999999998</v>
      </c>
      <c r="Q27" s="106">
        <v>2.7</v>
      </c>
      <c r="R27" s="106">
        <v>1.1000000000000001</v>
      </c>
      <c r="S27" s="106">
        <v>1.5</v>
      </c>
      <c r="T27" s="106">
        <v>1.4</v>
      </c>
      <c r="U27" s="106">
        <v>0.9</v>
      </c>
      <c r="V27" s="106">
        <v>1</v>
      </c>
      <c r="W27" s="106">
        <v>0.8</v>
      </c>
      <c r="X27" s="106">
        <v>1</v>
      </c>
      <c r="Y27" s="106">
        <v>1.7</v>
      </c>
      <c r="Z27" s="106">
        <v>0</v>
      </c>
      <c r="AA27" s="106">
        <v>0</v>
      </c>
      <c r="AB27" s="106">
        <v>0</v>
      </c>
      <c r="AC27" s="106">
        <v>0</v>
      </c>
      <c r="AD27" s="106">
        <v>0</v>
      </c>
      <c r="AE27" s="106">
        <v>0</v>
      </c>
      <c r="AF27" s="133"/>
      <c r="AG27" s="103">
        <f t="shared" si="0"/>
        <v>50.9</v>
      </c>
      <c r="AH27" s="120"/>
      <c r="AI27" s="120"/>
    </row>
    <row r="28" spans="1:35" s="91" customFormat="1" ht="18.75" customHeight="1" x14ac:dyDescent="0.25">
      <c r="A28" s="62" t="s">
        <v>76</v>
      </c>
      <c r="B28" s="106">
        <v>0.5</v>
      </c>
      <c r="C28" s="106">
        <v>0.3</v>
      </c>
      <c r="D28" s="106">
        <v>1.5</v>
      </c>
      <c r="E28" s="106">
        <v>1</v>
      </c>
      <c r="F28" s="106">
        <v>2</v>
      </c>
      <c r="G28" s="106">
        <v>1.6</v>
      </c>
      <c r="H28" s="106">
        <v>1.2</v>
      </c>
      <c r="I28" s="106">
        <v>0.8</v>
      </c>
      <c r="J28" s="106">
        <v>2.2999999999999998</v>
      </c>
      <c r="K28" s="106">
        <v>2</v>
      </c>
      <c r="L28" s="106">
        <v>1.8</v>
      </c>
      <c r="M28" s="106">
        <v>1.6</v>
      </c>
      <c r="N28" s="106">
        <v>1.4</v>
      </c>
      <c r="O28" s="106">
        <v>2.2000000000000002</v>
      </c>
      <c r="P28" s="106">
        <v>2.4</v>
      </c>
      <c r="Q28" s="106">
        <v>1.6</v>
      </c>
      <c r="R28" s="106">
        <v>1.3</v>
      </c>
      <c r="S28" s="106">
        <v>1</v>
      </c>
      <c r="T28" s="106">
        <v>0.8</v>
      </c>
      <c r="U28" s="106">
        <v>1.5</v>
      </c>
      <c r="V28" s="106">
        <v>1.9</v>
      </c>
      <c r="W28" s="106">
        <v>1.2</v>
      </c>
      <c r="X28" s="106">
        <v>1</v>
      </c>
      <c r="Y28" s="106">
        <v>1.3</v>
      </c>
      <c r="Z28" s="106">
        <v>0.9</v>
      </c>
      <c r="AA28" s="106">
        <v>1</v>
      </c>
      <c r="AB28" s="106">
        <v>1.6</v>
      </c>
      <c r="AC28" s="106">
        <v>1.3</v>
      </c>
      <c r="AD28" s="106">
        <v>0.8</v>
      </c>
      <c r="AE28" s="106">
        <v>1</v>
      </c>
      <c r="AF28" s="88"/>
      <c r="AG28" s="103">
        <f t="shared" si="0"/>
        <v>40.79999999999999</v>
      </c>
      <c r="AH28" s="120"/>
      <c r="AI28" s="120"/>
    </row>
    <row r="29" spans="1:35" s="91" customFormat="1" ht="18.75" customHeight="1" x14ac:dyDescent="0.25">
      <c r="A29" s="62" t="s">
        <v>81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88"/>
      <c r="AG29" s="103">
        <f t="shared" si="0"/>
        <v>0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3</v>
      </c>
      <c r="C31" s="106">
        <v>2.2999999999999998</v>
      </c>
      <c r="D31" s="106">
        <v>4</v>
      </c>
      <c r="E31" s="106">
        <v>3.2</v>
      </c>
      <c r="F31" s="106">
        <v>2.7</v>
      </c>
      <c r="G31" s="106">
        <v>2.2999999999999998</v>
      </c>
      <c r="H31" s="106">
        <v>2.4</v>
      </c>
      <c r="I31" s="106">
        <v>2.1</v>
      </c>
      <c r="J31" s="106">
        <v>1.7</v>
      </c>
      <c r="K31" s="106">
        <v>1.5</v>
      </c>
      <c r="L31" s="106">
        <v>2.1</v>
      </c>
      <c r="M31" s="106">
        <v>1.9</v>
      </c>
      <c r="N31" s="106">
        <v>2</v>
      </c>
      <c r="O31" s="106">
        <v>1.7</v>
      </c>
      <c r="P31" s="106">
        <v>2.2000000000000002</v>
      </c>
      <c r="Q31" s="106">
        <v>1.9</v>
      </c>
      <c r="R31" s="106">
        <v>1.8</v>
      </c>
      <c r="S31" s="106">
        <v>2.5</v>
      </c>
      <c r="T31" s="106">
        <v>2.2999999999999998</v>
      </c>
      <c r="U31" s="106">
        <v>2.1</v>
      </c>
      <c r="V31" s="106">
        <v>1.1000000000000001</v>
      </c>
      <c r="W31" s="106">
        <v>1.3</v>
      </c>
      <c r="X31" s="106">
        <v>1.4</v>
      </c>
      <c r="Y31" s="106">
        <v>2.2000000000000002</v>
      </c>
      <c r="Z31" s="106">
        <v>2</v>
      </c>
      <c r="AA31" s="106">
        <v>2.9</v>
      </c>
      <c r="AB31" s="106">
        <v>3</v>
      </c>
      <c r="AC31" s="106">
        <v>1.2</v>
      </c>
      <c r="AD31" s="106">
        <v>3.3</v>
      </c>
      <c r="AE31" s="106">
        <v>2.2000000000000002</v>
      </c>
      <c r="AF31" s="88"/>
      <c r="AG31" s="103">
        <f t="shared" si="0"/>
        <v>66.3</v>
      </c>
      <c r="AH31" s="120"/>
      <c r="AI31" s="120"/>
    </row>
    <row r="32" spans="1:35" s="91" customFormat="1" ht="18.75" customHeight="1" x14ac:dyDescent="0.25">
      <c r="A32" s="62" t="s">
        <v>179</v>
      </c>
      <c r="B32" s="106">
        <v>0.3</v>
      </c>
      <c r="C32" s="106">
        <v>0.2</v>
      </c>
      <c r="D32" s="106">
        <v>0.2</v>
      </c>
      <c r="E32" s="106">
        <v>0.3</v>
      </c>
      <c r="F32" s="106">
        <v>0.2</v>
      </c>
      <c r="G32" s="106">
        <v>0.2</v>
      </c>
      <c r="H32" s="106">
        <v>0.3</v>
      </c>
      <c r="I32" s="106">
        <v>0.3</v>
      </c>
      <c r="J32" s="106">
        <v>0.2</v>
      </c>
      <c r="K32" s="106">
        <v>0.2</v>
      </c>
      <c r="L32" s="106">
        <v>0.3</v>
      </c>
      <c r="M32" s="106">
        <v>0.2</v>
      </c>
      <c r="N32" s="106">
        <v>0.3</v>
      </c>
      <c r="O32" s="106">
        <v>0.2</v>
      </c>
      <c r="P32" s="106">
        <v>0.4</v>
      </c>
      <c r="Q32" s="106">
        <v>0.2</v>
      </c>
      <c r="R32" s="106">
        <v>0.3</v>
      </c>
      <c r="S32" s="106">
        <v>0.2</v>
      </c>
      <c r="T32" s="106">
        <v>0.3</v>
      </c>
      <c r="U32" s="106">
        <v>0.2</v>
      </c>
      <c r="V32" s="106">
        <v>0.2</v>
      </c>
      <c r="W32" s="106">
        <v>0.3</v>
      </c>
      <c r="X32" s="106">
        <v>0.2</v>
      </c>
      <c r="Y32" s="106">
        <v>0.2</v>
      </c>
      <c r="Z32" s="106">
        <v>0.2</v>
      </c>
      <c r="AA32" s="106">
        <v>0.2</v>
      </c>
      <c r="AB32" s="106">
        <v>0.3</v>
      </c>
      <c r="AC32" s="106">
        <v>0.2</v>
      </c>
      <c r="AD32" s="106">
        <v>0.2</v>
      </c>
      <c r="AE32" s="106">
        <v>0.3</v>
      </c>
      <c r="AF32" s="88"/>
      <c r="AG32" s="103">
        <f t="shared" si="0"/>
        <v>7.3000000000000007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48.1</v>
      </c>
      <c r="C33" s="87">
        <f t="shared" ref="C33:AF33" si="1">SUM(C3:C32)</f>
        <v>46.8</v>
      </c>
      <c r="D33" s="87">
        <f t="shared" si="1"/>
        <v>45.400000000000006</v>
      </c>
      <c r="E33" s="87">
        <f t="shared" si="1"/>
        <v>47.300000000000004</v>
      </c>
      <c r="F33" s="87">
        <f t="shared" si="1"/>
        <v>53.800000000000004</v>
      </c>
      <c r="G33" s="87">
        <f t="shared" si="1"/>
        <v>57.099999999999994</v>
      </c>
      <c r="H33" s="87">
        <f t="shared" si="1"/>
        <v>50.70000000000001</v>
      </c>
      <c r="I33" s="87">
        <f t="shared" si="1"/>
        <v>35.399999999999991</v>
      </c>
      <c r="J33" s="87">
        <f t="shared" si="1"/>
        <v>41.500000000000007</v>
      </c>
      <c r="K33" s="87">
        <f t="shared" si="1"/>
        <v>44.4</v>
      </c>
      <c r="L33" s="87">
        <f t="shared" si="1"/>
        <v>49.9</v>
      </c>
      <c r="M33" s="87">
        <f t="shared" si="1"/>
        <v>46.500000000000014</v>
      </c>
      <c r="N33" s="87">
        <f t="shared" si="1"/>
        <v>56.400000000000006</v>
      </c>
      <c r="O33" s="87">
        <f t="shared" si="1"/>
        <v>52.7</v>
      </c>
      <c r="P33" s="87">
        <f t="shared" si="1"/>
        <v>49.1</v>
      </c>
      <c r="Q33" s="87">
        <f t="shared" si="1"/>
        <v>46.000000000000007</v>
      </c>
      <c r="R33" s="87">
        <f t="shared" si="1"/>
        <v>35.499999999999993</v>
      </c>
      <c r="S33" s="87">
        <f t="shared" si="1"/>
        <v>36.900000000000006</v>
      </c>
      <c r="T33" s="87">
        <f t="shared" si="1"/>
        <v>38.599999999999994</v>
      </c>
      <c r="U33" s="87">
        <f t="shared" si="1"/>
        <v>44.900000000000006</v>
      </c>
      <c r="V33" s="87">
        <f t="shared" si="1"/>
        <v>41.100000000000009</v>
      </c>
      <c r="W33" s="87">
        <f t="shared" si="1"/>
        <v>36.099999999999994</v>
      </c>
      <c r="X33" s="87">
        <f t="shared" si="1"/>
        <v>42.8</v>
      </c>
      <c r="Y33" s="87">
        <f t="shared" si="1"/>
        <v>46.800000000000004</v>
      </c>
      <c r="Z33" s="87">
        <f t="shared" si="1"/>
        <v>25.599999999999994</v>
      </c>
      <c r="AA33" s="87">
        <f t="shared" si="1"/>
        <v>30.499999999999996</v>
      </c>
      <c r="AB33" s="87">
        <f t="shared" si="1"/>
        <v>33.700000000000003</v>
      </c>
      <c r="AC33" s="87">
        <f t="shared" si="1"/>
        <v>30.2</v>
      </c>
      <c r="AD33" s="87">
        <f t="shared" si="1"/>
        <v>31.600000000000005</v>
      </c>
      <c r="AE33" s="87">
        <f t="shared" si="1"/>
        <v>25.099999999999998</v>
      </c>
      <c r="AF33" s="87">
        <f t="shared" si="1"/>
        <v>0</v>
      </c>
      <c r="AG33" s="105">
        <f t="shared" si="0"/>
        <v>1270.4999999999998</v>
      </c>
      <c r="AH33" s="134"/>
      <c r="AI33" s="134"/>
    </row>
    <row r="34" spans="1:35" s="91" customFormat="1" x14ac:dyDescent="0.25">
      <c r="A34" s="136"/>
      <c r="AG34" s="24">
        <f>SUM(AG3:AG31)</f>
        <v>1263.2</v>
      </c>
    </row>
  </sheetData>
  <mergeCells count="1">
    <mergeCell ref="A1:AG1"/>
  </mergeCells>
  <conditionalFormatting sqref="AG33">
    <cfRule type="cellIs" dxfId="7" priority="2" operator="equal">
      <formula>$AG$34</formula>
    </cfRule>
  </conditionalFormatting>
  <conditionalFormatting sqref="AG34">
    <cfRule type="cellIs" dxfId="6" priority="1" operator="equal">
      <formula>$AG$33</formula>
    </cfRule>
  </conditionalFormatting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219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v>0.4</v>
      </c>
      <c r="C3" s="88">
        <v>0.1</v>
      </c>
      <c r="D3" s="85">
        <v>1.1000000000000001</v>
      </c>
      <c r="E3" s="85">
        <v>0.9</v>
      </c>
      <c r="F3" s="85">
        <v>0.4</v>
      </c>
      <c r="G3" s="86">
        <v>0.7</v>
      </c>
      <c r="H3" s="85">
        <v>0.5</v>
      </c>
      <c r="I3" s="86">
        <v>0.8</v>
      </c>
      <c r="J3" s="85">
        <v>0.5</v>
      </c>
      <c r="K3" s="86">
        <v>0.4</v>
      </c>
      <c r="L3" s="85">
        <v>1.1000000000000001</v>
      </c>
      <c r="M3" s="86">
        <v>0.5</v>
      </c>
      <c r="N3" s="85">
        <v>0.9</v>
      </c>
      <c r="O3" s="85">
        <v>1.4</v>
      </c>
      <c r="P3" s="86">
        <v>0.5</v>
      </c>
      <c r="Q3" s="85">
        <v>0.9</v>
      </c>
      <c r="R3" s="85">
        <v>0.7</v>
      </c>
      <c r="S3" s="86">
        <v>0.8</v>
      </c>
      <c r="T3" s="86">
        <v>1.1000000000000001</v>
      </c>
      <c r="U3" s="86">
        <v>0.9</v>
      </c>
      <c r="V3" s="86">
        <v>0.3</v>
      </c>
      <c r="W3" s="85">
        <v>0.7</v>
      </c>
      <c r="X3" s="85">
        <v>0.5</v>
      </c>
      <c r="Y3" s="85">
        <v>0.4</v>
      </c>
      <c r="Z3" s="85">
        <v>0.7</v>
      </c>
      <c r="AA3" s="85">
        <v>0.1</v>
      </c>
      <c r="AB3" s="85">
        <v>0.9</v>
      </c>
      <c r="AC3" s="85">
        <v>0.5</v>
      </c>
      <c r="AD3" s="85">
        <v>0.2</v>
      </c>
      <c r="AE3" s="85">
        <v>0.7</v>
      </c>
      <c r="AF3" s="85">
        <v>0.5</v>
      </c>
      <c r="AG3" s="103">
        <f>SUM(B3:AF3)</f>
        <v>20.099999999999998</v>
      </c>
      <c r="AH3" s="119"/>
      <c r="AI3" s="120"/>
    </row>
    <row r="4" spans="1:35" s="91" customFormat="1" ht="33" customHeight="1" x14ac:dyDescent="0.25">
      <c r="A4" s="138" t="s">
        <v>193</v>
      </c>
      <c r="B4" s="85"/>
      <c r="C4" s="88"/>
      <c r="D4" s="85"/>
      <c r="E4" s="85"/>
      <c r="F4" s="85"/>
      <c r="G4" s="86"/>
      <c r="H4" s="85"/>
      <c r="I4" s="86"/>
      <c r="J4" s="85"/>
      <c r="K4" s="86"/>
      <c r="L4" s="85"/>
      <c r="M4" s="86"/>
      <c r="N4" s="85"/>
      <c r="O4" s="85"/>
      <c r="P4" s="86"/>
      <c r="Q4" s="85"/>
      <c r="R4" s="85"/>
      <c r="S4" s="86"/>
      <c r="T4" s="86"/>
      <c r="U4" s="86"/>
      <c r="V4" s="86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03">
        <f t="shared" ref="AG4:AG33" si="0">SUM(B4:AF4)</f>
        <v>0</v>
      </c>
      <c r="AH4" s="120"/>
      <c r="AI4" s="120"/>
    </row>
    <row r="5" spans="1:35" s="91" customFormat="1" ht="18.75" customHeight="1" x14ac:dyDescent="0.25">
      <c r="A5" s="62" t="s">
        <v>83</v>
      </c>
      <c r="B5" s="85"/>
      <c r="C5" s="88"/>
      <c r="D5" s="85"/>
      <c r="E5" s="85"/>
      <c r="F5" s="85"/>
      <c r="G5" s="86"/>
      <c r="H5" s="85"/>
      <c r="I5" s="86"/>
      <c r="J5" s="85"/>
      <c r="K5" s="86"/>
      <c r="L5" s="85"/>
      <c r="M5" s="86"/>
      <c r="N5" s="85"/>
      <c r="O5" s="85"/>
      <c r="P5" s="86"/>
      <c r="Q5" s="85"/>
      <c r="R5" s="85"/>
      <c r="S5" s="86"/>
      <c r="T5" s="86"/>
      <c r="U5" s="86"/>
      <c r="V5" s="86"/>
      <c r="W5" s="85"/>
      <c r="X5" s="85"/>
      <c r="Y5" s="85"/>
      <c r="Z5" s="85"/>
      <c r="AA5" s="85"/>
      <c r="AB5" s="85"/>
      <c r="AC5" s="85"/>
      <c r="AD5" s="85"/>
      <c r="AE5" s="85"/>
      <c r="AF5" s="87"/>
      <c r="AG5" s="103">
        <f t="shared" si="0"/>
        <v>0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>
        <v>5.0999999999999996</v>
      </c>
      <c r="C8" s="86">
        <v>4.3</v>
      </c>
      <c r="D8" s="86">
        <v>4.2</v>
      </c>
      <c r="E8" s="86">
        <v>4.4000000000000004</v>
      </c>
      <c r="F8" s="86">
        <v>4.5</v>
      </c>
      <c r="G8" s="86">
        <v>5</v>
      </c>
      <c r="H8" s="86">
        <v>4.9000000000000004</v>
      </c>
      <c r="I8" s="86">
        <v>4.7</v>
      </c>
      <c r="J8" s="86">
        <v>4.5</v>
      </c>
      <c r="K8" s="86">
        <v>4.2</v>
      </c>
      <c r="L8" s="86">
        <v>5</v>
      </c>
      <c r="M8" s="86">
        <v>8</v>
      </c>
      <c r="N8" s="86">
        <v>4.0999999999999996</v>
      </c>
      <c r="O8" s="86">
        <v>4.3</v>
      </c>
      <c r="P8" s="86">
        <v>4.5</v>
      </c>
      <c r="Q8" s="86">
        <v>4.9000000000000004</v>
      </c>
      <c r="R8" s="86">
        <v>4.0999999999999996</v>
      </c>
      <c r="S8" s="86">
        <v>5</v>
      </c>
      <c r="T8" s="86">
        <v>4.5</v>
      </c>
      <c r="U8" s="86">
        <v>4.3</v>
      </c>
      <c r="V8" s="86">
        <v>7.9</v>
      </c>
      <c r="W8" s="86">
        <v>4.9000000000000004</v>
      </c>
      <c r="X8" s="86">
        <v>5</v>
      </c>
      <c r="Y8" s="86">
        <v>4.2</v>
      </c>
      <c r="Z8" s="86">
        <v>4</v>
      </c>
      <c r="AA8" s="86">
        <v>4.3</v>
      </c>
      <c r="AB8" s="86">
        <v>4.5</v>
      </c>
      <c r="AC8" s="86">
        <v>4.2</v>
      </c>
      <c r="AD8" s="86">
        <v>4.5</v>
      </c>
      <c r="AE8" s="86">
        <v>4.3</v>
      </c>
      <c r="AF8" s="86">
        <v>5</v>
      </c>
      <c r="AG8" s="103">
        <f t="shared" si="0"/>
        <v>147.30000000000001</v>
      </c>
      <c r="AH8" s="120"/>
      <c r="AI8" s="120"/>
    </row>
    <row r="9" spans="1:35" s="91" customFormat="1" ht="18.75" customHeight="1" x14ac:dyDescent="0.25">
      <c r="A9" s="62" t="s">
        <v>66</v>
      </c>
      <c r="B9" s="86">
        <v>2.9</v>
      </c>
      <c r="C9" s="86">
        <v>3</v>
      </c>
      <c r="D9" s="86">
        <v>3.9</v>
      </c>
      <c r="E9" s="86">
        <v>2.7</v>
      </c>
      <c r="F9" s="86">
        <v>3</v>
      </c>
      <c r="G9" s="86">
        <v>2.2000000000000002</v>
      </c>
      <c r="H9" s="86">
        <v>4</v>
      </c>
      <c r="I9" s="86">
        <v>3</v>
      </c>
      <c r="J9" s="86">
        <v>2.9</v>
      </c>
      <c r="K9" s="86">
        <v>2.5</v>
      </c>
      <c r="L9" s="86">
        <v>2.1</v>
      </c>
      <c r="M9" s="86">
        <v>3</v>
      </c>
      <c r="N9" s="86">
        <v>2.9</v>
      </c>
      <c r="O9" s="86">
        <v>0</v>
      </c>
      <c r="P9" s="86">
        <v>0</v>
      </c>
      <c r="Q9" s="86">
        <v>3.2</v>
      </c>
      <c r="R9" s="86">
        <v>0</v>
      </c>
      <c r="S9" s="86">
        <v>0.2</v>
      </c>
      <c r="T9" s="86">
        <v>0</v>
      </c>
      <c r="U9" s="86">
        <v>4.3</v>
      </c>
      <c r="V9" s="86">
        <v>0</v>
      </c>
      <c r="W9" s="86">
        <v>2.9</v>
      </c>
      <c r="X9" s="86">
        <v>3.9</v>
      </c>
      <c r="Y9" s="86">
        <v>0</v>
      </c>
      <c r="Z9" s="86">
        <v>0</v>
      </c>
      <c r="AA9" s="86">
        <v>0.3</v>
      </c>
      <c r="AB9" s="86">
        <v>0</v>
      </c>
      <c r="AC9" s="86">
        <v>2.9</v>
      </c>
      <c r="AD9" s="86">
        <v>0</v>
      </c>
      <c r="AE9" s="86">
        <v>0</v>
      </c>
      <c r="AF9" s="106">
        <v>0</v>
      </c>
      <c r="AG9" s="103">
        <f t="shared" si="0"/>
        <v>55.79999999999999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0.9</v>
      </c>
      <c r="C12" s="86">
        <v>0.8</v>
      </c>
      <c r="D12" s="86">
        <v>1</v>
      </c>
      <c r="E12" s="86">
        <v>1.3</v>
      </c>
      <c r="F12" s="86">
        <v>1.1000000000000001</v>
      </c>
      <c r="G12" s="86">
        <v>0.9</v>
      </c>
      <c r="H12" s="86">
        <v>1.1000000000000001</v>
      </c>
      <c r="I12" s="86">
        <v>0.4</v>
      </c>
      <c r="J12" s="86">
        <v>1</v>
      </c>
      <c r="K12" s="86">
        <v>0.5</v>
      </c>
      <c r="L12" s="86">
        <v>0.9</v>
      </c>
      <c r="M12" s="86">
        <v>1</v>
      </c>
      <c r="N12" s="86">
        <v>1.6</v>
      </c>
      <c r="O12" s="86">
        <v>1.1000000000000001</v>
      </c>
      <c r="P12" s="86">
        <v>1.3</v>
      </c>
      <c r="Q12" s="86">
        <v>1.1000000000000001</v>
      </c>
      <c r="R12" s="86">
        <v>1.7</v>
      </c>
      <c r="S12" s="86">
        <v>2.1</v>
      </c>
      <c r="T12" s="86">
        <v>1.5</v>
      </c>
      <c r="U12" s="86">
        <v>1.2</v>
      </c>
      <c r="V12" s="86">
        <v>1.1000000000000001</v>
      </c>
      <c r="W12" s="86">
        <v>1</v>
      </c>
      <c r="X12" s="86">
        <v>1</v>
      </c>
      <c r="Y12" s="86">
        <v>1.1000000000000001</v>
      </c>
      <c r="Z12" s="86">
        <v>1.3</v>
      </c>
      <c r="AA12" s="86">
        <v>0.4</v>
      </c>
      <c r="AB12" s="86">
        <v>0.4</v>
      </c>
      <c r="AC12" s="86">
        <v>0.5</v>
      </c>
      <c r="AD12" s="86">
        <v>0.2</v>
      </c>
      <c r="AE12" s="86">
        <v>1</v>
      </c>
      <c r="AF12" s="86">
        <v>0.5</v>
      </c>
      <c r="AG12" s="103">
        <f t="shared" si="0"/>
        <v>31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141" t="s">
        <v>71</v>
      </c>
      <c r="B14" s="86">
        <v>4</v>
      </c>
      <c r="C14" s="86">
        <v>3.2</v>
      </c>
      <c r="D14" s="86">
        <v>3.1</v>
      </c>
      <c r="E14" s="86">
        <v>3.5</v>
      </c>
      <c r="F14" s="86">
        <v>4.2</v>
      </c>
      <c r="G14" s="86">
        <v>3.1</v>
      </c>
      <c r="H14" s="86">
        <v>2</v>
      </c>
      <c r="I14" s="86">
        <v>4.3</v>
      </c>
      <c r="J14" s="86">
        <v>6.1</v>
      </c>
      <c r="K14" s="86">
        <v>4</v>
      </c>
      <c r="L14" s="86">
        <v>3.3</v>
      </c>
      <c r="M14" s="86">
        <v>3.5</v>
      </c>
      <c r="N14" s="86">
        <v>4.2</v>
      </c>
      <c r="O14" s="86">
        <v>2.5</v>
      </c>
      <c r="P14" s="86">
        <v>3.3</v>
      </c>
      <c r="Q14" s="86">
        <v>4.0999999999999996</v>
      </c>
      <c r="R14" s="86">
        <v>5.0999999999999996</v>
      </c>
      <c r="S14" s="86">
        <v>6.2</v>
      </c>
      <c r="T14" s="86">
        <v>6.2</v>
      </c>
      <c r="U14" s="86">
        <v>4.3</v>
      </c>
      <c r="V14" s="86">
        <v>3</v>
      </c>
      <c r="W14" s="86">
        <v>2.5</v>
      </c>
      <c r="X14" s="86">
        <v>4</v>
      </c>
      <c r="Y14" s="106">
        <v>3.2</v>
      </c>
      <c r="Z14" s="106">
        <v>1.5</v>
      </c>
      <c r="AA14" s="106">
        <v>2.5</v>
      </c>
      <c r="AB14" s="106">
        <v>5.2</v>
      </c>
      <c r="AC14" s="106">
        <v>4.3</v>
      </c>
      <c r="AD14" s="106">
        <v>6.2</v>
      </c>
      <c r="AE14" s="106">
        <v>3.4</v>
      </c>
      <c r="AF14" s="106">
        <v>3.3</v>
      </c>
      <c r="AG14" s="103">
        <f t="shared" si="0"/>
        <v>119.30000000000001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1</v>
      </c>
      <c r="C15" s="86">
        <v>1.3</v>
      </c>
      <c r="D15" s="86">
        <v>1.2</v>
      </c>
      <c r="E15" s="86">
        <v>1.1000000000000001</v>
      </c>
      <c r="F15" s="86">
        <v>1</v>
      </c>
      <c r="G15" s="86">
        <v>1.3</v>
      </c>
      <c r="H15" s="86">
        <v>1</v>
      </c>
      <c r="I15" s="86">
        <v>1.1000000000000001</v>
      </c>
      <c r="J15" s="86">
        <v>1.3</v>
      </c>
      <c r="K15" s="86">
        <v>1</v>
      </c>
      <c r="L15" s="86">
        <v>1.1000000000000001</v>
      </c>
      <c r="M15" s="86">
        <v>1</v>
      </c>
      <c r="N15" s="86">
        <v>1.2</v>
      </c>
      <c r="O15" s="86">
        <v>1.3</v>
      </c>
      <c r="P15" s="86">
        <v>1.5</v>
      </c>
      <c r="Q15" s="86">
        <v>1.2</v>
      </c>
      <c r="R15" s="86">
        <v>1.9</v>
      </c>
      <c r="S15" s="86">
        <v>2</v>
      </c>
      <c r="T15" s="86">
        <v>1</v>
      </c>
      <c r="U15" s="86">
        <v>1.5</v>
      </c>
      <c r="V15" s="86">
        <v>1</v>
      </c>
      <c r="W15" s="86">
        <v>1</v>
      </c>
      <c r="X15" s="86">
        <v>1.1000000000000001</v>
      </c>
      <c r="Y15" s="86">
        <v>1.3</v>
      </c>
      <c r="Z15" s="86">
        <v>0</v>
      </c>
      <c r="AA15" s="86">
        <v>1.3</v>
      </c>
      <c r="AB15" s="86">
        <v>1.5</v>
      </c>
      <c r="AC15" s="86">
        <v>1.4</v>
      </c>
      <c r="AD15" s="86">
        <v>1.3</v>
      </c>
      <c r="AE15" s="86">
        <v>0</v>
      </c>
      <c r="AF15" s="86">
        <v>0</v>
      </c>
      <c r="AG15" s="103">
        <f t="shared" si="0"/>
        <v>34.9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103">
        <f t="shared" si="0"/>
        <v>0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v>2</v>
      </c>
      <c r="C20" s="86">
        <v>2.5</v>
      </c>
      <c r="D20" s="86">
        <v>1.5</v>
      </c>
      <c r="E20" s="86">
        <v>1</v>
      </c>
      <c r="F20" s="86">
        <v>0.8</v>
      </c>
      <c r="G20" s="86">
        <v>0.1</v>
      </c>
      <c r="H20" s="86">
        <v>0.2</v>
      </c>
      <c r="I20" s="86">
        <v>0.3</v>
      </c>
      <c r="J20" s="86">
        <v>2.2000000000000002</v>
      </c>
      <c r="K20" s="86">
        <v>2.8</v>
      </c>
      <c r="L20" s="86">
        <v>0.5</v>
      </c>
      <c r="M20" s="86">
        <v>0.1</v>
      </c>
      <c r="N20" s="86">
        <v>0.3</v>
      </c>
      <c r="O20" s="86">
        <v>0.5</v>
      </c>
      <c r="P20" s="86">
        <v>0.3</v>
      </c>
      <c r="Q20" s="86">
        <v>0.8</v>
      </c>
      <c r="R20" s="86">
        <v>0.3</v>
      </c>
      <c r="S20" s="86">
        <v>0.5</v>
      </c>
      <c r="T20" s="86">
        <v>0.3</v>
      </c>
      <c r="U20" s="86">
        <v>0.3</v>
      </c>
      <c r="V20" s="86">
        <v>0.5</v>
      </c>
      <c r="W20" s="86">
        <v>0.8</v>
      </c>
      <c r="X20" s="86">
        <v>0.4</v>
      </c>
      <c r="Y20" s="86">
        <v>0.5</v>
      </c>
      <c r="Z20" s="86">
        <v>0.4</v>
      </c>
      <c r="AA20" s="86">
        <v>0.2</v>
      </c>
      <c r="AB20" s="86">
        <v>0.8</v>
      </c>
      <c r="AC20" s="86">
        <v>0.8</v>
      </c>
      <c r="AD20" s="86">
        <v>0.6</v>
      </c>
      <c r="AE20" s="86">
        <v>0.6</v>
      </c>
      <c r="AF20" s="86">
        <v>0</v>
      </c>
      <c r="AG20" s="103">
        <f t="shared" si="0"/>
        <v>22.900000000000006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1.4</v>
      </c>
      <c r="C21" s="86">
        <v>0</v>
      </c>
      <c r="D21" s="86">
        <v>1.9</v>
      </c>
      <c r="E21" s="86">
        <v>0</v>
      </c>
      <c r="F21" s="86">
        <v>2</v>
      </c>
      <c r="G21" s="86">
        <v>0</v>
      </c>
      <c r="H21" s="86">
        <v>1.8</v>
      </c>
      <c r="I21" s="86">
        <v>0</v>
      </c>
      <c r="J21" s="86">
        <v>2.2999999999999998</v>
      </c>
      <c r="K21" s="86">
        <v>0</v>
      </c>
      <c r="L21" s="86">
        <v>1.9</v>
      </c>
      <c r="M21" s="86">
        <v>0</v>
      </c>
      <c r="N21" s="86">
        <v>2.6</v>
      </c>
      <c r="O21" s="86">
        <v>0</v>
      </c>
      <c r="P21" s="86">
        <v>1.9</v>
      </c>
      <c r="Q21" s="86">
        <v>0</v>
      </c>
      <c r="R21" s="86">
        <v>2.7</v>
      </c>
      <c r="S21" s="86">
        <v>0</v>
      </c>
      <c r="T21" s="86">
        <v>1.8</v>
      </c>
      <c r="U21" s="86">
        <v>0</v>
      </c>
      <c r="V21" s="86">
        <v>1.9</v>
      </c>
      <c r="W21" s="86">
        <v>0</v>
      </c>
      <c r="X21" s="86">
        <v>2.2000000000000002</v>
      </c>
      <c r="Y21" s="86">
        <v>1.8</v>
      </c>
      <c r="Z21" s="140">
        <v>0</v>
      </c>
      <c r="AA21" s="86">
        <v>2.8</v>
      </c>
      <c r="AB21" s="140">
        <v>0</v>
      </c>
      <c r="AC21" s="86">
        <v>1.8</v>
      </c>
      <c r="AD21" s="86">
        <v>0</v>
      </c>
      <c r="AE21" s="86">
        <v>1.6</v>
      </c>
      <c r="AF21" s="86">
        <v>0</v>
      </c>
      <c r="AG21" s="132">
        <f t="shared" si="0"/>
        <v>32.4</v>
      </c>
      <c r="AH21" s="120"/>
      <c r="AI21" s="120"/>
    </row>
    <row r="22" spans="1:35" s="91" customFormat="1" ht="18.75" customHeight="1" x14ac:dyDescent="0.25">
      <c r="A22" s="62" t="s">
        <v>75</v>
      </c>
      <c r="B22" s="86">
        <v>1</v>
      </c>
      <c r="C22" s="86">
        <v>1.5</v>
      </c>
      <c r="D22" s="86">
        <v>0.9</v>
      </c>
      <c r="E22" s="86">
        <v>2</v>
      </c>
      <c r="F22" s="86">
        <v>1</v>
      </c>
      <c r="G22" s="86">
        <v>0</v>
      </c>
      <c r="H22" s="86">
        <v>0.8</v>
      </c>
      <c r="I22" s="86">
        <v>0</v>
      </c>
      <c r="J22" s="86">
        <v>0.9</v>
      </c>
      <c r="K22" s="86">
        <v>2.8</v>
      </c>
      <c r="L22" s="86">
        <v>1.9</v>
      </c>
      <c r="M22" s="86">
        <v>0.9</v>
      </c>
      <c r="N22" s="86">
        <v>0</v>
      </c>
      <c r="O22" s="86">
        <v>0.7</v>
      </c>
      <c r="P22" s="86">
        <v>0.1</v>
      </c>
      <c r="Q22" s="86">
        <v>0.3</v>
      </c>
      <c r="R22" s="86">
        <v>1.5</v>
      </c>
      <c r="S22" s="86">
        <v>0.8</v>
      </c>
      <c r="T22" s="86">
        <v>0.7</v>
      </c>
      <c r="U22" s="86">
        <v>0</v>
      </c>
      <c r="V22" s="86">
        <v>0.2</v>
      </c>
      <c r="W22" s="86">
        <v>0.9</v>
      </c>
      <c r="X22" s="86">
        <v>1.5</v>
      </c>
      <c r="Y22" s="86">
        <v>0.3</v>
      </c>
      <c r="Z22" s="86">
        <v>0</v>
      </c>
      <c r="AA22" s="86">
        <v>0.2</v>
      </c>
      <c r="AB22" s="86">
        <v>0.5</v>
      </c>
      <c r="AC22" s="86">
        <v>1.7</v>
      </c>
      <c r="AD22" s="86">
        <v>1.9</v>
      </c>
      <c r="AE22" s="86">
        <v>0.4</v>
      </c>
      <c r="AF22" s="86">
        <v>0.8</v>
      </c>
      <c r="AG22" s="103">
        <f t="shared" si="0"/>
        <v>26.199999999999992</v>
      </c>
      <c r="AH22" s="120"/>
      <c r="AI22" s="120"/>
    </row>
    <row r="23" spans="1:35" s="91" customFormat="1" ht="18.75" customHeight="1" x14ac:dyDescent="0.25">
      <c r="A23" s="62" t="s">
        <v>77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03">
        <f t="shared" si="0"/>
        <v>0</v>
      </c>
      <c r="AH23" s="120"/>
      <c r="AI23" s="120"/>
    </row>
    <row r="24" spans="1:35" s="91" customFormat="1" ht="18.75" customHeight="1" x14ac:dyDescent="0.25">
      <c r="A24" s="62" t="s">
        <v>78</v>
      </c>
      <c r="B24" s="86">
        <v>5</v>
      </c>
      <c r="C24" s="86">
        <v>7</v>
      </c>
      <c r="D24" s="86">
        <v>5</v>
      </c>
      <c r="E24" s="86">
        <v>6</v>
      </c>
      <c r="F24" s="86">
        <v>8</v>
      </c>
      <c r="G24" s="86">
        <v>7</v>
      </c>
      <c r="H24" s="86">
        <v>6</v>
      </c>
      <c r="I24" s="86">
        <v>5</v>
      </c>
      <c r="J24" s="86">
        <v>7</v>
      </c>
      <c r="K24" s="86">
        <v>5</v>
      </c>
      <c r="L24" s="86">
        <v>6</v>
      </c>
      <c r="M24" s="86">
        <v>5</v>
      </c>
      <c r="N24" s="86">
        <v>5</v>
      </c>
      <c r="O24" s="86">
        <v>4</v>
      </c>
      <c r="P24" s="86">
        <v>7</v>
      </c>
      <c r="Q24" s="86">
        <v>5</v>
      </c>
      <c r="R24" s="86">
        <v>7</v>
      </c>
      <c r="S24" s="86">
        <v>5</v>
      </c>
      <c r="T24" s="86">
        <v>6</v>
      </c>
      <c r="U24" s="86">
        <v>7</v>
      </c>
      <c r="V24" s="86">
        <v>7</v>
      </c>
      <c r="W24" s="86">
        <v>7</v>
      </c>
      <c r="X24" s="86">
        <v>7</v>
      </c>
      <c r="Y24" s="86">
        <v>6</v>
      </c>
      <c r="Z24" s="86">
        <v>5</v>
      </c>
      <c r="AA24" s="86">
        <v>6</v>
      </c>
      <c r="AB24" s="86">
        <v>6</v>
      </c>
      <c r="AC24" s="86">
        <v>5</v>
      </c>
      <c r="AD24" s="86">
        <v>7</v>
      </c>
      <c r="AE24" s="86">
        <v>4</v>
      </c>
      <c r="AF24" s="86">
        <v>6</v>
      </c>
      <c r="AG24" s="103">
        <f t="shared" si="0"/>
        <v>184</v>
      </c>
      <c r="AH24" s="120"/>
      <c r="AI24" s="120"/>
    </row>
    <row r="25" spans="1:35" s="91" customFormat="1" ht="18.75" customHeight="1" x14ac:dyDescent="0.25">
      <c r="A25" s="62" t="s">
        <v>79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103">
        <f t="shared" si="0"/>
        <v>0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140"/>
      <c r="AA28" s="86"/>
      <c r="AB28" s="140"/>
      <c r="AC28" s="86"/>
      <c r="AD28" s="86"/>
      <c r="AE28" s="86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25">
      <c r="A29" s="62" t="s">
        <v>81</v>
      </c>
      <c r="B29" s="106">
        <v>3.4</v>
      </c>
      <c r="C29" s="106">
        <v>4.0999999999999996</v>
      </c>
      <c r="D29" s="106">
        <v>3.6</v>
      </c>
      <c r="E29" s="106">
        <v>3.4</v>
      </c>
      <c r="F29" s="106">
        <v>4.0999999999999996</v>
      </c>
      <c r="G29" s="106">
        <v>3.7</v>
      </c>
      <c r="H29" s="106">
        <v>3.4</v>
      </c>
      <c r="I29" s="106">
        <v>4.0999999999999996</v>
      </c>
      <c r="J29" s="106">
        <v>4.0999999999999996</v>
      </c>
      <c r="K29" s="106">
        <v>3.6</v>
      </c>
      <c r="L29" s="106">
        <v>3.4</v>
      </c>
      <c r="M29" s="106">
        <v>3.1</v>
      </c>
      <c r="N29" s="106">
        <v>4</v>
      </c>
      <c r="O29" s="106">
        <v>8.1999999999999993</v>
      </c>
      <c r="P29" s="106">
        <v>7.3</v>
      </c>
      <c r="Q29" s="106">
        <v>5.8</v>
      </c>
      <c r="R29" s="106">
        <v>3.9</v>
      </c>
      <c r="S29" s="106">
        <v>4.2</v>
      </c>
      <c r="T29" s="106">
        <v>4.4000000000000004</v>
      </c>
      <c r="U29" s="106">
        <v>4.7</v>
      </c>
      <c r="V29" s="106">
        <v>5.7</v>
      </c>
      <c r="W29" s="106">
        <v>4.5999999999999996</v>
      </c>
      <c r="X29" s="106">
        <v>6.5</v>
      </c>
      <c r="Y29" s="106">
        <v>3.9</v>
      </c>
      <c r="Z29" s="106">
        <v>5.5</v>
      </c>
      <c r="AA29" s="106">
        <v>3.9</v>
      </c>
      <c r="AB29" s="106">
        <v>5.4</v>
      </c>
      <c r="AC29" s="106">
        <v>4.7</v>
      </c>
      <c r="AD29" s="106">
        <v>4.4000000000000004</v>
      </c>
      <c r="AE29" s="106">
        <v>3.4</v>
      </c>
      <c r="AF29" s="88">
        <v>3.8</v>
      </c>
      <c r="AG29" s="103">
        <f t="shared" si="0"/>
        <v>138.30000000000004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3.1</v>
      </c>
      <c r="C31" s="106">
        <v>2.5</v>
      </c>
      <c r="D31" s="106">
        <v>1.7</v>
      </c>
      <c r="E31" s="106">
        <v>2.8</v>
      </c>
      <c r="F31" s="106">
        <v>3</v>
      </c>
      <c r="G31" s="106">
        <v>2.4</v>
      </c>
      <c r="H31" s="106">
        <v>2.9</v>
      </c>
      <c r="I31" s="106">
        <v>1.9</v>
      </c>
      <c r="J31" s="106">
        <v>2</v>
      </c>
      <c r="K31" s="106">
        <v>1.9</v>
      </c>
      <c r="L31" s="106">
        <v>2</v>
      </c>
      <c r="M31" s="106">
        <v>1.9</v>
      </c>
      <c r="N31" s="106">
        <v>1.5</v>
      </c>
      <c r="O31" s="106">
        <v>2.1</v>
      </c>
      <c r="P31" s="106">
        <v>3</v>
      </c>
      <c r="Q31" s="106">
        <v>3.1</v>
      </c>
      <c r="R31" s="106">
        <v>1.9</v>
      </c>
      <c r="S31" s="106">
        <v>0.9</v>
      </c>
      <c r="T31" s="106">
        <v>2.5</v>
      </c>
      <c r="U31" s="106">
        <v>2.2000000000000002</v>
      </c>
      <c r="V31" s="106">
        <v>3</v>
      </c>
      <c r="W31" s="106">
        <v>2</v>
      </c>
      <c r="X31" s="106">
        <v>2.9</v>
      </c>
      <c r="Y31" s="106">
        <v>1.9</v>
      </c>
      <c r="Z31" s="106">
        <v>2</v>
      </c>
      <c r="AA31" s="106">
        <v>1.9</v>
      </c>
      <c r="AB31" s="106">
        <v>1.5</v>
      </c>
      <c r="AC31" s="106">
        <v>2.5</v>
      </c>
      <c r="AD31" s="106">
        <v>2</v>
      </c>
      <c r="AE31" s="106">
        <v>1.5</v>
      </c>
      <c r="AF31" s="88">
        <v>2</v>
      </c>
      <c r="AG31" s="103">
        <f t="shared" si="0"/>
        <v>68.5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30.2</v>
      </c>
      <c r="C33" s="87">
        <f t="shared" ref="C33:AF33" si="1">SUM(C3:C32)</f>
        <v>30.299999999999997</v>
      </c>
      <c r="D33" s="87">
        <f t="shared" si="1"/>
        <v>29.099999999999998</v>
      </c>
      <c r="E33" s="87">
        <f t="shared" si="1"/>
        <v>29.099999999999998</v>
      </c>
      <c r="F33" s="87">
        <f t="shared" si="1"/>
        <v>33.1</v>
      </c>
      <c r="G33" s="87">
        <f t="shared" si="1"/>
        <v>26.4</v>
      </c>
      <c r="H33" s="87">
        <f t="shared" si="1"/>
        <v>28.599999999999998</v>
      </c>
      <c r="I33" s="87">
        <f t="shared" si="1"/>
        <v>25.6</v>
      </c>
      <c r="J33" s="87">
        <f t="shared" si="1"/>
        <v>34.799999999999997</v>
      </c>
      <c r="K33" s="87">
        <f t="shared" si="1"/>
        <v>28.700000000000003</v>
      </c>
      <c r="L33" s="87">
        <f t="shared" si="1"/>
        <v>29.199999999999996</v>
      </c>
      <c r="M33" s="87">
        <f t="shared" si="1"/>
        <v>28</v>
      </c>
      <c r="N33" s="87">
        <f t="shared" si="1"/>
        <v>28.3</v>
      </c>
      <c r="O33" s="87">
        <f t="shared" si="1"/>
        <v>26.1</v>
      </c>
      <c r="P33" s="87">
        <f t="shared" si="1"/>
        <v>30.7</v>
      </c>
      <c r="Q33" s="87">
        <f t="shared" si="1"/>
        <v>30.400000000000002</v>
      </c>
      <c r="R33" s="87">
        <f t="shared" si="1"/>
        <v>30.799999999999997</v>
      </c>
      <c r="S33" s="87">
        <f t="shared" si="1"/>
        <v>27.7</v>
      </c>
      <c r="T33" s="87">
        <f t="shared" si="1"/>
        <v>30</v>
      </c>
      <c r="U33" s="87">
        <f t="shared" si="1"/>
        <v>30.7</v>
      </c>
      <c r="V33" s="87">
        <f t="shared" si="1"/>
        <v>31.599999999999998</v>
      </c>
      <c r="W33" s="87">
        <f t="shared" si="1"/>
        <v>28.300000000000004</v>
      </c>
      <c r="X33" s="87">
        <f t="shared" si="1"/>
        <v>36</v>
      </c>
      <c r="Y33" s="87">
        <f t="shared" si="1"/>
        <v>24.6</v>
      </c>
      <c r="Z33" s="87">
        <f t="shared" si="1"/>
        <v>20.399999999999999</v>
      </c>
      <c r="AA33" s="87">
        <f t="shared" si="1"/>
        <v>23.899999999999995</v>
      </c>
      <c r="AB33" s="87">
        <f t="shared" si="1"/>
        <v>26.700000000000003</v>
      </c>
      <c r="AC33" s="87">
        <f t="shared" si="1"/>
        <v>30.299999999999997</v>
      </c>
      <c r="AD33" s="87">
        <f t="shared" si="1"/>
        <v>28.300000000000004</v>
      </c>
      <c r="AE33" s="87">
        <f t="shared" si="1"/>
        <v>20.9</v>
      </c>
      <c r="AF33" s="87">
        <f t="shared" si="1"/>
        <v>21.900000000000002</v>
      </c>
      <c r="AG33" s="105">
        <f t="shared" si="0"/>
        <v>880.69999999999993</v>
      </c>
      <c r="AH33" s="134"/>
      <c r="AI33" s="134"/>
    </row>
    <row r="34" spans="1:35" s="91" customFormat="1" x14ac:dyDescent="0.25">
      <c r="A34" s="136"/>
      <c r="AG34" s="24">
        <f>SUM(AG3:AG31)</f>
        <v>880.69999999999993</v>
      </c>
    </row>
  </sheetData>
  <mergeCells count="1">
    <mergeCell ref="A1:AG1"/>
  </mergeCells>
  <conditionalFormatting sqref="AG33">
    <cfRule type="cellIs" dxfId="5" priority="2" operator="equal">
      <formula>$AG$34</formula>
    </cfRule>
  </conditionalFormatting>
  <conditionalFormatting sqref="AG34">
    <cfRule type="cellIs" dxfId="4" priority="1" operator="equal">
      <formula>$AG$33</formula>
    </cfRule>
  </conditionalFormatting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23" width="4.7109375" style="121" customWidth="1"/>
    <col min="24" max="24" width="4.5703125" style="121" customWidth="1"/>
    <col min="25" max="25" width="5.42578125" style="121" customWidth="1"/>
    <col min="26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220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v>7.2</v>
      </c>
      <c r="C3" s="88">
        <v>7</v>
      </c>
      <c r="D3" s="85">
        <v>7.6</v>
      </c>
      <c r="E3" s="85">
        <v>6.4</v>
      </c>
      <c r="F3" s="85">
        <v>5.5</v>
      </c>
      <c r="G3" s="86">
        <v>2.9</v>
      </c>
      <c r="H3" s="85">
        <v>7.6</v>
      </c>
      <c r="I3" s="86">
        <v>3.8</v>
      </c>
      <c r="J3" s="85">
        <v>8</v>
      </c>
      <c r="K3" s="86">
        <v>9.6</v>
      </c>
      <c r="L3" s="85">
        <v>5.4</v>
      </c>
      <c r="M3" s="86">
        <v>5.2</v>
      </c>
      <c r="N3" s="85">
        <v>3.5</v>
      </c>
      <c r="O3" s="85">
        <v>7.1</v>
      </c>
      <c r="P3" s="86">
        <v>7.9</v>
      </c>
      <c r="Q3" s="85">
        <v>8</v>
      </c>
      <c r="R3" s="85">
        <v>12.1</v>
      </c>
      <c r="S3" s="86">
        <v>7.2</v>
      </c>
      <c r="T3" s="86">
        <v>10.6</v>
      </c>
      <c r="U3" s="86">
        <v>6.5</v>
      </c>
      <c r="V3" s="86">
        <v>10.4</v>
      </c>
      <c r="W3" s="85">
        <v>7.6</v>
      </c>
      <c r="X3" s="85">
        <v>8.1999999999999993</v>
      </c>
      <c r="Y3" s="85">
        <v>5</v>
      </c>
      <c r="Z3" s="85">
        <v>3.2</v>
      </c>
      <c r="AA3" s="85">
        <v>5</v>
      </c>
      <c r="AB3" s="85">
        <v>2.4</v>
      </c>
      <c r="AC3" s="85">
        <v>6.5</v>
      </c>
      <c r="AD3" s="85">
        <v>10</v>
      </c>
      <c r="AE3" s="85">
        <v>7.4</v>
      </c>
      <c r="AF3" s="85">
        <v>8.4</v>
      </c>
      <c r="AG3" s="103">
        <f>SUM(B3:AF3)</f>
        <v>213.2</v>
      </c>
      <c r="AH3" s="119"/>
      <c r="AI3" s="120"/>
    </row>
    <row r="4" spans="1:35" s="91" customFormat="1" ht="33" customHeight="1" x14ac:dyDescent="0.25">
      <c r="A4" s="138" t="s">
        <v>193</v>
      </c>
      <c r="B4" s="85">
        <v>2.7</v>
      </c>
      <c r="C4" s="88">
        <v>3.5</v>
      </c>
      <c r="D4" s="85">
        <v>2.2999999999999998</v>
      </c>
      <c r="E4" s="85">
        <v>2.5</v>
      </c>
      <c r="F4" s="85">
        <v>2.7</v>
      </c>
      <c r="G4" s="86">
        <v>2.2999999999999998</v>
      </c>
      <c r="H4" s="85">
        <v>2.9</v>
      </c>
      <c r="I4" s="86">
        <v>3.1</v>
      </c>
      <c r="J4" s="85">
        <v>2.2999999999999998</v>
      </c>
      <c r="K4" s="86">
        <v>2.5</v>
      </c>
      <c r="L4" s="85">
        <v>3.1</v>
      </c>
      <c r="M4" s="86">
        <v>2.7</v>
      </c>
      <c r="N4" s="85">
        <v>3.1</v>
      </c>
      <c r="O4" s="85">
        <v>3.3</v>
      </c>
      <c r="P4" s="86">
        <v>3.1</v>
      </c>
      <c r="Q4" s="85">
        <v>3.1</v>
      </c>
      <c r="R4" s="85">
        <v>2.2999999999999998</v>
      </c>
      <c r="S4" s="86">
        <v>3.9</v>
      </c>
      <c r="T4" s="86">
        <v>3.2</v>
      </c>
      <c r="U4" s="86">
        <v>2.2999999999999998</v>
      </c>
      <c r="V4" s="86">
        <v>2.9</v>
      </c>
      <c r="W4" s="85">
        <v>3.1</v>
      </c>
      <c r="X4" s="85">
        <v>3.3</v>
      </c>
      <c r="Y4" s="85">
        <v>3.5</v>
      </c>
      <c r="Z4" s="85">
        <v>0.7</v>
      </c>
      <c r="AA4" s="85">
        <v>1.9</v>
      </c>
      <c r="AB4" s="85">
        <v>2.2999999999999998</v>
      </c>
      <c r="AC4" s="85">
        <v>3.5</v>
      </c>
      <c r="AD4" s="85">
        <v>3.7</v>
      </c>
      <c r="AE4" s="85">
        <v>3.2</v>
      </c>
      <c r="AF4" s="85">
        <v>3.3</v>
      </c>
      <c r="AG4" s="103">
        <f t="shared" ref="AG4:AG33" si="0">SUM(B4:AF4)</f>
        <v>88.300000000000011</v>
      </c>
      <c r="AH4" s="120"/>
      <c r="AI4" s="120"/>
    </row>
    <row r="5" spans="1:35" s="91" customFormat="1" ht="18.75" customHeight="1" x14ac:dyDescent="0.25">
      <c r="A5" s="62" t="s">
        <v>83</v>
      </c>
      <c r="B5" s="85">
        <v>2.1</v>
      </c>
      <c r="C5" s="88">
        <v>2</v>
      </c>
      <c r="D5" s="85">
        <v>2</v>
      </c>
      <c r="E5" s="85">
        <v>2.2999999999999998</v>
      </c>
      <c r="F5" s="85">
        <v>2</v>
      </c>
      <c r="G5" s="86">
        <v>0</v>
      </c>
      <c r="H5" s="85">
        <v>2</v>
      </c>
      <c r="I5" s="86">
        <v>3.1</v>
      </c>
      <c r="J5" s="85">
        <v>2.8</v>
      </c>
      <c r="K5" s="86">
        <v>2.2999999999999998</v>
      </c>
      <c r="L5" s="85">
        <v>2.5</v>
      </c>
      <c r="M5" s="86">
        <v>2.4</v>
      </c>
      <c r="N5" s="85">
        <v>2.9</v>
      </c>
      <c r="O5" s="85">
        <v>2.8</v>
      </c>
      <c r="P5" s="86">
        <v>2.7</v>
      </c>
      <c r="Q5" s="85">
        <v>3</v>
      </c>
      <c r="R5" s="85">
        <v>2.5</v>
      </c>
      <c r="S5" s="86">
        <v>2</v>
      </c>
      <c r="T5" s="86">
        <v>2.1</v>
      </c>
      <c r="U5" s="86">
        <v>2.5</v>
      </c>
      <c r="V5" s="86">
        <v>2.4</v>
      </c>
      <c r="W5" s="85">
        <v>3.1</v>
      </c>
      <c r="X5" s="85">
        <v>2.5</v>
      </c>
      <c r="Y5" s="85">
        <v>2.2000000000000002</v>
      </c>
      <c r="Z5" s="85">
        <v>2.1</v>
      </c>
      <c r="AA5" s="85">
        <v>2.8</v>
      </c>
      <c r="AB5" s="85">
        <v>2.2999999999999998</v>
      </c>
      <c r="AC5" s="85">
        <v>2.1</v>
      </c>
      <c r="AD5" s="85">
        <v>2.5</v>
      </c>
      <c r="AE5" s="85">
        <v>3</v>
      </c>
      <c r="AF5" s="87">
        <v>3</v>
      </c>
      <c r="AG5" s="103">
        <f t="shared" si="0"/>
        <v>74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131">
        <v>2.7</v>
      </c>
      <c r="C7" s="131">
        <v>3</v>
      </c>
      <c r="D7" s="131">
        <v>2.4</v>
      </c>
      <c r="E7" s="131">
        <v>3.6</v>
      </c>
      <c r="F7" s="131">
        <v>2.9</v>
      </c>
      <c r="G7" s="131">
        <v>3.2</v>
      </c>
      <c r="H7" s="131">
        <v>3.8</v>
      </c>
      <c r="I7" s="131">
        <v>2.2000000000000002</v>
      </c>
      <c r="J7" s="131">
        <v>2.6</v>
      </c>
      <c r="K7" s="131">
        <v>3.9</v>
      </c>
      <c r="L7" s="131">
        <v>2.4</v>
      </c>
      <c r="M7" s="131">
        <v>3.6</v>
      </c>
      <c r="N7" s="131">
        <v>2.2000000000000002</v>
      </c>
      <c r="O7" s="131">
        <v>3.2</v>
      </c>
      <c r="P7" s="131">
        <v>2.2000000000000002</v>
      </c>
      <c r="Q7" s="131">
        <v>3.6</v>
      </c>
      <c r="R7" s="131">
        <v>2.7</v>
      </c>
      <c r="S7" s="131">
        <v>3</v>
      </c>
      <c r="T7" s="131">
        <v>3.9</v>
      </c>
      <c r="U7" s="131">
        <v>3.2</v>
      </c>
      <c r="V7" s="131">
        <v>3</v>
      </c>
      <c r="W7" s="131">
        <v>3.8</v>
      </c>
      <c r="X7" s="131">
        <v>2</v>
      </c>
      <c r="Y7" s="131">
        <v>2.2000000000000002</v>
      </c>
      <c r="Z7" s="131">
        <v>3.6</v>
      </c>
      <c r="AA7" s="131">
        <v>3.4</v>
      </c>
      <c r="AB7" s="131">
        <v>2.9</v>
      </c>
      <c r="AC7" s="131">
        <v>2.2000000000000002</v>
      </c>
      <c r="AD7" s="131">
        <v>3.2</v>
      </c>
      <c r="AE7" s="131">
        <v>3.9</v>
      </c>
      <c r="AF7" s="86">
        <v>3.8</v>
      </c>
      <c r="AG7" s="103">
        <f t="shared" si="0"/>
        <v>94.30000000000004</v>
      </c>
      <c r="AH7" s="120"/>
      <c r="AI7" s="120"/>
    </row>
    <row r="8" spans="1:35" s="91" customFormat="1" ht="18.75" customHeight="1" x14ac:dyDescent="0.25">
      <c r="A8" s="62" t="s">
        <v>65</v>
      </c>
      <c r="B8" s="86">
        <v>5</v>
      </c>
      <c r="C8" s="86">
        <v>6.1</v>
      </c>
      <c r="D8" s="86">
        <v>8</v>
      </c>
      <c r="E8" s="86">
        <v>7.4</v>
      </c>
      <c r="F8" s="86">
        <v>6</v>
      </c>
      <c r="G8" s="86">
        <v>7.6</v>
      </c>
      <c r="H8" s="86">
        <v>8</v>
      </c>
      <c r="I8" s="86">
        <v>8</v>
      </c>
      <c r="J8" s="86">
        <v>5.8</v>
      </c>
      <c r="K8" s="86">
        <v>6</v>
      </c>
      <c r="L8" s="86">
        <v>5.9</v>
      </c>
      <c r="M8" s="86">
        <v>7.7</v>
      </c>
      <c r="N8" s="86">
        <v>7.4</v>
      </c>
      <c r="O8" s="86">
        <v>8.1</v>
      </c>
      <c r="P8" s="86">
        <v>7.3</v>
      </c>
      <c r="Q8" s="86">
        <v>8.4</v>
      </c>
      <c r="R8" s="86">
        <v>6.2</v>
      </c>
      <c r="S8" s="86">
        <v>7</v>
      </c>
      <c r="T8" s="86">
        <v>6.1</v>
      </c>
      <c r="U8" s="86">
        <v>7</v>
      </c>
      <c r="V8" s="86">
        <v>6.9</v>
      </c>
      <c r="W8" s="86">
        <v>7.6</v>
      </c>
      <c r="X8" s="86">
        <v>8</v>
      </c>
      <c r="Y8" s="86">
        <v>7.6</v>
      </c>
      <c r="Z8" s="86">
        <v>7</v>
      </c>
      <c r="AA8" s="86">
        <v>6.9</v>
      </c>
      <c r="AB8" s="86">
        <v>7.3</v>
      </c>
      <c r="AC8" s="86">
        <v>4.3</v>
      </c>
      <c r="AD8" s="86">
        <v>7.1</v>
      </c>
      <c r="AE8" s="86">
        <v>6.5</v>
      </c>
      <c r="AF8" s="86">
        <v>5.0999999999999996</v>
      </c>
      <c r="AG8" s="103">
        <f t="shared" si="0"/>
        <v>213.30000000000004</v>
      </c>
      <c r="AH8" s="120"/>
      <c r="AI8" s="120"/>
    </row>
    <row r="9" spans="1:35" s="91" customFormat="1" ht="18.75" customHeight="1" x14ac:dyDescent="0.25">
      <c r="A9" s="62" t="s">
        <v>66</v>
      </c>
      <c r="B9" s="86">
        <v>5.7</v>
      </c>
      <c r="C9" s="86">
        <v>3</v>
      </c>
      <c r="D9" s="86">
        <v>7.5</v>
      </c>
      <c r="E9" s="86">
        <v>8.3000000000000007</v>
      </c>
      <c r="F9" s="86">
        <v>6.7</v>
      </c>
      <c r="G9" s="86">
        <v>6.8</v>
      </c>
      <c r="H9" s="86">
        <v>10</v>
      </c>
      <c r="I9" s="86">
        <v>5.5</v>
      </c>
      <c r="J9" s="86">
        <v>6.6</v>
      </c>
      <c r="K9" s="86">
        <v>6.7</v>
      </c>
      <c r="L9" s="86">
        <v>6.7</v>
      </c>
      <c r="M9" s="86">
        <v>7.1</v>
      </c>
      <c r="N9" s="86">
        <v>8.1999999999999993</v>
      </c>
      <c r="O9" s="86">
        <v>6.6</v>
      </c>
      <c r="P9" s="86">
        <v>6.6</v>
      </c>
      <c r="Q9" s="86">
        <v>6.6</v>
      </c>
      <c r="R9" s="86">
        <v>7</v>
      </c>
      <c r="S9" s="86">
        <v>5.7</v>
      </c>
      <c r="T9" s="86">
        <v>10.6</v>
      </c>
      <c r="U9" s="86">
        <v>6</v>
      </c>
      <c r="V9" s="86">
        <v>6.2</v>
      </c>
      <c r="W9" s="86">
        <v>8.1999999999999993</v>
      </c>
      <c r="X9" s="86">
        <v>8.1999999999999993</v>
      </c>
      <c r="Y9" s="86">
        <v>6.6</v>
      </c>
      <c r="Z9" s="86">
        <v>11.2</v>
      </c>
      <c r="AA9" s="86">
        <v>8.1999999999999993</v>
      </c>
      <c r="AB9" s="86">
        <v>7.9</v>
      </c>
      <c r="AC9" s="86">
        <v>6.6</v>
      </c>
      <c r="AD9" s="86">
        <v>5.7</v>
      </c>
      <c r="AE9" s="86">
        <v>3.3</v>
      </c>
      <c r="AF9" s="106">
        <v>5.3</v>
      </c>
      <c r="AG9" s="103">
        <f t="shared" si="0"/>
        <v>215.29999999999993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6.2</v>
      </c>
      <c r="C12" s="86">
        <v>5.5</v>
      </c>
      <c r="D12" s="86">
        <v>5.2</v>
      </c>
      <c r="E12" s="86">
        <v>4.5</v>
      </c>
      <c r="F12" s="86">
        <v>4.5</v>
      </c>
      <c r="G12" s="86">
        <v>4.5999999999999996</v>
      </c>
      <c r="H12" s="86">
        <v>4.4000000000000004</v>
      </c>
      <c r="I12" s="86">
        <v>5</v>
      </c>
      <c r="J12" s="86">
        <v>4.5999999999999996</v>
      </c>
      <c r="K12" s="86">
        <v>3.9</v>
      </c>
      <c r="L12" s="86">
        <v>4.4000000000000004</v>
      </c>
      <c r="M12" s="86">
        <v>3.9</v>
      </c>
      <c r="N12" s="86">
        <v>5.0999999999999996</v>
      </c>
      <c r="O12" s="86">
        <v>4.5999999999999996</v>
      </c>
      <c r="P12" s="86">
        <v>5.6</v>
      </c>
      <c r="Q12" s="86">
        <v>0</v>
      </c>
      <c r="R12" s="86">
        <v>2.9</v>
      </c>
      <c r="S12" s="86">
        <v>1.1000000000000001</v>
      </c>
      <c r="T12" s="86">
        <v>1.8</v>
      </c>
      <c r="U12" s="86">
        <v>1.8</v>
      </c>
      <c r="V12" s="86">
        <v>1.2</v>
      </c>
      <c r="W12" s="86">
        <v>1.5</v>
      </c>
      <c r="X12" s="86">
        <v>2.1</v>
      </c>
      <c r="Y12" s="86">
        <v>2.1</v>
      </c>
      <c r="Z12" s="86">
        <v>4</v>
      </c>
      <c r="AA12" s="86">
        <v>2</v>
      </c>
      <c r="AB12" s="86">
        <v>2</v>
      </c>
      <c r="AC12" s="86">
        <v>3</v>
      </c>
      <c r="AD12" s="86">
        <v>1.5</v>
      </c>
      <c r="AE12" s="86">
        <v>1</v>
      </c>
      <c r="AF12" s="86">
        <v>2</v>
      </c>
      <c r="AG12" s="103">
        <f t="shared" si="0"/>
        <v>101.99999999999997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141" t="s">
        <v>71</v>
      </c>
      <c r="B14" s="86">
        <v>8.3000000000000007</v>
      </c>
      <c r="C14" s="86">
        <v>8.5</v>
      </c>
      <c r="D14" s="86">
        <v>7.5</v>
      </c>
      <c r="E14" s="86">
        <v>7.6</v>
      </c>
      <c r="F14" s="86">
        <v>11.1</v>
      </c>
      <c r="G14" s="86">
        <v>7.3</v>
      </c>
      <c r="H14" s="86">
        <v>11.4</v>
      </c>
      <c r="I14" s="86">
        <v>8.6</v>
      </c>
      <c r="J14" s="86">
        <v>12.5</v>
      </c>
      <c r="K14" s="86">
        <v>11.4</v>
      </c>
      <c r="L14" s="86">
        <v>12.6</v>
      </c>
      <c r="M14" s="86">
        <v>8.1</v>
      </c>
      <c r="N14" s="86">
        <v>11.5</v>
      </c>
      <c r="O14" s="86">
        <v>10.4</v>
      </c>
      <c r="P14" s="86">
        <v>7.6</v>
      </c>
      <c r="Q14" s="86">
        <v>9</v>
      </c>
      <c r="R14" s="86">
        <v>10.7</v>
      </c>
      <c r="S14" s="86">
        <v>12</v>
      </c>
      <c r="T14" s="86">
        <v>11.5</v>
      </c>
      <c r="U14" s="86">
        <v>8.6999999999999993</v>
      </c>
      <c r="V14" s="86">
        <v>9.3000000000000007</v>
      </c>
      <c r="W14" s="86">
        <v>8</v>
      </c>
      <c r="X14" s="86">
        <v>13.9</v>
      </c>
      <c r="Y14" s="106">
        <v>13.9</v>
      </c>
      <c r="Z14" s="106">
        <v>11.4</v>
      </c>
      <c r="AA14" s="106">
        <v>7.3</v>
      </c>
      <c r="AB14" s="106">
        <v>9.3000000000000007</v>
      </c>
      <c r="AC14" s="106">
        <v>6.2</v>
      </c>
      <c r="AD14" s="106">
        <v>6.6</v>
      </c>
      <c r="AE14" s="106">
        <v>9.6</v>
      </c>
      <c r="AF14" s="106">
        <v>9.6</v>
      </c>
      <c r="AG14" s="103">
        <f t="shared" si="0"/>
        <v>301.40000000000003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2.8</v>
      </c>
      <c r="C15" s="86">
        <v>3</v>
      </c>
      <c r="D15" s="86">
        <v>3.1</v>
      </c>
      <c r="E15" s="86">
        <v>4.3</v>
      </c>
      <c r="F15" s="86">
        <v>4.5</v>
      </c>
      <c r="G15" s="86">
        <v>4.0999999999999996</v>
      </c>
      <c r="H15" s="86">
        <v>2.2999999999999998</v>
      </c>
      <c r="I15" s="86">
        <v>2.9</v>
      </c>
      <c r="J15" s="86">
        <v>2.5</v>
      </c>
      <c r="K15" s="86">
        <v>2.2999999999999998</v>
      </c>
      <c r="L15" s="86">
        <v>2.7</v>
      </c>
      <c r="M15" s="86">
        <v>2.9</v>
      </c>
      <c r="N15" s="86">
        <v>3</v>
      </c>
      <c r="O15" s="86">
        <v>2.5</v>
      </c>
      <c r="P15" s="86">
        <v>3.5</v>
      </c>
      <c r="Q15" s="86">
        <v>3.5</v>
      </c>
      <c r="R15" s="86">
        <v>3.5</v>
      </c>
      <c r="S15" s="86">
        <v>5.5</v>
      </c>
      <c r="T15" s="86">
        <v>3.3</v>
      </c>
      <c r="U15" s="86">
        <v>3</v>
      </c>
      <c r="V15" s="86">
        <v>3.1</v>
      </c>
      <c r="W15" s="86">
        <v>3.3</v>
      </c>
      <c r="X15" s="86">
        <v>2.2999999999999998</v>
      </c>
      <c r="Y15" s="86">
        <v>2.8</v>
      </c>
      <c r="Z15" s="86">
        <v>2.9</v>
      </c>
      <c r="AA15" s="86">
        <v>3.1</v>
      </c>
      <c r="AB15" s="86">
        <v>4.2</v>
      </c>
      <c r="AC15" s="86">
        <v>4.5</v>
      </c>
      <c r="AD15" s="86">
        <v>5.0999999999999996</v>
      </c>
      <c r="AE15" s="86">
        <v>4.8</v>
      </c>
      <c r="AF15" s="86">
        <v>5.5</v>
      </c>
      <c r="AG15" s="103">
        <f t="shared" si="0"/>
        <v>106.79999999999997</v>
      </c>
      <c r="AH15" s="120"/>
      <c r="AI15" s="120"/>
    </row>
    <row r="16" spans="1:35" s="91" customFormat="1" ht="18.75" customHeight="1" x14ac:dyDescent="0.25">
      <c r="A16" s="62" t="s">
        <v>85</v>
      </c>
      <c r="B16" s="86">
        <v>4.5</v>
      </c>
      <c r="C16" s="86">
        <v>3.7</v>
      </c>
      <c r="D16" s="86">
        <v>3.2</v>
      </c>
      <c r="E16" s="86">
        <v>3.8</v>
      </c>
      <c r="F16" s="86">
        <v>3.2</v>
      </c>
      <c r="G16" s="86">
        <v>0</v>
      </c>
      <c r="H16" s="86">
        <v>4.8</v>
      </c>
      <c r="I16" s="86">
        <v>0</v>
      </c>
      <c r="J16" s="86">
        <v>5.2</v>
      </c>
      <c r="K16" s="86">
        <v>3</v>
      </c>
      <c r="L16" s="86">
        <v>3.5</v>
      </c>
      <c r="M16" s="86">
        <v>4.7</v>
      </c>
      <c r="N16" s="86">
        <v>1.1000000000000001</v>
      </c>
      <c r="O16" s="86">
        <v>3.9</v>
      </c>
      <c r="P16" s="86">
        <v>4.8</v>
      </c>
      <c r="Q16" s="86">
        <v>3.8</v>
      </c>
      <c r="R16" s="86">
        <v>6.1</v>
      </c>
      <c r="S16" s="86">
        <v>2.9</v>
      </c>
      <c r="T16" s="86">
        <v>4.8</v>
      </c>
      <c r="U16" s="86">
        <v>0</v>
      </c>
      <c r="V16" s="86">
        <v>5.2</v>
      </c>
      <c r="W16" s="86">
        <v>4.8</v>
      </c>
      <c r="X16" s="86">
        <v>2.9</v>
      </c>
      <c r="Y16" s="86">
        <v>31.5</v>
      </c>
      <c r="Z16" s="86">
        <v>1.6</v>
      </c>
      <c r="AA16" s="86">
        <v>3.8</v>
      </c>
      <c r="AB16" s="86">
        <v>1.8</v>
      </c>
      <c r="AC16" s="86">
        <v>3.9</v>
      </c>
      <c r="AD16" s="86">
        <v>4.8</v>
      </c>
      <c r="AE16" s="86">
        <v>6</v>
      </c>
      <c r="AF16" s="86">
        <v>6.8</v>
      </c>
      <c r="AG16" s="103">
        <f t="shared" si="0"/>
        <v>140.10000000000002</v>
      </c>
      <c r="AH16" s="120"/>
      <c r="AI16" s="120"/>
    </row>
    <row r="17" spans="1:35" s="91" customFormat="1" ht="18.75" customHeight="1" x14ac:dyDescent="0.25">
      <c r="A17" s="62" t="s">
        <v>195</v>
      </c>
      <c r="B17" s="86">
        <v>1.6</v>
      </c>
      <c r="C17" s="86">
        <v>1.3</v>
      </c>
      <c r="D17" s="86">
        <v>1.2</v>
      </c>
      <c r="E17" s="86">
        <v>1.5</v>
      </c>
      <c r="F17" s="86">
        <v>1.2</v>
      </c>
      <c r="G17" s="86">
        <v>1.3</v>
      </c>
      <c r="H17" s="86">
        <v>1.7</v>
      </c>
      <c r="I17" s="86">
        <v>1.4</v>
      </c>
      <c r="J17" s="86">
        <v>1.2</v>
      </c>
      <c r="K17" s="86">
        <v>1.4</v>
      </c>
      <c r="L17" s="86">
        <v>1.7</v>
      </c>
      <c r="M17" s="86">
        <v>1</v>
      </c>
      <c r="N17" s="86">
        <v>1.3</v>
      </c>
      <c r="O17" s="86">
        <v>1.6</v>
      </c>
      <c r="P17" s="86">
        <v>1.9</v>
      </c>
      <c r="Q17" s="86">
        <v>1.3</v>
      </c>
      <c r="R17" s="86">
        <v>2.8</v>
      </c>
      <c r="S17" s="86">
        <v>1.6</v>
      </c>
      <c r="T17" s="86">
        <v>1.5</v>
      </c>
      <c r="U17" s="86">
        <v>1.3</v>
      </c>
      <c r="V17" s="86">
        <v>1.2</v>
      </c>
      <c r="W17" s="86">
        <v>1.9</v>
      </c>
      <c r="X17" s="86">
        <v>0.6</v>
      </c>
      <c r="Y17" s="86">
        <v>1.8</v>
      </c>
      <c r="Z17" s="86">
        <v>1.2</v>
      </c>
      <c r="AA17" s="86">
        <v>1.6</v>
      </c>
      <c r="AB17" s="86">
        <v>1.7</v>
      </c>
      <c r="AC17" s="86">
        <v>1.4</v>
      </c>
      <c r="AD17" s="86">
        <v>1.3</v>
      </c>
      <c r="AE17" s="86">
        <v>1.6</v>
      </c>
      <c r="AF17" s="86">
        <v>0.9</v>
      </c>
      <c r="AG17" s="103">
        <f t="shared" si="0"/>
        <v>45.000000000000007</v>
      </c>
      <c r="AH17" s="120"/>
      <c r="AI17" s="120"/>
    </row>
    <row r="18" spans="1:35" s="91" customFormat="1" ht="18.75" customHeight="1" x14ac:dyDescent="0.25">
      <c r="A18" s="62" t="s">
        <v>73</v>
      </c>
      <c r="B18" s="86">
        <v>5.4</v>
      </c>
      <c r="C18" s="86">
        <v>4.3</v>
      </c>
      <c r="D18" s="86">
        <v>5.6</v>
      </c>
      <c r="E18" s="86">
        <v>6.2</v>
      </c>
      <c r="F18" s="86">
        <v>6.5</v>
      </c>
      <c r="G18" s="86">
        <v>4.3</v>
      </c>
      <c r="H18" s="86">
        <v>3.8</v>
      </c>
      <c r="I18" s="86">
        <v>4.0999999999999996</v>
      </c>
      <c r="J18" s="86">
        <v>4.5</v>
      </c>
      <c r="K18" s="86">
        <v>5.7</v>
      </c>
      <c r="L18" s="86">
        <v>4.5</v>
      </c>
      <c r="M18" s="86">
        <v>4.3</v>
      </c>
      <c r="N18" s="86">
        <v>3.9</v>
      </c>
      <c r="O18" s="86">
        <v>3.7</v>
      </c>
      <c r="P18" s="86">
        <v>3.5</v>
      </c>
      <c r="Q18" s="86">
        <v>4.5</v>
      </c>
      <c r="R18" s="86">
        <v>4.3</v>
      </c>
      <c r="S18" s="86">
        <v>4.9000000000000004</v>
      </c>
      <c r="T18" s="86">
        <v>5.6</v>
      </c>
      <c r="U18" s="86">
        <v>4.9000000000000004</v>
      </c>
      <c r="V18" s="86">
        <v>3.8</v>
      </c>
      <c r="W18" s="86">
        <v>6.5</v>
      </c>
      <c r="X18" s="86">
        <v>4.7</v>
      </c>
      <c r="Y18" s="86">
        <v>3.4</v>
      </c>
      <c r="Z18" s="86">
        <v>4.0999999999999996</v>
      </c>
      <c r="AA18" s="86">
        <v>3.9</v>
      </c>
      <c r="AB18" s="86">
        <v>4.3</v>
      </c>
      <c r="AC18" s="86">
        <v>2.2999999999999998</v>
      </c>
      <c r="AD18" s="86">
        <v>3.8</v>
      </c>
      <c r="AE18" s="86">
        <v>6.5</v>
      </c>
      <c r="AF18" s="86">
        <v>4.7</v>
      </c>
      <c r="AG18" s="103">
        <f t="shared" si="0"/>
        <v>142.5</v>
      </c>
      <c r="AH18" s="120"/>
      <c r="AI18" s="120"/>
    </row>
    <row r="19" spans="1:35" s="91" customFormat="1" ht="18.75" customHeight="1" x14ac:dyDescent="0.25">
      <c r="A19" s="62" t="s">
        <v>92</v>
      </c>
      <c r="B19" s="86">
        <v>2.2999999999999998</v>
      </c>
      <c r="C19" s="86">
        <v>3.2</v>
      </c>
      <c r="D19" s="86">
        <v>4.5</v>
      </c>
      <c r="E19" s="86">
        <v>2.1</v>
      </c>
      <c r="F19" s="86">
        <v>2.8</v>
      </c>
      <c r="G19" s="86">
        <v>3.2</v>
      </c>
      <c r="H19" s="86">
        <v>2.8</v>
      </c>
      <c r="I19" s="86">
        <v>3.5</v>
      </c>
      <c r="J19" s="86">
        <v>1.4</v>
      </c>
      <c r="K19" s="86">
        <v>4.5</v>
      </c>
      <c r="L19" s="86">
        <v>5.6</v>
      </c>
      <c r="M19" s="86">
        <v>2.2000000000000002</v>
      </c>
      <c r="N19" s="86">
        <v>2.9</v>
      </c>
      <c r="O19" s="86">
        <v>3.3</v>
      </c>
      <c r="P19" s="86">
        <v>2.9</v>
      </c>
      <c r="Q19" s="86">
        <v>4.4000000000000004</v>
      </c>
      <c r="R19" s="86">
        <v>2.9</v>
      </c>
      <c r="S19" s="86">
        <v>4.3</v>
      </c>
      <c r="T19" s="86">
        <v>4.9000000000000004</v>
      </c>
      <c r="U19" s="86">
        <v>4.3</v>
      </c>
      <c r="V19" s="86">
        <v>4.5</v>
      </c>
      <c r="W19" s="86">
        <v>2.2999999999999998</v>
      </c>
      <c r="X19" s="86">
        <v>2.5</v>
      </c>
      <c r="Y19" s="86">
        <v>2.5</v>
      </c>
      <c r="Z19" s="86">
        <v>3.8</v>
      </c>
      <c r="AA19" s="86">
        <v>3.2</v>
      </c>
      <c r="AB19" s="86">
        <v>3.2</v>
      </c>
      <c r="AC19" s="86">
        <v>2.5</v>
      </c>
      <c r="AD19" s="86">
        <v>4.5</v>
      </c>
      <c r="AE19" s="86">
        <v>2.2999999999999998</v>
      </c>
      <c r="AF19" s="86">
        <v>2.5</v>
      </c>
      <c r="AG19" s="103">
        <f t="shared" si="0"/>
        <v>101.79999999999998</v>
      </c>
      <c r="AH19" s="120"/>
      <c r="AI19" s="120"/>
    </row>
    <row r="20" spans="1:35" s="91" customFormat="1" ht="18.75" customHeight="1" x14ac:dyDescent="0.25">
      <c r="A20" s="62" t="s">
        <v>89</v>
      </c>
      <c r="B20" s="86">
        <f>SUM(3+2.8)</f>
        <v>5.8</v>
      </c>
      <c r="C20" s="86">
        <v>5</v>
      </c>
      <c r="D20" s="86">
        <v>5.8</v>
      </c>
      <c r="E20" s="86">
        <v>5</v>
      </c>
      <c r="F20" s="86">
        <v>7.5</v>
      </c>
      <c r="G20" s="86">
        <v>5.6</v>
      </c>
      <c r="H20" s="86">
        <v>5.8</v>
      </c>
      <c r="I20" s="86">
        <v>7</v>
      </c>
      <c r="J20" s="86">
        <v>5</v>
      </c>
      <c r="K20" s="86">
        <v>6</v>
      </c>
      <c r="L20" s="86">
        <v>5</v>
      </c>
      <c r="M20" s="86">
        <v>6.5</v>
      </c>
      <c r="N20" s="86">
        <v>6</v>
      </c>
      <c r="O20" s="86">
        <v>8</v>
      </c>
      <c r="P20" s="86">
        <v>6</v>
      </c>
      <c r="Q20" s="86">
        <v>4.5</v>
      </c>
      <c r="R20" s="86">
        <v>3.5</v>
      </c>
      <c r="S20" s="86">
        <v>7</v>
      </c>
      <c r="T20" s="86">
        <v>3.5</v>
      </c>
      <c r="U20" s="86">
        <v>5.7</v>
      </c>
      <c r="V20" s="86">
        <v>5</v>
      </c>
      <c r="W20" s="86">
        <v>6</v>
      </c>
      <c r="X20" s="86">
        <v>6.5</v>
      </c>
      <c r="Y20" s="86">
        <v>4</v>
      </c>
      <c r="Z20" s="86">
        <v>5.5</v>
      </c>
      <c r="AA20" s="86">
        <v>4.5</v>
      </c>
      <c r="AB20" s="86">
        <v>6</v>
      </c>
      <c r="AC20" s="86" t="s">
        <v>221</v>
      </c>
      <c r="AD20" s="86">
        <v>5.5</v>
      </c>
      <c r="AE20" s="86">
        <v>4.5</v>
      </c>
      <c r="AF20" s="86">
        <v>4.8</v>
      </c>
      <c r="AG20" s="103">
        <f t="shared" si="0"/>
        <v>166.5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6.1</v>
      </c>
      <c r="C21" s="86">
        <v>7.6</v>
      </c>
      <c r="D21" s="86">
        <v>4.5</v>
      </c>
      <c r="E21" s="86">
        <v>6.1</v>
      </c>
      <c r="F21" s="86">
        <v>6.1</v>
      </c>
      <c r="G21" s="86">
        <v>5.6</v>
      </c>
      <c r="H21" s="86">
        <v>8.1999999999999993</v>
      </c>
      <c r="I21" s="86">
        <v>6</v>
      </c>
      <c r="J21" s="86">
        <v>6.5</v>
      </c>
      <c r="K21" s="86">
        <v>6.1</v>
      </c>
      <c r="L21" s="86">
        <v>5.9</v>
      </c>
      <c r="M21" s="86">
        <v>7.6</v>
      </c>
      <c r="N21" s="86">
        <v>4.3</v>
      </c>
      <c r="O21" s="86">
        <v>6.5</v>
      </c>
      <c r="P21" s="86">
        <v>5.9</v>
      </c>
      <c r="Q21" s="86">
        <v>4.7</v>
      </c>
      <c r="R21" s="86">
        <v>3.9</v>
      </c>
      <c r="S21" s="86">
        <v>3.4</v>
      </c>
      <c r="T21" s="86">
        <v>4.3</v>
      </c>
      <c r="U21" s="86">
        <v>5.2</v>
      </c>
      <c r="V21" s="86">
        <v>4.7</v>
      </c>
      <c r="W21" s="86">
        <v>5.9</v>
      </c>
      <c r="X21" s="86">
        <v>3.7</v>
      </c>
      <c r="Y21" s="86">
        <v>5.4</v>
      </c>
      <c r="Z21" s="140">
        <v>4.3</v>
      </c>
      <c r="AA21" s="86">
        <v>4.4000000000000004</v>
      </c>
      <c r="AB21" s="140">
        <v>3.9</v>
      </c>
      <c r="AC21" s="86">
        <v>4.3</v>
      </c>
      <c r="AD21" s="86">
        <v>3.6</v>
      </c>
      <c r="AE21" s="86">
        <v>5.9</v>
      </c>
      <c r="AF21" s="86">
        <v>5</v>
      </c>
      <c r="AG21" s="132">
        <f t="shared" si="0"/>
        <v>165.60000000000005</v>
      </c>
      <c r="AH21" s="120"/>
      <c r="AI21" s="120"/>
    </row>
    <row r="22" spans="1:35" s="91" customFormat="1" ht="18.75" customHeight="1" x14ac:dyDescent="0.25">
      <c r="A22" s="62" t="s">
        <v>75</v>
      </c>
      <c r="B22" s="86">
        <v>0.9</v>
      </c>
      <c r="C22" s="86">
        <v>1.5</v>
      </c>
      <c r="D22" s="86">
        <v>2</v>
      </c>
      <c r="E22" s="86">
        <v>0.8</v>
      </c>
      <c r="F22" s="86">
        <v>1</v>
      </c>
      <c r="G22" s="86">
        <v>0</v>
      </c>
      <c r="H22" s="86">
        <v>0.9</v>
      </c>
      <c r="I22" s="86">
        <v>0</v>
      </c>
      <c r="J22" s="86">
        <v>1</v>
      </c>
      <c r="K22" s="86">
        <v>2</v>
      </c>
      <c r="L22" s="86">
        <v>0.9</v>
      </c>
      <c r="M22" s="86">
        <v>0.7</v>
      </c>
      <c r="N22" s="86">
        <v>0</v>
      </c>
      <c r="O22" s="86">
        <v>1.6</v>
      </c>
      <c r="P22" s="86">
        <v>2.8</v>
      </c>
      <c r="Q22" s="86">
        <v>0.6</v>
      </c>
      <c r="R22" s="86">
        <v>1.6</v>
      </c>
      <c r="S22" s="86">
        <v>2.9</v>
      </c>
      <c r="T22" s="86">
        <v>1.4</v>
      </c>
      <c r="U22" s="86">
        <v>0</v>
      </c>
      <c r="V22" s="86">
        <v>1.2</v>
      </c>
      <c r="W22" s="86">
        <v>3</v>
      </c>
      <c r="X22" s="86">
        <v>2.8</v>
      </c>
      <c r="Y22" s="86">
        <v>3.1</v>
      </c>
      <c r="Z22" s="86">
        <v>0</v>
      </c>
      <c r="AA22" s="86">
        <v>2.5</v>
      </c>
      <c r="AB22" s="86">
        <v>0</v>
      </c>
      <c r="AC22" s="86">
        <v>1.9</v>
      </c>
      <c r="AD22" s="86">
        <v>2.7</v>
      </c>
      <c r="AE22" s="86">
        <v>2.2000000000000002</v>
      </c>
      <c r="AF22" s="86">
        <v>0.7</v>
      </c>
      <c r="AG22" s="103">
        <f t="shared" si="0"/>
        <v>42.70000000000001</v>
      </c>
      <c r="AH22" s="120"/>
      <c r="AI22" s="120"/>
    </row>
    <row r="23" spans="1:35" s="91" customFormat="1" ht="18.75" customHeight="1" x14ac:dyDescent="0.25">
      <c r="A23" s="62" t="s">
        <v>77</v>
      </c>
      <c r="B23" s="131">
        <v>3.2</v>
      </c>
      <c r="C23" s="131">
        <v>3</v>
      </c>
      <c r="D23" s="131">
        <v>2.5</v>
      </c>
      <c r="E23" s="131">
        <v>2</v>
      </c>
      <c r="F23" s="131">
        <v>2.9</v>
      </c>
      <c r="G23" s="131">
        <v>3.4</v>
      </c>
      <c r="H23" s="131">
        <v>3</v>
      </c>
      <c r="I23" s="131">
        <v>3.9</v>
      </c>
      <c r="J23" s="131">
        <v>3.5</v>
      </c>
      <c r="K23" s="131">
        <v>3.4</v>
      </c>
      <c r="L23" s="131">
        <v>2.8</v>
      </c>
      <c r="M23" s="131">
        <v>2.5</v>
      </c>
      <c r="N23" s="131">
        <v>3.2</v>
      </c>
      <c r="O23" s="131">
        <v>2.2000000000000002</v>
      </c>
      <c r="P23" s="131">
        <v>3</v>
      </c>
      <c r="Q23" s="131">
        <v>2.9</v>
      </c>
      <c r="R23" s="131">
        <v>3.2</v>
      </c>
      <c r="S23" s="131">
        <v>3.5</v>
      </c>
      <c r="T23" s="131">
        <v>3.8</v>
      </c>
      <c r="U23" s="131">
        <v>2.9</v>
      </c>
      <c r="V23" s="131">
        <v>3.2</v>
      </c>
      <c r="W23" s="131">
        <v>3</v>
      </c>
      <c r="X23" s="131">
        <v>3.9</v>
      </c>
      <c r="Y23" s="131">
        <v>2.5</v>
      </c>
      <c r="Z23" s="131">
        <v>3.9</v>
      </c>
      <c r="AA23" s="131">
        <v>3.5</v>
      </c>
      <c r="AB23" s="131">
        <v>3.3</v>
      </c>
      <c r="AC23" s="131">
        <v>3.4</v>
      </c>
      <c r="AD23" s="131">
        <v>3</v>
      </c>
      <c r="AE23" s="131">
        <v>3.9</v>
      </c>
      <c r="AF23" s="131">
        <v>2.8</v>
      </c>
      <c r="AG23" s="103">
        <f t="shared" si="0"/>
        <v>97.200000000000017</v>
      </c>
      <c r="AH23" s="120"/>
      <c r="AI23" s="120"/>
    </row>
    <row r="24" spans="1:35" s="91" customFormat="1" ht="18.75" customHeight="1" x14ac:dyDescent="0.25">
      <c r="A24" s="62" t="s">
        <v>78</v>
      </c>
      <c r="B24" s="86">
        <v>5</v>
      </c>
      <c r="C24" s="86">
        <v>6</v>
      </c>
      <c r="D24" s="86">
        <v>5</v>
      </c>
      <c r="E24" s="86">
        <v>3</v>
      </c>
      <c r="F24" s="86">
        <v>7</v>
      </c>
      <c r="G24" s="86">
        <v>6</v>
      </c>
      <c r="H24" s="86">
        <v>6</v>
      </c>
      <c r="I24" s="86">
        <v>5</v>
      </c>
      <c r="J24" s="86">
        <v>7</v>
      </c>
      <c r="K24" s="86">
        <v>5</v>
      </c>
      <c r="L24" s="86">
        <v>7</v>
      </c>
      <c r="M24" s="86">
        <v>6</v>
      </c>
      <c r="N24" s="86">
        <v>7</v>
      </c>
      <c r="O24" s="86">
        <v>7</v>
      </c>
      <c r="P24" s="86">
        <v>5</v>
      </c>
      <c r="Q24" s="86">
        <v>7</v>
      </c>
      <c r="R24" s="86">
        <v>6</v>
      </c>
      <c r="S24" s="86">
        <v>7</v>
      </c>
      <c r="T24" s="86">
        <v>6</v>
      </c>
      <c r="U24" s="86">
        <v>7</v>
      </c>
      <c r="V24" s="86">
        <v>7</v>
      </c>
      <c r="W24" s="86">
        <v>7</v>
      </c>
      <c r="X24" s="86">
        <v>6</v>
      </c>
      <c r="Y24" s="86">
        <v>7</v>
      </c>
      <c r="Z24" s="86">
        <v>7</v>
      </c>
      <c r="AA24" s="86">
        <v>7</v>
      </c>
      <c r="AB24" s="86">
        <v>5</v>
      </c>
      <c r="AC24" s="86">
        <v>7</v>
      </c>
      <c r="AD24" s="86">
        <v>7</v>
      </c>
      <c r="AE24" s="86">
        <v>6</v>
      </c>
      <c r="AF24" s="86">
        <v>7</v>
      </c>
      <c r="AG24" s="103">
        <f t="shared" si="0"/>
        <v>193</v>
      </c>
      <c r="AH24" s="120"/>
      <c r="AI24" s="120"/>
    </row>
    <row r="25" spans="1:35" s="91" customFormat="1" ht="18.75" customHeight="1" x14ac:dyDescent="0.25">
      <c r="A25" s="62" t="s">
        <v>79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103">
        <f t="shared" si="0"/>
        <v>0</v>
      </c>
      <c r="AH25" s="120"/>
      <c r="AI25" s="120"/>
    </row>
    <row r="26" spans="1:35" s="91" customFormat="1" ht="18.75" customHeight="1" x14ac:dyDescent="0.25">
      <c r="A26" s="62" t="s">
        <v>154</v>
      </c>
      <c r="B26" s="106">
        <v>2.1</v>
      </c>
      <c r="C26" s="106">
        <v>2</v>
      </c>
      <c r="D26" s="106">
        <v>2</v>
      </c>
      <c r="E26" s="106">
        <v>2.5</v>
      </c>
      <c r="F26" s="106">
        <v>2.2999999999999998</v>
      </c>
      <c r="G26" s="106">
        <v>2.5</v>
      </c>
      <c r="H26" s="106">
        <v>2</v>
      </c>
      <c r="I26" s="106">
        <v>3</v>
      </c>
      <c r="J26" s="106">
        <v>3.1</v>
      </c>
      <c r="K26" s="106">
        <v>3.1</v>
      </c>
      <c r="L26" s="106">
        <v>3</v>
      </c>
      <c r="M26" s="106">
        <v>3</v>
      </c>
      <c r="N26" s="106">
        <v>3.2</v>
      </c>
      <c r="O26" s="106">
        <v>2.8</v>
      </c>
      <c r="P26" s="106">
        <v>2.5</v>
      </c>
      <c r="Q26" s="106">
        <v>2.2999999999999998</v>
      </c>
      <c r="R26" s="106">
        <v>2.8</v>
      </c>
      <c r="S26" s="106">
        <v>3.3</v>
      </c>
      <c r="T26" s="106">
        <v>4</v>
      </c>
      <c r="U26" s="106">
        <v>0</v>
      </c>
      <c r="V26" s="106">
        <v>2.1</v>
      </c>
      <c r="W26" s="106">
        <v>2.1</v>
      </c>
      <c r="X26" s="106">
        <v>2.1</v>
      </c>
      <c r="Y26" s="106">
        <v>2.1</v>
      </c>
      <c r="Z26" s="106">
        <v>2.1</v>
      </c>
      <c r="AA26" s="106">
        <v>3.1</v>
      </c>
      <c r="AB26" s="106">
        <v>3.4</v>
      </c>
      <c r="AC26" s="106">
        <v>3.1</v>
      </c>
      <c r="AD26" s="106">
        <v>2.1</v>
      </c>
      <c r="AE26" s="106">
        <v>2.2000000000000002</v>
      </c>
      <c r="AF26" s="106">
        <v>2.4</v>
      </c>
      <c r="AG26" s="103">
        <f t="shared" si="0"/>
        <v>78.3</v>
      </c>
      <c r="AH26" s="120"/>
      <c r="AI26" s="120"/>
    </row>
    <row r="27" spans="1:35" s="91" customFormat="1" ht="18.75" customHeight="1" x14ac:dyDescent="0.25">
      <c r="A27" s="62" t="s">
        <v>80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86">
        <v>4.7</v>
      </c>
      <c r="C28" s="86">
        <v>3.3</v>
      </c>
      <c r="D28" s="86">
        <v>4</v>
      </c>
      <c r="E28" s="86">
        <v>5.0999999999999996</v>
      </c>
      <c r="F28" s="86">
        <v>6.4</v>
      </c>
      <c r="G28" s="86">
        <v>3.9</v>
      </c>
      <c r="H28" s="86">
        <v>5.5</v>
      </c>
      <c r="I28" s="86">
        <v>4.5999999999999996</v>
      </c>
      <c r="J28" s="86">
        <v>4.2</v>
      </c>
      <c r="K28" s="86">
        <v>5.2</v>
      </c>
      <c r="L28" s="86">
        <v>3.9</v>
      </c>
      <c r="M28" s="86">
        <v>3</v>
      </c>
      <c r="N28" s="86">
        <v>4.3</v>
      </c>
      <c r="O28" s="86">
        <v>5.5</v>
      </c>
      <c r="P28" s="86">
        <v>6.4</v>
      </c>
      <c r="Q28" s="86">
        <v>6.5</v>
      </c>
      <c r="R28" s="86">
        <v>6.1</v>
      </c>
      <c r="S28" s="86">
        <v>6.3</v>
      </c>
      <c r="T28" s="86">
        <v>5.6</v>
      </c>
      <c r="U28" s="86">
        <v>5.9</v>
      </c>
      <c r="V28" s="86">
        <v>5.6</v>
      </c>
      <c r="W28" s="86">
        <v>5.9</v>
      </c>
      <c r="X28" s="86">
        <v>4.5999999999999996</v>
      </c>
      <c r="Y28" s="86">
        <v>5.4</v>
      </c>
      <c r="Z28" s="140">
        <v>4.3</v>
      </c>
      <c r="AA28" s="86">
        <v>3.9</v>
      </c>
      <c r="AB28" s="140">
        <v>3.7</v>
      </c>
      <c r="AC28" s="86">
        <v>4.5</v>
      </c>
      <c r="AD28" s="86">
        <v>2.8</v>
      </c>
      <c r="AE28" s="86">
        <v>3.5</v>
      </c>
      <c r="AF28" s="88">
        <v>3.5</v>
      </c>
      <c r="AG28" s="103">
        <f t="shared" si="0"/>
        <v>148.1</v>
      </c>
      <c r="AH28" s="120"/>
      <c r="AI28" s="120"/>
    </row>
    <row r="29" spans="1:35" s="91" customFormat="1" ht="18.75" customHeight="1" x14ac:dyDescent="0.25">
      <c r="A29" s="62" t="s">
        <v>81</v>
      </c>
      <c r="B29" s="106">
        <v>11.2</v>
      </c>
      <c r="C29" s="106">
        <v>4</v>
      </c>
      <c r="D29" s="106">
        <v>11.5</v>
      </c>
      <c r="E29" s="106">
        <v>10.5</v>
      </c>
      <c r="F29" s="106">
        <v>10.3</v>
      </c>
      <c r="G29" s="106">
        <v>13.7</v>
      </c>
      <c r="H29" s="106">
        <v>11.4</v>
      </c>
      <c r="I29" s="106">
        <v>10.4</v>
      </c>
      <c r="J29" s="106">
        <v>10.3</v>
      </c>
      <c r="K29" s="106">
        <v>9.5</v>
      </c>
      <c r="L29" s="106">
        <v>11.4</v>
      </c>
      <c r="M29" s="106">
        <v>10</v>
      </c>
      <c r="N29" s="106">
        <v>8.9</v>
      </c>
      <c r="O29" s="106">
        <v>10.6</v>
      </c>
      <c r="P29" s="106">
        <v>9.1999999999999993</v>
      </c>
      <c r="Q29" s="106">
        <v>5.4</v>
      </c>
      <c r="R29" s="106">
        <v>11.9</v>
      </c>
      <c r="S29" s="106">
        <v>10.3</v>
      </c>
      <c r="T29" s="106">
        <v>11.3</v>
      </c>
      <c r="U29" s="106">
        <v>11.6</v>
      </c>
      <c r="V29" s="106">
        <v>10.7</v>
      </c>
      <c r="W29" s="106">
        <v>12.4</v>
      </c>
      <c r="X29" s="106">
        <v>9.9</v>
      </c>
      <c r="Y29" s="106">
        <v>10.9</v>
      </c>
      <c r="Z29" s="106">
        <v>13</v>
      </c>
      <c r="AA29" s="106">
        <v>8.6999999999999993</v>
      </c>
      <c r="AB29" s="106">
        <v>9.8000000000000007</v>
      </c>
      <c r="AC29" s="106">
        <v>10.6</v>
      </c>
      <c r="AD29" s="106">
        <v>9.6</v>
      </c>
      <c r="AE29" s="106">
        <v>11.4</v>
      </c>
      <c r="AF29" s="88">
        <v>11.8</v>
      </c>
      <c r="AG29" s="103">
        <f t="shared" si="0"/>
        <v>322.2000000000001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3.8</v>
      </c>
      <c r="C31" s="106">
        <v>4.3</v>
      </c>
      <c r="D31" s="106">
        <v>5.8</v>
      </c>
      <c r="E31" s="106">
        <v>3.9</v>
      </c>
      <c r="F31" s="106">
        <v>4.5</v>
      </c>
      <c r="G31" s="106">
        <v>5.0999999999999996</v>
      </c>
      <c r="H31" s="106">
        <v>3.7</v>
      </c>
      <c r="I31" s="106">
        <v>4.0999999999999996</v>
      </c>
      <c r="J31" s="106">
        <v>5.5</v>
      </c>
      <c r="K31" s="106">
        <v>4</v>
      </c>
      <c r="L31" s="106">
        <v>3.9</v>
      </c>
      <c r="M31" s="106">
        <v>2</v>
      </c>
      <c r="N31" s="106">
        <v>2.5</v>
      </c>
      <c r="O31" s="106">
        <v>2.2000000000000002</v>
      </c>
      <c r="P31" s="106">
        <v>1.9</v>
      </c>
      <c r="Q31" s="106">
        <v>3.1</v>
      </c>
      <c r="R31" s="106">
        <v>3</v>
      </c>
      <c r="S31" s="106">
        <v>4.5</v>
      </c>
      <c r="T31" s="106">
        <v>2.9</v>
      </c>
      <c r="U31" s="106">
        <v>1.8</v>
      </c>
      <c r="V31" s="106">
        <v>4</v>
      </c>
      <c r="W31" s="106">
        <v>3</v>
      </c>
      <c r="X31" s="106">
        <v>3.8</v>
      </c>
      <c r="Y31" s="106">
        <v>3.1</v>
      </c>
      <c r="Z31" s="106">
        <v>3</v>
      </c>
      <c r="AA31" s="106">
        <v>4</v>
      </c>
      <c r="AB31" s="106">
        <v>3.5</v>
      </c>
      <c r="AC31" s="106">
        <v>3.8</v>
      </c>
      <c r="AD31" s="106">
        <v>2.9</v>
      </c>
      <c r="AE31" s="106">
        <v>4.0999999999999996</v>
      </c>
      <c r="AF31" s="88">
        <v>4</v>
      </c>
      <c r="AG31" s="103">
        <f t="shared" si="0"/>
        <v>111.69999999999999</v>
      </c>
      <c r="AH31" s="120"/>
      <c r="AI31" s="120"/>
    </row>
    <row r="32" spans="1:35" s="91" customFormat="1" ht="18.75" customHeight="1" x14ac:dyDescent="0.25">
      <c r="A32" s="62" t="s">
        <v>179</v>
      </c>
      <c r="B32" s="106">
        <v>0.2</v>
      </c>
      <c r="C32" s="106">
        <v>0.2</v>
      </c>
      <c r="D32" s="106">
        <v>0.3</v>
      </c>
      <c r="E32" s="106">
        <v>0.2</v>
      </c>
      <c r="F32" s="106">
        <v>0.3</v>
      </c>
      <c r="G32" s="106">
        <v>0.4</v>
      </c>
      <c r="H32" s="106">
        <v>0.2</v>
      </c>
      <c r="I32" s="106">
        <v>0.3</v>
      </c>
      <c r="J32" s="106">
        <v>0.3</v>
      </c>
      <c r="K32" s="106">
        <v>0.2</v>
      </c>
      <c r="L32" s="106">
        <v>0.4</v>
      </c>
      <c r="M32" s="106">
        <v>0.3</v>
      </c>
      <c r="N32" s="106">
        <v>0.2</v>
      </c>
      <c r="O32" s="106">
        <v>0.3</v>
      </c>
      <c r="P32" s="106">
        <v>0.4</v>
      </c>
      <c r="Q32" s="106">
        <v>0.2</v>
      </c>
      <c r="R32" s="106">
        <v>0.4</v>
      </c>
      <c r="S32" s="106">
        <v>0.3</v>
      </c>
      <c r="T32" s="106">
        <v>0.2</v>
      </c>
      <c r="U32" s="106">
        <v>0.3</v>
      </c>
      <c r="V32" s="106">
        <v>0.4</v>
      </c>
      <c r="W32" s="106">
        <v>0.5</v>
      </c>
      <c r="X32" s="106">
        <v>0.4</v>
      </c>
      <c r="Y32" s="106">
        <v>0.4</v>
      </c>
      <c r="Z32" s="106">
        <v>0.3</v>
      </c>
      <c r="AA32" s="106">
        <v>0.4</v>
      </c>
      <c r="AB32" s="106">
        <v>0.4</v>
      </c>
      <c r="AC32" s="106">
        <v>0.3</v>
      </c>
      <c r="AD32" s="106">
        <v>0.3</v>
      </c>
      <c r="AE32" s="106">
        <v>0.3</v>
      </c>
      <c r="AF32" s="88">
        <v>0.2</v>
      </c>
      <c r="AG32" s="103">
        <f t="shared" si="0"/>
        <v>9.5000000000000036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99.5</v>
      </c>
      <c r="C33" s="87">
        <f t="shared" ref="C33:AF33" si="1">SUM(C3:C32)</f>
        <v>91</v>
      </c>
      <c r="D33" s="87">
        <f t="shared" si="1"/>
        <v>103.5</v>
      </c>
      <c r="E33" s="87">
        <f t="shared" si="1"/>
        <v>99.6</v>
      </c>
      <c r="F33" s="87">
        <f t="shared" si="1"/>
        <v>107.89999999999999</v>
      </c>
      <c r="G33" s="87">
        <f t="shared" si="1"/>
        <v>93.8</v>
      </c>
      <c r="H33" s="87">
        <f t="shared" si="1"/>
        <v>112.2</v>
      </c>
      <c r="I33" s="87">
        <f t="shared" si="1"/>
        <v>95.499999999999986</v>
      </c>
      <c r="J33" s="87">
        <f t="shared" si="1"/>
        <v>106.39999999999999</v>
      </c>
      <c r="K33" s="87">
        <f t="shared" si="1"/>
        <v>107.69999999999999</v>
      </c>
      <c r="L33" s="87">
        <f t="shared" si="1"/>
        <v>105.20000000000003</v>
      </c>
      <c r="M33" s="87">
        <f t="shared" si="1"/>
        <v>97.4</v>
      </c>
      <c r="N33" s="87">
        <f t="shared" si="1"/>
        <v>95.7</v>
      </c>
      <c r="O33" s="87">
        <f t="shared" si="1"/>
        <v>107.79999999999998</v>
      </c>
      <c r="P33" s="87">
        <f t="shared" si="1"/>
        <v>102.70000000000002</v>
      </c>
      <c r="Q33" s="87">
        <f t="shared" si="1"/>
        <v>96.399999999999991</v>
      </c>
      <c r="R33" s="87">
        <f t="shared" si="1"/>
        <v>108.39999999999999</v>
      </c>
      <c r="S33" s="87">
        <f t="shared" si="1"/>
        <v>109.6</v>
      </c>
      <c r="T33" s="87">
        <f t="shared" si="1"/>
        <v>112.89999999999999</v>
      </c>
      <c r="U33" s="87">
        <f t="shared" si="1"/>
        <v>91.899999999999991</v>
      </c>
      <c r="V33" s="87">
        <f t="shared" si="1"/>
        <v>104</v>
      </c>
      <c r="W33" s="87">
        <f t="shared" si="1"/>
        <v>110.5</v>
      </c>
      <c r="X33" s="87">
        <f t="shared" si="1"/>
        <v>104.9</v>
      </c>
      <c r="Y33" s="87">
        <f t="shared" si="1"/>
        <v>129.00000000000003</v>
      </c>
      <c r="Z33" s="87">
        <f t="shared" si="1"/>
        <v>100.2</v>
      </c>
      <c r="AA33" s="87">
        <f t="shared" si="1"/>
        <v>95.100000000000009</v>
      </c>
      <c r="AB33" s="87">
        <f t="shared" si="1"/>
        <v>90.600000000000023</v>
      </c>
      <c r="AC33" s="87">
        <f t="shared" si="1"/>
        <v>87.899999999999977</v>
      </c>
      <c r="AD33" s="87">
        <f t="shared" si="1"/>
        <v>99.299999999999983</v>
      </c>
      <c r="AE33" s="87">
        <f t="shared" si="1"/>
        <v>103.10000000000001</v>
      </c>
      <c r="AF33" s="87">
        <f t="shared" si="1"/>
        <v>103.10000000000001</v>
      </c>
      <c r="AG33" s="105">
        <f t="shared" si="0"/>
        <v>3172.8</v>
      </c>
      <c r="AH33" s="134"/>
      <c r="AI33" s="134"/>
    </row>
    <row r="34" spans="1:35" s="91" customFormat="1" x14ac:dyDescent="0.25">
      <c r="A34" s="136"/>
      <c r="AG34" s="24">
        <f>SUM(AG3:AG31)</f>
        <v>3163.3</v>
      </c>
    </row>
  </sheetData>
  <mergeCells count="1">
    <mergeCell ref="A1:AG1"/>
  </mergeCells>
  <conditionalFormatting sqref="AG33">
    <cfRule type="cellIs" dxfId="3" priority="2" operator="equal">
      <formula>$AG$34</formula>
    </cfRule>
  </conditionalFormatting>
  <conditionalFormatting sqref="AG34">
    <cfRule type="cellIs" dxfId="2" priority="1" operator="equal">
      <formula>$AG$33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6.710937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2" si="0">SUM(B3:AF3)</f>
        <v>0</v>
      </c>
      <c r="AH3" s="47"/>
      <c r="AI3" s="48"/>
    </row>
    <row r="4" spans="1:35" s="44" customFormat="1" ht="37.5" customHeight="1" x14ac:dyDescent="0.35">
      <c r="A4" s="60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235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1"/>
      <c r="G21" s="51"/>
      <c r="H21" s="51"/>
      <c r="I21" s="51"/>
      <c r="J21" s="51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0"/>
      <c r="C29" s="51"/>
      <c r="D29" s="51"/>
      <c r="E29" s="51"/>
      <c r="F29" s="51"/>
      <c r="G29" s="51"/>
      <c r="H29" s="51"/>
      <c r="I29" s="51"/>
      <c r="J29" s="51"/>
      <c r="K29" s="114"/>
      <c r="L29" s="114"/>
      <c r="M29" s="52"/>
      <c r="N29" s="114"/>
      <c r="O29" s="52"/>
      <c r="P29" s="114"/>
      <c r="Q29" s="52"/>
      <c r="R29" s="52"/>
      <c r="S29" s="52"/>
      <c r="T29" s="114"/>
      <c r="U29" s="52"/>
      <c r="V29" s="114"/>
      <c r="W29" s="114"/>
      <c r="X29" s="52"/>
      <c r="Y29" s="52"/>
      <c r="Z29" s="52"/>
      <c r="AA29" s="52"/>
      <c r="AB29" s="52"/>
      <c r="AC29" s="52"/>
      <c r="AD29" s="114"/>
      <c r="AE29" s="114"/>
      <c r="AF29" s="11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0</v>
      </c>
      <c r="C33" s="51">
        <f t="shared" si="1"/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SUM(AG3:AG32)</f>
        <v>0</v>
      </c>
    </row>
    <row r="35" spans="1:35" s="2" customFormat="1" x14ac:dyDescent="0.25"/>
    <row r="36" spans="1:35" s="2" customFormat="1" x14ac:dyDescent="0.25"/>
    <row r="37" spans="1:35" s="2" customFormat="1" ht="21" x14ac:dyDescent="0.35">
      <c r="AG37" s="150"/>
    </row>
    <row r="38" spans="1:35" s="2" customFormat="1" ht="21" x14ac:dyDescent="0.35">
      <c r="AG38" s="150"/>
    </row>
    <row r="39" spans="1:35" s="2" customFormat="1" ht="21" x14ac:dyDescent="0.35">
      <c r="AG39" s="150"/>
    </row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>
        <v>1.7</v>
      </c>
      <c r="C3" s="88">
        <v>1.4</v>
      </c>
      <c r="D3" s="85">
        <v>1.6</v>
      </c>
      <c r="E3" s="85">
        <v>1.2</v>
      </c>
      <c r="F3" s="85">
        <v>1.9</v>
      </c>
      <c r="G3" s="86">
        <v>1.4</v>
      </c>
      <c r="H3" s="85">
        <v>1.8</v>
      </c>
      <c r="I3" s="86">
        <v>0.9</v>
      </c>
      <c r="J3" s="85">
        <v>3.6</v>
      </c>
      <c r="K3" s="86">
        <v>2.4</v>
      </c>
      <c r="L3" s="85">
        <v>0.8</v>
      </c>
      <c r="M3" s="86">
        <v>1.3</v>
      </c>
      <c r="N3" s="85">
        <v>1.2</v>
      </c>
      <c r="O3" s="85">
        <v>1.2</v>
      </c>
      <c r="P3" s="86">
        <v>1.6</v>
      </c>
      <c r="Q3" s="85">
        <v>1.3</v>
      </c>
      <c r="R3" s="85">
        <v>0.3</v>
      </c>
      <c r="S3" s="86">
        <v>0.5</v>
      </c>
      <c r="T3" s="86">
        <v>1.4</v>
      </c>
      <c r="U3" s="86">
        <v>1.9</v>
      </c>
      <c r="V3" s="86">
        <v>2.4</v>
      </c>
      <c r="W3" s="85">
        <v>2.1</v>
      </c>
      <c r="X3" s="85">
        <v>2.2000000000000002</v>
      </c>
      <c r="Y3" s="85">
        <v>1.5</v>
      </c>
      <c r="Z3" s="85">
        <v>1.3</v>
      </c>
      <c r="AA3" s="85">
        <v>1.9</v>
      </c>
      <c r="AB3" s="85">
        <v>1.5</v>
      </c>
      <c r="AC3" s="85">
        <v>0.2</v>
      </c>
      <c r="AD3" s="85">
        <v>0.2</v>
      </c>
      <c r="AE3" s="85">
        <v>0.5</v>
      </c>
      <c r="AF3" s="85">
        <v>0.5</v>
      </c>
      <c r="AG3" s="103">
        <f>SUM(B3:AF3)</f>
        <v>43.7</v>
      </c>
      <c r="AH3" s="119"/>
      <c r="AI3" s="120"/>
    </row>
    <row r="4" spans="1:35" s="91" customFormat="1" ht="33" customHeight="1" x14ac:dyDescent="0.25">
      <c r="A4" s="138" t="s">
        <v>193</v>
      </c>
      <c r="B4" s="85">
        <v>1.5</v>
      </c>
      <c r="C4" s="88">
        <v>1.9</v>
      </c>
      <c r="D4" s="85">
        <v>1.4</v>
      </c>
      <c r="E4" s="85">
        <v>1.7</v>
      </c>
      <c r="F4" s="85">
        <v>1.9</v>
      </c>
      <c r="G4" s="86">
        <v>0.7</v>
      </c>
      <c r="H4" s="85">
        <v>1.9</v>
      </c>
      <c r="I4" s="86">
        <v>1.4</v>
      </c>
      <c r="J4" s="85">
        <v>1.6</v>
      </c>
      <c r="K4" s="86">
        <v>1.9</v>
      </c>
      <c r="L4" s="85">
        <v>1.1000000000000001</v>
      </c>
      <c r="M4" s="86">
        <v>1.9</v>
      </c>
      <c r="N4" s="85">
        <v>2.1</v>
      </c>
      <c r="O4" s="85">
        <v>2.2000000000000002</v>
      </c>
      <c r="P4" s="86">
        <v>2.1</v>
      </c>
      <c r="Q4" s="85">
        <v>1.7</v>
      </c>
      <c r="R4" s="85">
        <v>1.6</v>
      </c>
      <c r="S4" s="86">
        <v>1.7</v>
      </c>
      <c r="T4" s="86">
        <v>1.6</v>
      </c>
      <c r="U4" s="86">
        <v>1.3</v>
      </c>
      <c r="V4" s="86">
        <v>1.1000000000000001</v>
      </c>
      <c r="W4" s="85">
        <v>1.4</v>
      </c>
      <c r="X4" s="85">
        <v>1.6</v>
      </c>
      <c r="Y4" s="85">
        <v>1.9</v>
      </c>
      <c r="Z4" s="85">
        <v>0.2</v>
      </c>
      <c r="AA4" s="85">
        <v>0.9</v>
      </c>
      <c r="AB4" s="85">
        <v>0.9</v>
      </c>
      <c r="AC4" s="85">
        <v>1.3</v>
      </c>
      <c r="AD4" s="85">
        <v>1.7</v>
      </c>
      <c r="AE4" s="85">
        <v>1.2</v>
      </c>
      <c r="AF4" s="85">
        <v>1.1000000000000001</v>
      </c>
      <c r="AG4" s="103">
        <f t="shared" ref="AG4:AG33" si="0">SUM(B4:AF4)</f>
        <v>46.500000000000007</v>
      </c>
      <c r="AH4" s="120"/>
      <c r="AI4" s="120"/>
    </row>
    <row r="5" spans="1:35" s="91" customFormat="1" ht="18.75" customHeight="1" x14ac:dyDescent="0.25">
      <c r="A5" s="62" t="s">
        <v>83</v>
      </c>
      <c r="B5" s="85">
        <v>1.2</v>
      </c>
      <c r="C5" s="88">
        <v>0.9</v>
      </c>
      <c r="D5" s="85">
        <v>0.9</v>
      </c>
      <c r="E5" s="85">
        <v>1</v>
      </c>
      <c r="F5" s="85">
        <v>1</v>
      </c>
      <c r="G5" s="86">
        <v>0</v>
      </c>
      <c r="H5" s="85">
        <v>0.9</v>
      </c>
      <c r="I5" s="86">
        <v>0.3</v>
      </c>
      <c r="J5" s="85">
        <v>0.9</v>
      </c>
      <c r="K5" s="86">
        <v>1.1000000000000001</v>
      </c>
      <c r="L5" s="85">
        <v>1.2</v>
      </c>
      <c r="M5" s="86">
        <v>1.3</v>
      </c>
      <c r="N5" s="85">
        <v>1</v>
      </c>
      <c r="O5" s="85">
        <v>1</v>
      </c>
      <c r="P5" s="86">
        <v>0.2</v>
      </c>
      <c r="Q5" s="85">
        <v>0.1</v>
      </c>
      <c r="R5" s="85">
        <v>1</v>
      </c>
      <c r="S5" s="86">
        <v>0.1</v>
      </c>
      <c r="T5" s="86">
        <v>2</v>
      </c>
      <c r="U5" s="86">
        <v>1</v>
      </c>
      <c r="V5" s="86">
        <v>0.9</v>
      </c>
      <c r="W5" s="85">
        <v>0.3</v>
      </c>
      <c r="X5" s="85">
        <v>1.3</v>
      </c>
      <c r="Y5" s="85">
        <v>1.5</v>
      </c>
      <c r="Z5" s="85">
        <v>1.1000000000000001</v>
      </c>
      <c r="AA5" s="85">
        <v>1.3</v>
      </c>
      <c r="AB5" s="85">
        <v>0.1</v>
      </c>
      <c r="AC5" s="85">
        <v>2</v>
      </c>
      <c r="AD5" s="85">
        <v>0.1</v>
      </c>
      <c r="AE5" s="85">
        <v>1</v>
      </c>
      <c r="AF5" s="87">
        <v>0.1</v>
      </c>
      <c r="AG5" s="103">
        <f t="shared" si="0"/>
        <v>26.800000000000008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131">
        <v>2.5</v>
      </c>
      <c r="C7" s="131">
        <v>3.2</v>
      </c>
      <c r="D7" s="131">
        <v>3.9</v>
      </c>
      <c r="E7" s="131">
        <v>2.7</v>
      </c>
      <c r="F7" s="131">
        <v>4</v>
      </c>
      <c r="G7" s="131">
        <v>3.6</v>
      </c>
      <c r="H7" s="131">
        <v>2.2999999999999998</v>
      </c>
      <c r="I7" s="131">
        <v>3.2</v>
      </c>
      <c r="J7" s="131">
        <v>1.9</v>
      </c>
      <c r="K7" s="131">
        <v>2.2000000000000002</v>
      </c>
      <c r="L7" s="131">
        <v>1.6</v>
      </c>
      <c r="M7" s="131">
        <v>2.5</v>
      </c>
      <c r="N7" s="131">
        <v>2.7</v>
      </c>
      <c r="O7" s="131">
        <v>3.9</v>
      </c>
      <c r="P7" s="131">
        <v>3.2</v>
      </c>
      <c r="Q7" s="131">
        <v>2.2999999999999998</v>
      </c>
      <c r="R7" s="131">
        <v>0</v>
      </c>
      <c r="S7" s="131">
        <v>0</v>
      </c>
      <c r="T7" s="131">
        <v>0</v>
      </c>
      <c r="U7" s="131">
        <v>0</v>
      </c>
      <c r="V7" s="131">
        <v>0</v>
      </c>
      <c r="W7" s="131">
        <v>0</v>
      </c>
      <c r="X7" s="131">
        <v>0</v>
      </c>
      <c r="Y7" s="131">
        <v>0</v>
      </c>
      <c r="Z7" s="131">
        <v>0</v>
      </c>
      <c r="AA7" s="131">
        <v>0</v>
      </c>
      <c r="AB7" s="131">
        <v>0</v>
      </c>
      <c r="AC7" s="131">
        <v>0</v>
      </c>
      <c r="AD7" s="131">
        <v>0</v>
      </c>
      <c r="AE7" s="131">
        <v>0</v>
      </c>
      <c r="AF7" s="86">
        <v>0</v>
      </c>
      <c r="AG7" s="103">
        <f t="shared" si="0"/>
        <v>45.7</v>
      </c>
      <c r="AH7" s="120"/>
      <c r="AI7" s="120"/>
    </row>
    <row r="8" spans="1:35" s="91" customFormat="1" ht="18.75" customHeight="1" x14ac:dyDescent="0.25">
      <c r="A8" s="62" t="s">
        <v>65</v>
      </c>
      <c r="B8" s="86">
        <v>3</v>
      </c>
      <c r="C8" s="86">
        <v>2.1</v>
      </c>
      <c r="D8" s="86">
        <v>1.5</v>
      </c>
      <c r="E8" s="86">
        <v>1.9</v>
      </c>
      <c r="F8" s="86">
        <v>2.1</v>
      </c>
      <c r="G8" s="86">
        <v>3</v>
      </c>
      <c r="H8" s="86">
        <v>2.9</v>
      </c>
      <c r="I8" s="86">
        <v>1.9</v>
      </c>
      <c r="J8" s="86">
        <v>3</v>
      </c>
      <c r="K8" s="86">
        <v>2.2000000000000002</v>
      </c>
      <c r="L8" s="86">
        <v>0.9</v>
      </c>
      <c r="M8" s="86">
        <v>1.5</v>
      </c>
      <c r="N8" s="86">
        <v>2.1</v>
      </c>
      <c r="O8" s="86">
        <v>0.9</v>
      </c>
      <c r="P8" s="86">
        <v>0.8</v>
      </c>
      <c r="Q8" s="86">
        <v>1.2</v>
      </c>
      <c r="R8" s="86">
        <v>2.1</v>
      </c>
      <c r="S8" s="86">
        <v>1.9</v>
      </c>
      <c r="T8" s="86">
        <v>0.9</v>
      </c>
      <c r="U8" s="86">
        <v>1</v>
      </c>
      <c r="V8" s="86">
        <v>1</v>
      </c>
      <c r="W8" s="86">
        <v>0.9</v>
      </c>
      <c r="X8" s="86">
        <v>0.8</v>
      </c>
      <c r="Y8" s="86">
        <v>2</v>
      </c>
      <c r="Z8" s="86">
        <v>2.9</v>
      </c>
      <c r="AA8" s="86">
        <v>2.5</v>
      </c>
      <c r="AB8" s="86">
        <v>2.2999999999999998</v>
      </c>
      <c r="AC8" s="86">
        <v>0.9</v>
      </c>
      <c r="AD8" s="86">
        <v>2</v>
      </c>
      <c r="AE8" s="86">
        <v>2.5</v>
      </c>
      <c r="AF8" s="86">
        <v>2.1</v>
      </c>
      <c r="AG8" s="103">
        <f t="shared" si="0"/>
        <v>56.799999999999983</v>
      </c>
      <c r="AH8" s="120"/>
      <c r="AI8" s="120"/>
    </row>
    <row r="9" spans="1:35" s="91" customFormat="1" ht="18.75" customHeight="1" x14ac:dyDescent="0.25">
      <c r="A9" s="62" t="s">
        <v>66</v>
      </c>
      <c r="B9" s="86">
        <v>2.5</v>
      </c>
      <c r="C9" s="86">
        <v>2.8</v>
      </c>
      <c r="D9" s="86">
        <v>7.2</v>
      </c>
      <c r="E9" s="86">
        <v>6.8</v>
      </c>
      <c r="F9" s="86">
        <v>5</v>
      </c>
      <c r="G9" s="86">
        <v>5.9</v>
      </c>
      <c r="H9" s="86">
        <v>5.6</v>
      </c>
      <c r="I9" s="86">
        <v>2.8</v>
      </c>
      <c r="J9" s="86">
        <v>7</v>
      </c>
      <c r="K9" s="86">
        <v>6.7</v>
      </c>
      <c r="L9" s="86">
        <v>5.6</v>
      </c>
      <c r="M9" s="86">
        <v>5.7</v>
      </c>
      <c r="N9" s="86">
        <v>2.7</v>
      </c>
      <c r="O9" s="86">
        <v>5.4</v>
      </c>
      <c r="P9" s="86">
        <v>7.5</v>
      </c>
      <c r="Q9" s="86">
        <v>9.5</v>
      </c>
      <c r="R9" s="86">
        <v>6.6</v>
      </c>
      <c r="S9" s="86">
        <v>6.7</v>
      </c>
      <c r="T9" s="86">
        <v>5.8</v>
      </c>
      <c r="U9" s="86">
        <v>3.7</v>
      </c>
      <c r="V9" s="86">
        <v>5</v>
      </c>
      <c r="W9" s="86">
        <v>6.6</v>
      </c>
      <c r="X9" s="86">
        <v>5.5</v>
      </c>
      <c r="Y9" s="86">
        <v>6.6</v>
      </c>
      <c r="Z9" s="86">
        <v>6.6</v>
      </c>
      <c r="AA9" s="86">
        <v>5.7</v>
      </c>
      <c r="AB9" s="86">
        <v>5.9</v>
      </c>
      <c r="AC9" s="86">
        <v>6.7</v>
      </c>
      <c r="AD9" s="86">
        <v>6.4</v>
      </c>
      <c r="AE9" s="86">
        <v>6.8</v>
      </c>
      <c r="AF9" s="106">
        <v>6.2</v>
      </c>
      <c r="AG9" s="103">
        <f t="shared" si="0"/>
        <v>179.5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8" t="s">
        <v>91</v>
      </c>
      <c r="B12" s="86">
        <v>1.8</v>
      </c>
      <c r="C12" s="86">
        <v>0.9</v>
      </c>
      <c r="D12" s="86">
        <v>2</v>
      </c>
      <c r="E12" s="86">
        <v>3</v>
      </c>
      <c r="F12" s="86">
        <v>1.8</v>
      </c>
      <c r="G12" s="86">
        <v>2.2999999999999998</v>
      </c>
      <c r="H12" s="86">
        <v>1.8</v>
      </c>
      <c r="I12" s="86">
        <v>3.2</v>
      </c>
      <c r="J12" s="86">
        <v>2.9</v>
      </c>
      <c r="K12" s="86">
        <v>2.1</v>
      </c>
      <c r="L12" s="86">
        <v>1.8</v>
      </c>
      <c r="M12" s="86">
        <v>1.8</v>
      </c>
      <c r="N12" s="86">
        <v>1.8</v>
      </c>
      <c r="O12" s="86">
        <v>1.5</v>
      </c>
      <c r="P12" s="86">
        <v>1.2</v>
      </c>
      <c r="Q12" s="86">
        <v>0</v>
      </c>
      <c r="R12" s="86">
        <v>2</v>
      </c>
      <c r="S12" s="86">
        <v>2</v>
      </c>
      <c r="T12" s="86">
        <v>2</v>
      </c>
      <c r="U12" s="86">
        <v>2.1</v>
      </c>
      <c r="V12" s="86">
        <v>1.5</v>
      </c>
      <c r="W12" s="86">
        <v>1</v>
      </c>
      <c r="X12" s="86">
        <v>1.6</v>
      </c>
      <c r="Y12" s="86">
        <v>1.5</v>
      </c>
      <c r="Z12" s="86">
        <v>1.5</v>
      </c>
      <c r="AA12" s="86">
        <v>0.5</v>
      </c>
      <c r="AB12" s="86">
        <v>1</v>
      </c>
      <c r="AC12" s="86">
        <v>1</v>
      </c>
      <c r="AD12" s="86">
        <v>2</v>
      </c>
      <c r="AE12" s="86">
        <v>1.6</v>
      </c>
      <c r="AF12" s="86">
        <v>1</v>
      </c>
      <c r="AG12" s="103">
        <f t="shared" si="0"/>
        <v>52.20000000000001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141" t="s">
        <v>71</v>
      </c>
      <c r="B14" s="86">
        <v>6.4</v>
      </c>
      <c r="C14" s="86">
        <v>7.2</v>
      </c>
      <c r="D14" s="86">
        <v>5.8</v>
      </c>
      <c r="E14" s="86">
        <v>8.1999999999999993</v>
      </c>
      <c r="F14" s="86">
        <v>7.6</v>
      </c>
      <c r="G14" s="86">
        <v>5.0999999999999996</v>
      </c>
      <c r="H14" s="86">
        <v>6.1</v>
      </c>
      <c r="I14" s="86">
        <v>7.2</v>
      </c>
      <c r="J14" s="86">
        <v>5.4</v>
      </c>
      <c r="K14" s="86">
        <v>6.2</v>
      </c>
      <c r="L14" s="86">
        <v>7.2</v>
      </c>
      <c r="M14" s="86">
        <v>7.3</v>
      </c>
      <c r="N14" s="86">
        <v>7.9</v>
      </c>
      <c r="O14" s="86">
        <v>6.3</v>
      </c>
      <c r="P14" s="86">
        <v>7.9</v>
      </c>
      <c r="Q14" s="86">
        <v>6.2</v>
      </c>
      <c r="R14" s="86">
        <v>7.1</v>
      </c>
      <c r="S14" s="86">
        <v>7.6</v>
      </c>
      <c r="T14" s="86">
        <v>7</v>
      </c>
      <c r="U14" s="86">
        <v>7.8</v>
      </c>
      <c r="V14" s="86">
        <v>10.3</v>
      </c>
      <c r="W14" s="86">
        <v>7.3</v>
      </c>
      <c r="X14" s="86">
        <v>6.5</v>
      </c>
      <c r="Y14" s="106">
        <v>7.5</v>
      </c>
      <c r="Z14" s="106">
        <v>11.2</v>
      </c>
      <c r="AA14" s="106">
        <v>8.6999999999999993</v>
      </c>
      <c r="AB14" s="106">
        <v>6.4</v>
      </c>
      <c r="AC14" s="106">
        <v>7.6</v>
      </c>
      <c r="AD14" s="106">
        <v>5.0999999999999996</v>
      </c>
      <c r="AE14" s="106">
        <v>3.1</v>
      </c>
      <c r="AF14" s="106">
        <v>3.1</v>
      </c>
      <c r="AG14" s="103">
        <f t="shared" si="0"/>
        <v>214.29999999999998</v>
      </c>
      <c r="AH14" s="120"/>
      <c r="AI14" s="120"/>
    </row>
    <row r="15" spans="1:35" s="91" customFormat="1" ht="18.75" customHeight="1" x14ac:dyDescent="0.25">
      <c r="A15" s="62" t="s">
        <v>72</v>
      </c>
      <c r="B15" s="86">
        <v>0.2</v>
      </c>
      <c r="C15" s="86">
        <v>0.3</v>
      </c>
      <c r="D15" s="86">
        <v>0</v>
      </c>
      <c r="E15" s="86">
        <v>1.1000000000000001</v>
      </c>
      <c r="F15" s="86">
        <v>1</v>
      </c>
      <c r="G15" s="86">
        <v>1.2</v>
      </c>
      <c r="H15" s="86">
        <v>1</v>
      </c>
      <c r="I15" s="86">
        <v>1.5</v>
      </c>
      <c r="J15" s="86">
        <v>1.5</v>
      </c>
      <c r="K15" s="86">
        <v>1</v>
      </c>
      <c r="L15" s="86">
        <v>1.3</v>
      </c>
      <c r="M15" s="86">
        <v>1.7</v>
      </c>
      <c r="N15" s="86">
        <v>1.2</v>
      </c>
      <c r="O15" s="86">
        <v>1</v>
      </c>
      <c r="P15" s="86">
        <v>1.5</v>
      </c>
      <c r="Q15" s="86">
        <v>1.3</v>
      </c>
      <c r="R15" s="86">
        <v>1</v>
      </c>
      <c r="S15" s="86">
        <v>0</v>
      </c>
      <c r="T15" s="86">
        <v>1.1000000000000001</v>
      </c>
      <c r="U15" s="86">
        <v>1</v>
      </c>
      <c r="V15" s="86">
        <v>1</v>
      </c>
      <c r="W15" s="86">
        <v>1.5</v>
      </c>
      <c r="X15" s="86">
        <v>1</v>
      </c>
      <c r="Y15" s="86">
        <v>1.1000000000000001</v>
      </c>
      <c r="Z15" s="86">
        <v>0</v>
      </c>
      <c r="AA15" s="86">
        <v>1.1000000000000001</v>
      </c>
      <c r="AB15" s="86">
        <v>1.5</v>
      </c>
      <c r="AC15" s="86">
        <v>1.6</v>
      </c>
      <c r="AD15" s="86">
        <v>1.4</v>
      </c>
      <c r="AE15" s="86">
        <v>1.5</v>
      </c>
      <c r="AF15" s="86">
        <v>1.3</v>
      </c>
      <c r="AG15" s="103">
        <f t="shared" si="0"/>
        <v>32.900000000000006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>
        <v>2.8</v>
      </c>
      <c r="C17" s="86">
        <v>1.9</v>
      </c>
      <c r="D17" s="86">
        <v>1.6</v>
      </c>
      <c r="E17" s="86">
        <v>0.9</v>
      </c>
      <c r="F17" s="86">
        <v>1.9</v>
      </c>
      <c r="G17" s="86">
        <v>1.7</v>
      </c>
      <c r="H17" s="86">
        <v>2</v>
      </c>
      <c r="I17" s="86">
        <v>1.2</v>
      </c>
      <c r="J17" s="86">
        <v>1</v>
      </c>
      <c r="K17" s="86">
        <v>0.9</v>
      </c>
      <c r="L17" s="86">
        <v>1.4</v>
      </c>
      <c r="M17" s="86">
        <v>2</v>
      </c>
      <c r="N17" s="86">
        <v>1.7</v>
      </c>
      <c r="O17" s="86">
        <v>1.3</v>
      </c>
      <c r="P17" s="86">
        <v>1.9</v>
      </c>
      <c r="Q17" s="86">
        <v>1.3</v>
      </c>
      <c r="R17" s="86">
        <v>1.9</v>
      </c>
      <c r="S17" s="86">
        <v>1.9</v>
      </c>
      <c r="T17" s="86">
        <v>1.7</v>
      </c>
      <c r="U17" s="86">
        <v>0.9</v>
      </c>
      <c r="V17" s="86">
        <v>1.6</v>
      </c>
      <c r="W17" s="86">
        <v>1.3</v>
      </c>
      <c r="X17" s="86">
        <v>1.7</v>
      </c>
      <c r="Y17" s="86">
        <v>1.3</v>
      </c>
      <c r="Z17" s="86">
        <v>1.5</v>
      </c>
      <c r="AA17" s="86">
        <v>1</v>
      </c>
      <c r="AB17" s="86">
        <v>1.3</v>
      </c>
      <c r="AC17" s="86">
        <v>1.2</v>
      </c>
      <c r="AD17" s="86">
        <v>1</v>
      </c>
      <c r="AE17" s="86">
        <v>1.4</v>
      </c>
      <c r="AF17" s="86">
        <v>1.9</v>
      </c>
      <c r="AG17" s="103">
        <f t="shared" si="0"/>
        <v>47.099999999999987</v>
      </c>
      <c r="AH17" s="120"/>
      <c r="AI17" s="120"/>
    </row>
    <row r="18" spans="1:35" s="91" customFormat="1" ht="18.75" customHeight="1" x14ac:dyDescent="0.25">
      <c r="A18" s="62" t="s">
        <v>73</v>
      </c>
      <c r="B18" s="86">
        <v>2.1</v>
      </c>
      <c r="C18" s="86">
        <v>1.5</v>
      </c>
      <c r="D18" s="86">
        <v>0.5</v>
      </c>
      <c r="E18" s="86">
        <v>1.1000000000000001</v>
      </c>
      <c r="F18" s="86">
        <v>1.3</v>
      </c>
      <c r="G18" s="86">
        <v>0.9</v>
      </c>
      <c r="H18" s="86">
        <v>1.7</v>
      </c>
      <c r="I18" s="86">
        <v>1.6</v>
      </c>
      <c r="J18" s="86">
        <v>1.9</v>
      </c>
      <c r="K18" s="86">
        <v>1.4</v>
      </c>
      <c r="L18" s="86">
        <v>0.5</v>
      </c>
      <c r="M18" s="86">
        <v>0.3</v>
      </c>
      <c r="N18" s="86">
        <v>0.7</v>
      </c>
      <c r="O18" s="86">
        <v>1.1000000000000001</v>
      </c>
      <c r="P18" s="86">
        <v>1.4</v>
      </c>
      <c r="Q18" s="86">
        <v>1.1000000000000001</v>
      </c>
      <c r="R18" s="86">
        <v>1.9</v>
      </c>
      <c r="S18" s="86">
        <v>1.7</v>
      </c>
      <c r="T18" s="86">
        <v>1.4</v>
      </c>
      <c r="U18" s="86">
        <v>2.2999999999999998</v>
      </c>
      <c r="V18" s="86">
        <v>1.9</v>
      </c>
      <c r="W18" s="86">
        <v>2.1</v>
      </c>
      <c r="X18" s="86">
        <v>2.1</v>
      </c>
      <c r="Y18" s="86">
        <v>1.1000000000000001</v>
      </c>
      <c r="Z18" s="86">
        <v>1.9</v>
      </c>
      <c r="AA18" s="86">
        <v>1.5</v>
      </c>
      <c r="AB18" s="86">
        <v>2.2000000000000002</v>
      </c>
      <c r="AC18" s="86">
        <v>2.1</v>
      </c>
      <c r="AD18" s="86">
        <v>2.2999999999999998</v>
      </c>
      <c r="AE18" s="86">
        <v>2.1</v>
      </c>
      <c r="AF18" s="86">
        <v>2.1</v>
      </c>
      <c r="AG18" s="103">
        <f t="shared" si="0"/>
        <v>47.800000000000004</v>
      </c>
      <c r="AH18" s="120"/>
      <c r="AI18" s="120"/>
    </row>
    <row r="19" spans="1:35" s="91" customFormat="1" ht="18.75" customHeight="1" x14ac:dyDescent="0.25">
      <c r="A19" s="62" t="s">
        <v>92</v>
      </c>
      <c r="B19" s="86">
        <v>1.4</v>
      </c>
      <c r="C19" s="86">
        <v>0.9</v>
      </c>
      <c r="D19" s="86">
        <v>1.1000000000000001</v>
      </c>
      <c r="E19" s="86">
        <v>0.4</v>
      </c>
      <c r="F19" s="86">
        <v>1.1000000000000001</v>
      </c>
      <c r="G19" s="86">
        <v>1.3</v>
      </c>
      <c r="H19" s="86">
        <v>0.9</v>
      </c>
      <c r="I19" s="86">
        <v>0.8</v>
      </c>
      <c r="J19" s="86">
        <v>1.2</v>
      </c>
      <c r="K19" s="86">
        <v>1.5</v>
      </c>
      <c r="L19" s="86">
        <v>1.1000000000000001</v>
      </c>
      <c r="M19" s="86">
        <v>1.2</v>
      </c>
      <c r="N19" s="86">
        <v>1.5</v>
      </c>
      <c r="O19" s="86">
        <v>0.9</v>
      </c>
      <c r="P19" s="86">
        <v>0.8</v>
      </c>
      <c r="Q19" s="86">
        <v>1.2</v>
      </c>
      <c r="R19" s="86">
        <v>1.1000000000000001</v>
      </c>
      <c r="S19" s="86">
        <v>1.3</v>
      </c>
      <c r="T19" s="86">
        <v>1.1000000000000001</v>
      </c>
      <c r="U19" s="86">
        <v>1.7</v>
      </c>
      <c r="V19" s="86">
        <v>1.4</v>
      </c>
      <c r="W19" s="86">
        <v>1.9</v>
      </c>
      <c r="X19" s="86">
        <v>1.4</v>
      </c>
      <c r="Y19" s="86">
        <v>1.2</v>
      </c>
      <c r="Z19" s="86">
        <v>1.7</v>
      </c>
      <c r="AA19" s="86">
        <v>2.1</v>
      </c>
      <c r="AB19" s="86">
        <v>2.7</v>
      </c>
      <c r="AC19" s="86">
        <v>2.2000000000000002</v>
      </c>
      <c r="AD19" s="86">
        <v>1.7</v>
      </c>
      <c r="AE19" s="86">
        <v>1.9</v>
      </c>
      <c r="AF19" s="86">
        <v>1.4</v>
      </c>
      <c r="AG19" s="103">
        <f t="shared" si="0"/>
        <v>42.1</v>
      </c>
      <c r="AH19" s="120"/>
      <c r="AI19" s="120"/>
    </row>
    <row r="20" spans="1:35" s="91" customFormat="1" ht="18.75" customHeight="1" x14ac:dyDescent="0.25">
      <c r="A20" s="62" t="s">
        <v>89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103">
        <f t="shared" si="0"/>
        <v>0</v>
      </c>
      <c r="AH20" s="120"/>
      <c r="AI20" s="120"/>
    </row>
    <row r="21" spans="1:35" s="91" customFormat="1" ht="18.75" customHeight="1" x14ac:dyDescent="0.25">
      <c r="A21" s="62" t="s">
        <v>74</v>
      </c>
      <c r="B21" s="86">
        <v>3.9</v>
      </c>
      <c r="C21" s="86">
        <v>3.9</v>
      </c>
      <c r="D21" s="86">
        <v>4.5999999999999996</v>
      </c>
      <c r="E21" s="86">
        <v>5.6</v>
      </c>
      <c r="F21" s="86">
        <v>5.7</v>
      </c>
      <c r="G21" s="86">
        <v>6.6</v>
      </c>
      <c r="H21" s="86">
        <v>3.8</v>
      </c>
      <c r="I21" s="86">
        <v>5</v>
      </c>
      <c r="J21" s="86">
        <v>3.7</v>
      </c>
      <c r="K21" s="86">
        <v>4.4000000000000004</v>
      </c>
      <c r="L21" s="86">
        <v>4.4000000000000004</v>
      </c>
      <c r="M21" s="86">
        <v>3.3</v>
      </c>
      <c r="N21" s="86">
        <v>4</v>
      </c>
      <c r="O21" s="86">
        <v>2.9</v>
      </c>
      <c r="P21" s="86">
        <v>3.9</v>
      </c>
      <c r="Q21" s="86">
        <v>4.7</v>
      </c>
      <c r="R21" s="86">
        <v>2.7</v>
      </c>
      <c r="S21" s="86">
        <v>4.9000000000000004</v>
      </c>
      <c r="T21" s="86">
        <v>4</v>
      </c>
      <c r="U21" s="86">
        <v>5</v>
      </c>
      <c r="V21" s="86">
        <v>3.3</v>
      </c>
      <c r="W21" s="86">
        <v>3.3</v>
      </c>
      <c r="X21" s="86">
        <v>4.2</v>
      </c>
      <c r="Y21" s="86">
        <v>4.0999999999999996</v>
      </c>
      <c r="Z21" s="140">
        <v>2.8</v>
      </c>
      <c r="AA21" s="86">
        <v>5.2</v>
      </c>
      <c r="AB21" s="140">
        <v>3.9</v>
      </c>
      <c r="AC21" s="86">
        <v>3.4</v>
      </c>
      <c r="AD21" s="86">
        <v>2.6</v>
      </c>
      <c r="AE21" s="86">
        <v>5.8</v>
      </c>
      <c r="AF21" s="86">
        <v>3.6</v>
      </c>
      <c r="AG21" s="132">
        <f t="shared" si="0"/>
        <v>129.19999999999999</v>
      </c>
      <c r="AH21" s="120"/>
      <c r="AI21" s="120"/>
    </row>
    <row r="22" spans="1:35" s="91" customFormat="1" ht="18.75" customHeight="1" x14ac:dyDescent="0.25">
      <c r="A22" s="62" t="s">
        <v>75</v>
      </c>
      <c r="B22" s="86">
        <v>1</v>
      </c>
      <c r="C22" s="86">
        <v>0.9</v>
      </c>
      <c r="D22" s="86">
        <v>1.4</v>
      </c>
      <c r="E22" s="86">
        <v>1.7</v>
      </c>
      <c r="F22" s="86">
        <v>1.3</v>
      </c>
      <c r="G22" s="86">
        <v>0</v>
      </c>
      <c r="H22" s="86">
        <v>1.5</v>
      </c>
      <c r="I22" s="86">
        <v>0</v>
      </c>
      <c r="J22" s="86">
        <v>0.2</v>
      </c>
      <c r="K22" s="86">
        <v>0.7</v>
      </c>
      <c r="L22" s="86">
        <v>1.7</v>
      </c>
      <c r="M22" s="86">
        <v>0.3</v>
      </c>
      <c r="N22" s="86">
        <v>0</v>
      </c>
      <c r="O22" s="86">
        <v>0.4</v>
      </c>
      <c r="P22" s="86">
        <v>0.1</v>
      </c>
      <c r="Q22" s="86">
        <v>0.2</v>
      </c>
      <c r="R22" s="86">
        <v>0.1</v>
      </c>
      <c r="S22" s="86">
        <v>0.8</v>
      </c>
      <c r="T22" s="86">
        <v>0.5</v>
      </c>
      <c r="U22" s="86">
        <v>0</v>
      </c>
      <c r="V22" s="86">
        <v>2.7</v>
      </c>
      <c r="W22" s="86">
        <v>1.9</v>
      </c>
      <c r="X22" s="86">
        <v>1.7</v>
      </c>
      <c r="Y22" s="86">
        <v>1.3</v>
      </c>
      <c r="Z22" s="86">
        <v>0</v>
      </c>
      <c r="AA22" s="86">
        <v>1.2</v>
      </c>
      <c r="AB22" s="86">
        <v>0</v>
      </c>
      <c r="AC22" s="86">
        <v>1</v>
      </c>
      <c r="AD22" s="86">
        <v>1.2</v>
      </c>
      <c r="AE22" s="86">
        <v>1.9</v>
      </c>
      <c r="AF22" s="86">
        <v>1.2</v>
      </c>
      <c r="AG22" s="103">
        <f t="shared" si="0"/>
        <v>26.899999999999995</v>
      </c>
      <c r="AH22" s="120"/>
      <c r="AI22" s="120"/>
    </row>
    <row r="23" spans="1:35" s="91" customFormat="1" ht="18.75" customHeight="1" x14ac:dyDescent="0.25">
      <c r="A23" s="62" t="s">
        <v>77</v>
      </c>
      <c r="B23" s="131">
        <v>2.9</v>
      </c>
      <c r="C23" s="131">
        <v>3.1</v>
      </c>
      <c r="D23" s="131">
        <v>2.8</v>
      </c>
      <c r="E23" s="131">
        <v>2.9</v>
      </c>
      <c r="F23" s="131">
        <v>3.2</v>
      </c>
      <c r="G23" s="131">
        <v>2.9</v>
      </c>
      <c r="H23" s="131">
        <v>2.5</v>
      </c>
      <c r="I23" s="131">
        <v>3.2</v>
      </c>
      <c r="J23" s="131">
        <v>2.2000000000000002</v>
      </c>
      <c r="K23" s="131">
        <v>2.8</v>
      </c>
      <c r="L23" s="131">
        <v>3</v>
      </c>
      <c r="M23" s="131">
        <v>2.1</v>
      </c>
      <c r="N23" s="131">
        <v>3.5</v>
      </c>
      <c r="O23" s="131">
        <v>2.9</v>
      </c>
      <c r="P23" s="131">
        <v>2</v>
      </c>
      <c r="Q23" s="131">
        <v>3.4</v>
      </c>
      <c r="R23" s="131">
        <v>2.1</v>
      </c>
      <c r="S23" s="131">
        <v>2.2999999999999998</v>
      </c>
      <c r="T23" s="131">
        <v>2.2000000000000002</v>
      </c>
      <c r="U23" s="131">
        <v>3</v>
      </c>
      <c r="V23" s="131">
        <v>2.2000000000000002</v>
      </c>
      <c r="W23" s="131">
        <v>2.5</v>
      </c>
      <c r="X23" s="131">
        <v>2.1</v>
      </c>
      <c r="Y23" s="131">
        <v>2.5</v>
      </c>
      <c r="Z23" s="131">
        <v>0</v>
      </c>
      <c r="AA23" s="131">
        <v>0</v>
      </c>
      <c r="AB23" s="131">
        <v>0</v>
      </c>
      <c r="AC23" s="131">
        <v>0</v>
      </c>
      <c r="AD23" s="131">
        <v>0</v>
      </c>
      <c r="AE23" s="131">
        <v>0</v>
      </c>
      <c r="AF23" s="131">
        <v>0</v>
      </c>
      <c r="AG23" s="103">
        <f t="shared" si="0"/>
        <v>64.300000000000011</v>
      </c>
      <c r="AH23" s="120"/>
      <c r="AI23" s="120"/>
    </row>
    <row r="24" spans="1:35" s="91" customFormat="1" ht="18.75" customHeight="1" x14ac:dyDescent="0.25">
      <c r="A24" s="62" t="s">
        <v>78</v>
      </c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103">
        <f t="shared" si="0"/>
        <v>0</v>
      </c>
      <c r="AH24" s="120"/>
      <c r="AI24" s="120"/>
    </row>
    <row r="25" spans="1:35" s="91" customFormat="1" ht="18.75" customHeight="1" x14ac:dyDescent="0.25">
      <c r="A25" s="62" t="s">
        <v>79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103">
        <f t="shared" si="0"/>
        <v>0</v>
      </c>
      <c r="AH25" s="120"/>
      <c r="AI25" s="120"/>
    </row>
    <row r="26" spans="1:35" s="91" customFormat="1" ht="18.75" customHeight="1" x14ac:dyDescent="0.25">
      <c r="A26" s="62" t="s">
        <v>154</v>
      </c>
      <c r="B26" s="106">
        <v>1</v>
      </c>
      <c r="C26" s="106">
        <v>0.1</v>
      </c>
      <c r="D26" s="106">
        <v>0.1</v>
      </c>
      <c r="E26" s="106">
        <v>1.1000000000000001</v>
      </c>
      <c r="F26" s="106">
        <v>0.1</v>
      </c>
      <c r="G26" s="106">
        <v>0.1</v>
      </c>
      <c r="H26" s="106">
        <v>0.1</v>
      </c>
      <c r="I26" s="106">
        <v>0.1</v>
      </c>
      <c r="J26" s="106">
        <v>1.2</v>
      </c>
      <c r="K26" s="106">
        <v>1.5</v>
      </c>
      <c r="L26" s="106">
        <v>1.2</v>
      </c>
      <c r="M26" s="106">
        <v>1.1000000000000001</v>
      </c>
      <c r="N26" s="106">
        <v>1</v>
      </c>
      <c r="O26" s="106">
        <v>1.3</v>
      </c>
      <c r="P26" s="106">
        <v>1.4</v>
      </c>
      <c r="Q26" s="106">
        <v>1.3</v>
      </c>
      <c r="R26" s="106">
        <v>1.1000000000000001</v>
      </c>
      <c r="S26" s="106">
        <v>2.1</v>
      </c>
      <c r="T26" s="106">
        <v>0.5</v>
      </c>
      <c r="U26" s="106">
        <v>0</v>
      </c>
      <c r="V26" s="106">
        <v>1</v>
      </c>
      <c r="W26" s="106">
        <v>0.1</v>
      </c>
      <c r="X26" s="106">
        <v>0.1</v>
      </c>
      <c r="Y26" s="106">
        <v>0.1</v>
      </c>
      <c r="Z26" s="106">
        <v>2</v>
      </c>
      <c r="AA26" s="106">
        <v>2.1</v>
      </c>
      <c r="AB26" s="106">
        <v>0.1</v>
      </c>
      <c r="AC26" s="106">
        <v>1.3</v>
      </c>
      <c r="AD26" s="106">
        <v>1.1000000000000001</v>
      </c>
      <c r="AE26" s="106">
        <v>1.3</v>
      </c>
      <c r="AF26" s="106">
        <v>2.8</v>
      </c>
      <c r="AG26" s="103">
        <f t="shared" si="0"/>
        <v>28.400000000000013</v>
      </c>
      <c r="AH26" s="120"/>
      <c r="AI26" s="120"/>
    </row>
    <row r="27" spans="1:35" s="91" customFormat="1" ht="18.75" customHeight="1" x14ac:dyDescent="0.25">
      <c r="A27" s="62" t="s">
        <v>80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86">
        <v>3.3</v>
      </c>
      <c r="C28" s="86">
        <v>2</v>
      </c>
      <c r="D28" s="86">
        <v>3.3</v>
      </c>
      <c r="E28" s="86">
        <v>2.2999999999999998</v>
      </c>
      <c r="F28" s="86">
        <v>3.4</v>
      </c>
      <c r="G28" s="86">
        <v>3.3</v>
      </c>
      <c r="H28" s="86">
        <v>3.4</v>
      </c>
      <c r="I28" s="86">
        <v>3.3</v>
      </c>
      <c r="J28" s="86">
        <v>3.1</v>
      </c>
      <c r="K28" s="86">
        <v>3.1</v>
      </c>
      <c r="L28" s="86">
        <v>3.1</v>
      </c>
      <c r="M28" s="86">
        <v>3</v>
      </c>
      <c r="N28" s="86">
        <v>5.2</v>
      </c>
      <c r="O28" s="86">
        <v>3.9</v>
      </c>
      <c r="P28" s="86">
        <v>4.2</v>
      </c>
      <c r="Q28" s="86">
        <v>4.9000000000000004</v>
      </c>
      <c r="R28" s="86">
        <v>3.3</v>
      </c>
      <c r="S28" s="86">
        <v>4.7</v>
      </c>
      <c r="T28" s="86">
        <v>3.4</v>
      </c>
      <c r="U28" s="86">
        <v>4.7</v>
      </c>
      <c r="V28" s="86">
        <v>5.4</v>
      </c>
      <c r="W28" s="86">
        <v>3.5</v>
      </c>
      <c r="X28" s="86">
        <v>6.8</v>
      </c>
      <c r="Y28" s="86">
        <v>3.9</v>
      </c>
      <c r="Z28" s="140">
        <v>3.3</v>
      </c>
      <c r="AA28" s="86">
        <v>3</v>
      </c>
      <c r="AB28" s="140">
        <v>4.3</v>
      </c>
      <c r="AC28" s="86">
        <v>2.6</v>
      </c>
      <c r="AD28" s="86">
        <v>2.2000000000000002</v>
      </c>
      <c r="AE28" s="86">
        <v>2.4</v>
      </c>
      <c r="AF28" s="88">
        <v>2.1</v>
      </c>
      <c r="AG28" s="103">
        <f t="shared" si="0"/>
        <v>110.4</v>
      </c>
      <c r="AH28" s="120"/>
      <c r="AI28" s="120"/>
    </row>
    <row r="29" spans="1:35" s="91" customFormat="1" ht="18.75" customHeight="1" x14ac:dyDescent="0.25">
      <c r="A29" s="62" t="s">
        <v>81</v>
      </c>
      <c r="B29" s="106">
        <v>2.7</v>
      </c>
      <c r="C29" s="106">
        <v>2.2000000000000002</v>
      </c>
      <c r="D29" s="106">
        <v>3.2</v>
      </c>
      <c r="E29" s="106">
        <v>3.5</v>
      </c>
      <c r="F29" s="106">
        <v>4.2</v>
      </c>
      <c r="G29" s="106">
        <v>3.5</v>
      </c>
      <c r="H29" s="106">
        <v>3.8</v>
      </c>
      <c r="I29" s="106">
        <v>3.4</v>
      </c>
      <c r="J29" s="106">
        <v>3.7</v>
      </c>
      <c r="K29" s="106">
        <v>2.8</v>
      </c>
      <c r="L29" s="106">
        <v>2.8</v>
      </c>
      <c r="M29" s="106">
        <v>3</v>
      </c>
      <c r="N29" s="106">
        <v>2.2000000000000002</v>
      </c>
      <c r="O29" s="106">
        <v>3.7</v>
      </c>
      <c r="P29" s="106">
        <v>4.9000000000000004</v>
      </c>
      <c r="Q29" s="106">
        <v>2.2000000000000002</v>
      </c>
      <c r="R29" s="106">
        <v>4.0999999999999996</v>
      </c>
      <c r="S29" s="106">
        <v>5.5</v>
      </c>
      <c r="T29" s="106">
        <v>5</v>
      </c>
      <c r="U29" s="106">
        <v>4.4000000000000004</v>
      </c>
      <c r="V29" s="106">
        <v>8</v>
      </c>
      <c r="W29" s="106">
        <v>7.8</v>
      </c>
      <c r="X29" s="106">
        <v>5.0999999999999996</v>
      </c>
      <c r="Y29" s="106">
        <v>3.9</v>
      </c>
      <c r="Z29" s="106">
        <v>5</v>
      </c>
      <c r="AA29" s="106">
        <v>5.5</v>
      </c>
      <c r="AB29" s="106">
        <v>6.3</v>
      </c>
      <c r="AC29" s="106">
        <v>5.2</v>
      </c>
      <c r="AD29" s="106">
        <v>5.8</v>
      </c>
      <c r="AE29" s="106">
        <v>5.3</v>
      </c>
      <c r="AF29" s="88">
        <v>6.4</v>
      </c>
      <c r="AG29" s="103">
        <f t="shared" si="0"/>
        <v>135.10000000000002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>
        <v>2.6</v>
      </c>
      <c r="C31" s="106">
        <v>1.8</v>
      </c>
      <c r="D31" s="106">
        <v>2.5</v>
      </c>
      <c r="E31" s="106">
        <v>2.1</v>
      </c>
      <c r="F31" s="106">
        <v>1.5</v>
      </c>
      <c r="G31" s="106">
        <v>3.5</v>
      </c>
      <c r="H31" s="106">
        <v>2.2999999999999998</v>
      </c>
      <c r="I31" s="106">
        <v>1.7</v>
      </c>
      <c r="J31" s="106">
        <v>2.8</v>
      </c>
      <c r="K31" s="106">
        <v>1.9</v>
      </c>
      <c r="L31" s="106">
        <v>2.1</v>
      </c>
      <c r="M31" s="106">
        <v>4</v>
      </c>
      <c r="N31" s="106">
        <v>2.1</v>
      </c>
      <c r="O31" s="106">
        <v>1.9</v>
      </c>
      <c r="P31" s="106">
        <v>2.2000000000000002</v>
      </c>
      <c r="Q31" s="106">
        <v>2.5</v>
      </c>
      <c r="R31" s="106">
        <v>1.8</v>
      </c>
      <c r="S31" s="106">
        <v>0.9</v>
      </c>
      <c r="T31" s="106">
        <v>2</v>
      </c>
      <c r="U31" s="106">
        <v>2.1</v>
      </c>
      <c r="V31" s="106">
        <v>1.9</v>
      </c>
      <c r="W31" s="106">
        <v>1.5</v>
      </c>
      <c r="X31" s="106">
        <v>1.4</v>
      </c>
      <c r="Y31" s="106">
        <v>3</v>
      </c>
      <c r="Z31" s="106">
        <v>3</v>
      </c>
      <c r="AA31" s="106">
        <v>4</v>
      </c>
      <c r="AB31" s="106">
        <v>3.5</v>
      </c>
      <c r="AC31" s="106">
        <v>3.8</v>
      </c>
      <c r="AD31" s="106">
        <v>2.9</v>
      </c>
      <c r="AE31" s="106">
        <v>4.0999999999999996</v>
      </c>
      <c r="AF31" s="88">
        <v>4</v>
      </c>
      <c r="AG31" s="103">
        <f t="shared" si="0"/>
        <v>77.400000000000006</v>
      </c>
      <c r="AH31" s="120"/>
      <c r="AI31" s="120"/>
    </row>
    <row r="32" spans="1:35" s="91" customFormat="1" ht="18.75" customHeight="1" x14ac:dyDescent="0.25">
      <c r="A32" s="62" t="s">
        <v>179</v>
      </c>
      <c r="B32" s="106">
        <v>0.3</v>
      </c>
      <c r="C32" s="106">
        <v>0.4</v>
      </c>
      <c r="D32" s="106">
        <v>0.4</v>
      </c>
      <c r="E32" s="106">
        <v>0.3</v>
      </c>
      <c r="F32" s="106">
        <v>0.2</v>
      </c>
      <c r="G32" s="106">
        <v>0.3</v>
      </c>
      <c r="H32" s="106">
        <v>0.3</v>
      </c>
      <c r="I32" s="106">
        <v>0.2</v>
      </c>
      <c r="J32" s="106">
        <v>0.2</v>
      </c>
      <c r="K32" s="106">
        <v>0.4</v>
      </c>
      <c r="L32" s="106">
        <v>0.2</v>
      </c>
      <c r="M32" s="106">
        <v>0.4</v>
      </c>
      <c r="N32" s="106">
        <v>0.4</v>
      </c>
      <c r="O32" s="106">
        <v>0.3</v>
      </c>
      <c r="P32" s="106">
        <v>0.2</v>
      </c>
      <c r="Q32" s="106">
        <v>0.2</v>
      </c>
      <c r="R32" s="106">
        <v>0.3</v>
      </c>
      <c r="S32" s="106">
        <v>0.4</v>
      </c>
      <c r="T32" s="106">
        <v>0.5</v>
      </c>
      <c r="U32" s="106">
        <v>0.3</v>
      </c>
      <c r="V32" s="106">
        <v>0.2</v>
      </c>
      <c r="W32" s="106">
        <v>0.3</v>
      </c>
      <c r="X32" s="106">
        <v>0.4</v>
      </c>
      <c r="Y32" s="106">
        <v>0.3</v>
      </c>
      <c r="Z32" s="106">
        <v>0.2</v>
      </c>
      <c r="AA32" s="106">
        <v>0.3</v>
      </c>
      <c r="AB32" s="106">
        <v>0.3</v>
      </c>
      <c r="AC32" s="106">
        <v>0.2</v>
      </c>
      <c r="AD32" s="106">
        <v>0.2</v>
      </c>
      <c r="AE32" s="106">
        <v>0.4</v>
      </c>
      <c r="AF32" s="88">
        <v>0.3</v>
      </c>
      <c r="AG32" s="103">
        <f t="shared" si="0"/>
        <v>9.3000000000000007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44.8</v>
      </c>
      <c r="C33" s="87">
        <f t="shared" ref="C33:AF33" si="1">SUM(C3:C32)</f>
        <v>39.4</v>
      </c>
      <c r="D33" s="87">
        <f t="shared" si="1"/>
        <v>45.8</v>
      </c>
      <c r="E33" s="87">
        <f t="shared" si="1"/>
        <v>49.5</v>
      </c>
      <c r="F33" s="87">
        <f t="shared" si="1"/>
        <v>50.2</v>
      </c>
      <c r="G33" s="87">
        <f t="shared" si="1"/>
        <v>47.29999999999999</v>
      </c>
      <c r="H33" s="87">
        <f t="shared" si="1"/>
        <v>46.599999999999987</v>
      </c>
      <c r="I33" s="87">
        <f t="shared" si="1"/>
        <v>42.900000000000006</v>
      </c>
      <c r="J33" s="87">
        <f t="shared" si="1"/>
        <v>49.000000000000007</v>
      </c>
      <c r="K33" s="87">
        <f t="shared" si="1"/>
        <v>47.199999999999996</v>
      </c>
      <c r="L33" s="87">
        <f t="shared" si="1"/>
        <v>43</v>
      </c>
      <c r="M33" s="87">
        <f t="shared" si="1"/>
        <v>45.7</v>
      </c>
      <c r="N33" s="87">
        <f t="shared" si="1"/>
        <v>45</v>
      </c>
      <c r="O33" s="87">
        <f t="shared" si="1"/>
        <v>43.999999999999993</v>
      </c>
      <c r="P33" s="87">
        <f t="shared" si="1"/>
        <v>49.000000000000007</v>
      </c>
      <c r="Q33" s="87">
        <f t="shared" si="1"/>
        <v>46.6</v>
      </c>
      <c r="R33" s="87">
        <f t="shared" si="1"/>
        <v>42.099999999999994</v>
      </c>
      <c r="S33" s="87">
        <f t="shared" si="1"/>
        <v>47</v>
      </c>
      <c r="T33" s="87">
        <f t="shared" si="1"/>
        <v>44.1</v>
      </c>
      <c r="U33" s="87">
        <f t="shared" si="1"/>
        <v>44.2</v>
      </c>
      <c r="V33" s="87">
        <f t="shared" si="1"/>
        <v>52.800000000000004</v>
      </c>
      <c r="W33" s="87">
        <f t="shared" si="1"/>
        <v>47.3</v>
      </c>
      <c r="X33" s="87">
        <f t="shared" si="1"/>
        <v>47.499999999999993</v>
      </c>
      <c r="Y33" s="87">
        <f t="shared" si="1"/>
        <v>46.3</v>
      </c>
      <c r="Z33" s="87">
        <f t="shared" si="1"/>
        <v>46.199999999999996</v>
      </c>
      <c r="AA33" s="87">
        <f t="shared" si="1"/>
        <v>48.500000000000007</v>
      </c>
      <c r="AB33" s="87">
        <f t="shared" si="1"/>
        <v>44.199999999999996</v>
      </c>
      <c r="AC33" s="87">
        <f t="shared" si="1"/>
        <v>44.300000000000004</v>
      </c>
      <c r="AD33" s="87">
        <f t="shared" si="1"/>
        <v>39.9</v>
      </c>
      <c r="AE33" s="87">
        <f t="shared" si="1"/>
        <v>44.79999999999999</v>
      </c>
      <c r="AF33" s="87">
        <f t="shared" si="1"/>
        <v>41.2</v>
      </c>
      <c r="AG33" s="105">
        <f t="shared" si="0"/>
        <v>1416.4</v>
      </c>
      <c r="AH33" s="134"/>
      <c r="AI33" s="134"/>
    </row>
    <row r="34" spans="1:35" s="91" customFormat="1" x14ac:dyDescent="0.25">
      <c r="A34" s="136"/>
      <c r="AG34" s="24">
        <f>SUM(AG3:AG31)</f>
        <v>1407.1000000000004</v>
      </c>
    </row>
  </sheetData>
  <mergeCells count="1">
    <mergeCell ref="A1:AG1"/>
  </mergeCells>
  <conditionalFormatting sqref="AG33">
    <cfRule type="cellIs" dxfId="1" priority="2" operator="equal">
      <formula>$AG$34</formula>
    </cfRule>
  </conditionalFormatting>
  <conditionalFormatting sqref="AG34">
    <cfRule type="cellIs" dxfId="0" priority="1" operator="equal">
      <formula>$AG$33</formula>
    </cfRule>
  </conditionalFormatting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6.710937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2" si="0">SUM(B3:AF3)</f>
        <v>0</v>
      </c>
      <c r="AH3" s="47"/>
      <c r="AI3" s="48"/>
    </row>
    <row r="4" spans="1:35" s="44" customFormat="1" ht="37.5" customHeight="1" x14ac:dyDescent="0.35">
      <c r="A4" s="60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235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1"/>
      <c r="G21" s="51"/>
      <c r="H21" s="51"/>
      <c r="I21" s="51"/>
      <c r="J21" s="51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49"/>
      <c r="D22" s="49"/>
      <c r="E22" s="49"/>
      <c r="F22" s="49"/>
      <c r="G22" s="49"/>
      <c r="H22" s="49"/>
      <c r="I22" s="49"/>
      <c r="J22" s="49"/>
      <c r="K22" s="49"/>
      <c r="L22" s="49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49"/>
      <c r="AB22" s="49"/>
      <c r="AC22" s="49"/>
      <c r="AD22" s="49"/>
      <c r="AE22" s="49"/>
      <c r="AF22" s="49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0"/>
      <c r="C29" s="51"/>
      <c r="D29" s="51"/>
      <c r="E29" s="51"/>
      <c r="F29" s="51"/>
      <c r="G29" s="51"/>
      <c r="H29" s="51"/>
      <c r="I29" s="51"/>
      <c r="J29" s="51"/>
      <c r="K29" s="114"/>
      <c r="L29" s="114"/>
      <c r="M29" s="52"/>
      <c r="N29" s="114"/>
      <c r="O29" s="52"/>
      <c r="P29" s="114"/>
      <c r="Q29" s="52"/>
      <c r="R29" s="52"/>
      <c r="S29" s="52"/>
      <c r="T29" s="114"/>
      <c r="U29" s="52"/>
      <c r="W29" s="114"/>
      <c r="X29" s="114"/>
      <c r="Y29" s="52"/>
      <c r="Z29" s="52"/>
      <c r="AA29" s="52"/>
      <c r="AB29" s="52"/>
      <c r="AC29" s="52"/>
      <c r="AD29" s="52"/>
      <c r="AE29" s="114"/>
      <c r="AF29" s="11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0</v>
      </c>
      <c r="C33" s="51">
        <f t="shared" si="1"/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SUM(AG3:AG32)</f>
        <v>0</v>
      </c>
    </row>
    <row r="35" spans="1:35" s="2" customFormat="1" x14ac:dyDescent="0.25"/>
    <row r="36" spans="1:35" s="2" customFormat="1" x14ac:dyDescent="0.25"/>
    <row r="37" spans="1:35" s="2" customFormat="1" ht="21" x14ac:dyDescent="0.35">
      <c r="AG37" s="150"/>
    </row>
    <row r="38" spans="1:35" s="2" customFormat="1" ht="21" x14ac:dyDescent="0.35">
      <c r="AG38" s="150"/>
    </row>
    <row r="39" spans="1:35" s="2" customFormat="1" ht="21" x14ac:dyDescent="0.35">
      <c r="AG39" s="150"/>
    </row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12" si="0">SUM(B3:AF3)</f>
        <v>0</v>
      </c>
      <c r="AH3" s="47"/>
      <c r="AI3" s="48"/>
    </row>
    <row r="4" spans="1:35" s="44" customFormat="1" ht="18.75" customHeight="1" x14ac:dyDescent="0.35">
      <c r="A4" s="171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>SUM(B13:C13)</f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>
        <f>SUM(B14:C14)</f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46">
        <f>SUM(B15:C15)</f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46">
        <f>SUM(B16:C16)</f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51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>SUM(B17:C17)</f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ref="AG18:AG32" si="1">SUM(B18:AF18)</f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1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1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1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1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1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1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1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1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49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1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1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1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1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1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1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2">SUM(B3:B32)</f>
        <v>0</v>
      </c>
      <c r="C33" s="51">
        <f t="shared" si="2"/>
        <v>0</v>
      </c>
      <c r="D33" s="51">
        <f t="shared" si="2"/>
        <v>0</v>
      </c>
      <c r="E33" s="51">
        <f t="shared" si="2"/>
        <v>0</v>
      </c>
      <c r="F33" s="51">
        <f t="shared" si="2"/>
        <v>0</v>
      </c>
      <c r="G33" s="51">
        <f t="shared" si="2"/>
        <v>0</v>
      </c>
      <c r="H33" s="51">
        <f t="shared" si="2"/>
        <v>0</v>
      </c>
      <c r="I33" s="51">
        <f t="shared" si="2"/>
        <v>0</v>
      </c>
      <c r="J33" s="51">
        <f t="shared" si="2"/>
        <v>0</v>
      </c>
      <c r="K33" s="51">
        <f t="shared" si="2"/>
        <v>0</v>
      </c>
      <c r="L33" s="51">
        <f t="shared" si="2"/>
        <v>0</v>
      </c>
      <c r="M33" s="51">
        <f t="shared" si="2"/>
        <v>0</v>
      </c>
      <c r="N33" s="51">
        <f t="shared" si="2"/>
        <v>0</v>
      </c>
      <c r="O33" s="51">
        <f t="shared" si="2"/>
        <v>0</v>
      </c>
      <c r="P33" s="51">
        <f t="shared" si="2"/>
        <v>0</v>
      </c>
      <c r="Q33" s="51">
        <f t="shared" si="2"/>
        <v>0</v>
      </c>
      <c r="R33" s="51">
        <f t="shared" si="2"/>
        <v>0</v>
      </c>
      <c r="S33" s="51">
        <f t="shared" si="2"/>
        <v>0</v>
      </c>
      <c r="T33" s="51">
        <f t="shared" si="2"/>
        <v>0</v>
      </c>
      <c r="U33" s="51">
        <f t="shared" si="2"/>
        <v>0</v>
      </c>
      <c r="V33" s="51">
        <f t="shared" si="2"/>
        <v>0</v>
      </c>
      <c r="W33" s="51">
        <f t="shared" si="2"/>
        <v>0</v>
      </c>
      <c r="X33" s="51">
        <f t="shared" si="2"/>
        <v>0</v>
      </c>
      <c r="Y33" s="51">
        <f t="shared" si="2"/>
        <v>0</v>
      </c>
      <c r="Z33" s="51">
        <f t="shared" si="2"/>
        <v>0</v>
      </c>
      <c r="AA33" s="51">
        <f t="shared" si="2"/>
        <v>0</v>
      </c>
      <c r="AB33" s="51">
        <f t="shared" si="2"/>
        <v>0</v>
      </c>
      <c r="AC33" s="51">
        <f t="shared" si="2"/>
        <v>0</v>
      </c>
      <c r="AD33" s="51">
        <f t="shared" si="2"/>
        <v>0</v>
      </c>
      <c r="AE33" s="51">
        <f t="shared" si="2"/>
        <v>0</v>
      </c>
      <c r="AF33" s="51">
        <f t="shared" si="2"/>
        <v>0</v>
      </c>
      <c r="AG33" s="56">
        <f>SUM(B32:AF33)</f>
        <v>0</v>
      </c>
      <c r="AH33" s="57"/>
      <c r="AI33" s="57"/>
    </row>
    <row r="34" spans="1:35" s="2" customFormat="1" x14ac:dyDescent="0.25">
      <c r="AG34" s="24">
        <f>SUM(AG3:AG32)</f>
        <v>0</v>
      </c>
    </row>
    <row r="35" spans="1:35" s="2" customFormat="1" x14ac:dyDescent="0.25"/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49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172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0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51"/>
      <c r="D17" s="51"/>
      <c r="E17" s="51"/>
      <c r="F17" s="51"/>
      <c r="G17" s="51"/>
      <c r="H17" s="51"/>
      <c r="I17" s="51"/>
      <c r="J17" s="51"/>
      <c r="K17" s="52"/>
      <c r="L17" s="52"/>
      <c r="M17" s="114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114"/>
      <c r="AD17" s="52"/>
      <c r="AE17" s="52"/>
      <c r="AF17" s="52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1"/>
      <c r="G21" s="51"/>
      <c r="H21" s="51"/>
      <c r="I21" s="51"/>
      <c r="J21" s="51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0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0"/>
      <c r="C29" s="51"/>
      <c r="D29" s="51"/>
      <c r="E29" s="51"/>
      <c r="F29" s="51"/>
      <c r="G29" s="51"/>
      <c r="H29" s="51"/>
      <c r="I29" s="51"/>
      <c r="J29" s="51"/>
      <c r="K29" s="114"/>
      <c r="L29" s="114"/>
      <c r="M29" s="52"/>
      <c r="N29" s="114"/>
      <c r="O29" s="52"/>
      <c r="P29" s="114"/>
      <c r="Q29" s="52"/>
      <c r="R29" s="52"/>
      <c r="S29" s="52"/>
      <c r="T29" s="114"/>
      <c r="U29" s="52"/>
      <c r="V29" s="114"/>
      <c r="W29" s="114"/>
      <c r="X29" s="52"/>
      <c r="Y29" s="52"/>
      <c r="Z29" s="52"/>
      <c r="AA29" s="52"/>
      <c r="AB29" s="52"/>
      <c r="AC29" s="52"/>
      <c r="AD29" s="114"/>
      <c r="AE29" s="114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0</v>
      </c>
      <c r="C33" s="51">
        <f t="shared" si="1"/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SUM(AG3:AG32)</f>
        <v>0</v>
      </c>
    </row>
    <row r="35" spans="1:35" s="2" customFormat="1" x14ac:dyDescent="0.25"/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249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51"/>
      <c r="D17" s="51"/>
      <c r="E17" s="51"/>
      <c r="F17" s="51"/>
      <c r="G17" s="51"/>
      <c r="H17" s="51"/>
      <c r="I17" s="51"/>
      <c r="J17" s="51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1"/>
      <c r="G21" s="51"/>
      <c r="H21" s="51"/>
      <c r="I21" s="51"/>
      <c r="J21" s="51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49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49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51"/>
      <c r="D29" s="51"/>
      <c r="E29" s="51"/>
      <c r="F29" s="51"/>
      <c r="G29" s="51"/>
      <c r="H29" s="51"/>
      <c r="I29" s="51"/>
      <c r="J29" s="51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>SUM(B31:AF31)</f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0</v>
      </c>
      <c r="C33" s="51">
        <f t="shared" si="1"/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SUM(AG3:AG32)</f>
        <v>0</v>
      </c>
    </row>
    <row r="35" spans="1:35" s="2" customFormat="1" x14ac:dyDescent="0.25"/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49"/>
      <c r="P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9" si="0">SUM(B3:AF3)</f>
        <v>0</v>
      </c>
      <c r="AH3" s="47"/>
      <c r="AI3" s="48"/>
    </row>
    <row r="4" spans="1:35" s="44" customFormat="1" ht="18.75" customHeight="1" x14ac:dyDescent="0.35">
      <c r="A4" s="171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ref="AG10:AG33" si="1">SUM(B10:AF10)</f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1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1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1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1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1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1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49"/>
      <c r="D17" s="49"/>
      <c r="E17" s="49"/>
      <c r="F17" s="49"/>
      <c r="G17" s="49"/>
      <c r="H17" s="49"/>
      <c r="I17" s="50"/>
      <c r="J17" s="49"/>
      <c r="K17" s="50"/>
      <c r="L17" s="49"/>
      <c r="M17" s="50"/>
      <c r="N17" s="49"/>
      <c r="O17" s="49"/>
      <c r="P17" s="50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si="1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1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1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1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1"/>
      <c r="G21" s="51"/>
      <c r="H21" s="51"/>
      <c r="I21" s="51"/>
      <c r="J21" s="51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1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1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1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49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1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1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AE26" s="51"/>
      <c r="AF26" s="51"/>
      <c r="AG26" s="46">
        <f t="shared" si="1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49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1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1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51"/>
      <c r="D29" s="51"/>
      <c r="E29" s="51"/>
      <c r="F29" s="51"/>
      <c r="G29" s="51"/>
      <c r="H29" s="51"/>
      <c r="I29" s="51"/>
      <c r="J29" s="51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1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1"/>
      <c r="AG31" s="46">
        <f t="shared" si="1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1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P33" si="2">SUM(B4:B32)</f>
        <v>0</v>
      </c>
      <c r="C33" s="51">
        <f t="shared" si="2"/>
        <v>0</v>
      </c>
      <c r="D33" s="51">
        <f t="shared" si="2"/>
        <v>0</v>
      </c>
      <c r="E33" s="51">
        <f t="shared" si="2"/>
        <v>0</v>
      </c>
      <c r="F33" s="51">
        <f t="shared" si="2"/>
        <v>0</v>
      </c>
      <c r="G33" s="51">
        <f t="shared" si="2"/>
        <v>0</v>
      </c>
      <c r="H33" s="51">
        <f t="shared" si="2"/>
        <v>0</v>
      </c>
      <c r="I33" s="51">
        <f t="shared" si="2"/>
        <v>0</v>
      </c>
      <c r="J33" s="51">
        <f t="shared" si="2"/>
        <v>0</v>
      </c>
      <c r="K33" s="51">
        <f t="shared" si="2"/>
        <v>0</v>
      </c>
      <c r="L33" s="51">
        <f t="shared" si="2"/>
        <v>0</v>
      </c>
      <c r="M33" s="51">
        <f t="shared" si="2"/>
        <v>0</v>
      </c>
      <c r="N33" s="51">
        <f t="shared" si="2"/>
        <v>0</v>
      </c>
      <c r="O33" s="51">
        <f t="shared" si="2"/>
        <v>0</v>
      </c>
      <c r="P33" s="51">
        <f t="shared" si="2"/>
        <v>0</v>
      </c>
      <c r="Q33" s="51">
        <f t="shared" ref="Q33:AF33" si="3">SUM(Q3:Q32)</f>
        <v>0</v>
      </c>
      <c r="R33" s="51">
        <f t="shared" si="3"/>
        <v>0</v>
      </c>
      <c r="S33" s="51">
        <f t="shared" si="3"/>
        <v>0</v>
      </c>
      <c r="T33" s="51">
        <f t="shared" si="3"/>
        <v>0</v>
      </c>
      <c r="U33" s="51">
        <f t="shared" si="3"/>
        <v>0</v>
      </c>
      <c r="V33" s="51">
        <f t="shared" si="3"/>
        <v>0</v>
      </c>
      <c r="W33" s="51">
        <f t="shared" si="3"/>
        <v>0</v>
      </c>
      <c r="X33" s="51">
        <f t="shared" si="3"/>
        <v>0</v>
      </c>
      <c r="Y33" s="51">
        <f t="shared" si="3"/>
        <v>0</v>
      </c>
      <c r="Z33" s="51">
        <f t="shared" si="3"/>
        <v>0</v>
      </c>
      <c r="AA33" s="51">
        <f t="shared" si="3"/>
        <v>0</v>
      </c>
      <c r="AB33" s="51">
        <f t="shared" si="3"/>
        <v>0</v>
      </c>
      <c r="AC33" s="51">
        <f t="shared" si="3"/>
        <v>0</v>
      </c>
      <c r="AD33" s="51">
        <f t="shared" si="3"/>
        <v>0</v>
      </c>
      <c r="AE33" s="51">
        <f t="shared" si="3"/>
        <v>0</v>
      </c>
      <c r="AF33" s="51">
        <f t="shared" si="3"/>
        <v>0</v>
      </c>
      <c r="AG33" s="56">
        <f t="shared" si="1"/>
        <v>0</v>
      </c>
      <c r="AH33" s="57"/>
      <c r="AI33" s="57"/>
    </row>
    <row r="34" spans="1:35" s="2" customFormat="1" x14ac:dyDescent="0.25">
      <c r="AG34" s="24">
        <f>SUM(AG3:AG32)</f>
        <v>0</v>
      </c>
    </row>
    <row r="35" spans="1:35" s="2" customFormat="1" x14ac:dyDescent="0.25"/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L62"/>
  <sheetViews>
    <sheetView workbookViewId="0"/>
  </sheetViews>
  <sheetFormatPr baseColWidth="10" defaultRowHeight="15" x14ac:dyDescent="0.25"/>
  <cols>
    <col min="2" max="2" width="18.85546875" customWidth="1"/>
    <col min="3" max="3" width="18.42578125" customWidth="1"/>
    <col min="4" max="4" width="15.5703125" customWidth="1"/>
    <col min="5" max="5" width="16" customWidth="1"/>
    <col min="6" max="6" width="17" customWidth="1"/>
    <col min="7" max="8" width="12.5703125" customWidth="1"/>
    <col min="9" max="9" width="16.140625" customWidth="1"/>
    <col min="10" max="10" width="18.5703125" customWidth="1"/>
    <col min="12" max="12" width="11.85546875" bestFit="1" customWidth="1"/>
  </cols>
  <sheetData>
    <row r="2" spans="1:12" x14ac:dyDescent="0.25">
      <c r="A2" s="2"/>
      <c r="B2" s="2"/>
      <c r="C2" s="203" t="s">
        <v>121</v>
      </c>
      <c r="D2" s="204"/>
      <c r="E2" s="14"/>
      <c r="F2" s="14"/>
      <c r="G2" s="14"/>
      <c r="H2" s="14"/>
      <c r="I2" s="2"/>
      <c r="J2" s="2"/>
      <c r="K2" s="2"/>
    </row>
    <row r="3" spans="1:12" s="30" customFormat="1" ht="40.5" customHeight="1" x14ac:dyDescent="0.25">
      <c r="A3" s="183" t="s">
        <v>256</v>
      </c>
      <c r="B3" s="183" t="s">
        <v>108</v>
      </c>
      <c r="C3" s="183" t="s">
        <v>107</v>
      </c>
      <c r="D3" s="183" t="s">
        <v>106</v>
      </c>
      <c r="E3" s="183" t="s">
        <v>123</v>
      </c>
      <c r="F3" s="183" t="s">
        <v>116</v>
      </c>
      <c r="G3" s="205" t="s">
        <v>119</v>
      </c>
      <c r="H3" s="206"/>
      <c r="I3" s="183" t="s">
        <v>103</v>
      </c>
      <c r="J3" s="183" t="s">
        <v>104</v>
      </c>
      <c r="K3" s="29" t="s">
        <v>234</v>
      </c>
    </row>
    <row r="4" spans="1:12" x14ac:dyDescent="0.25">
      <c r="A4" s="184" t="s">
        <v>102</v>
      </c>
      <c r="B4" s="20">
        <f>SUM('MESES 2023'!AG2:AG6)</f>
        <v>9629.9500000000007</v>
      </c>
      <c r="C4" s="20">
        <v>2767</v>
      </c>
      <c r="D4" s="20">
        <v>9350</v>
      </c>
      <c r="E4" s="20">
        <f>'MESES 2023'!AG2+'MESES 2023'!AG3+'MESES 2023'!AG4</f>
        <v>4416.12</v>
      </c>
      <c r="F4" s="20">
        <f>'MESES 2023'!AG5</f>
        <v>621.5</v>
      </c>
      <c r="G4" s="20">
        <f>'MESES 2023'!AG6</f>
        <v>4592.33</v>
      </c>
      <c r="H4" s="20">
        <f>G4+F4</f>
        <v>5213.83</v>
      </c>
      <c r="I4" s="22">
        <f>SUM(C4:G4)</f>
        <v>21746.949999999997</v>
      </c>
      <c r="J4" s="20">
        <f>C4+D4</f>
        <v>12117</v>
      </c>
      <c r="K4" s="2"/>
      <c r="L4">
        <f>E4+F4+G4</f>
        <v>9629.9500000000007</v>
      </c>
    </row>
    <row r="5" spans="1:12" x14ac:dyDescent="0.25">
      <c r="A5" s="184" t="s">
        <v>7</v>
      </c>
      <c r="B5" s="20">
        <f t="shared" ref="B5:B15" si="0">E5+F5+G5</f>
        <v>7674.9400000000005</v>
      </c>
      <c r="C5" s="20">
        <v>2993</v>
      </c>
      <c r="D5" s="20">
        <v>9900</v>
      </c>
      <c r="E5" s="20">
        <f>'MESES 2023'!AG9+'MESES 2023'!AG10+'MESES 2023'!AG11</f>
        <v>2989.56</v>
      </c>
      <c r="F5" s="20">
        <f>'MESES 2023'!AG12</f>
        <v>600.70000000000005</v>
      </c>
      <c r="G5" s="20">
        <f>'MESES 2023'!AG13</f>
        <v>4084.68</v>
      </c>
      <c r="H5" s="20">
        <f t="shared" ref="H5:H9" si="1">G5+F5</f>
        <v>4685.38</v>
      </c>
      <c r="I5" s="22">
        <f t="shared" ref="I5:I6" si="2">SUM(C5:G5)</f>
        <v>20567.939999999999</v>
      </c>
      <c r="J5" s="20">
        <f>C5+D5</f>
        <v>12893</v>
      </c>
      <c r="K5" s="2">
        <v>522</v>
      </c>
      <c r="L5">
        <f t="shared" ref="L5:L15" si="3">E5+F5+G5</f>
        <v>7674.9400000000005</v>
      </c>
    </row>
    <row r="6" spans="1:12" x14ac:dyDescent="0.25">
      <c r="A6" s="184" t="s">
        <v>14</v>
      </c>
      <c r="B6" s="20">
        <f t="shared" si="0"/>
        <v>9148.2810000000009</v>
      </c>
      <c r="C6" s="20">
        <v>3097</v>
      </c>
      <c r="D6" s="20">
        <v>8600</v>
      </c>
      <c r="E6" s="164">
        <f>'MESES 2023'!AG16+'MESES 2023'!AG17+'MESES 2023'!AG18</f>
        <v>4327.5309999999999</v>
      </c>
      <c r="F6" s="20">
        <f>'MESES 2023'!AG19</f>
        <v>611.10000000000014</v>
      </c>
      <c r="G6" s="20">
        <f>'MESES 2023'!AG20</f>
        <v>4209.6500000000005</v>
      </c>
      <c r="H6" s="20">
        <f t="shared" si="1"/>
        <v>4820.7500000000009</v>
      </c>
      <c r="I6" s="22">
        <f t="shared" si="2"/>
        <v>20845.280999999999</v>
      </c>
      <c r="J6" s="20">
        <f t="shared" ref="J6" si="4">C6+D6</f>
        <v>11697</v>
      </c>
      <c r="K6" s="2">
        <v>535</v>
      </c>
      <c r="L6">
        <f t="shared" si="3"/>
        <v>9148.2810000000009</v>
      </c>
    </row>
    <row r="7" spans="1:12" x14ac:dyDescent="0.25">
      <c r="A7" s="184" t="s">
        <v>21</v>
      </c>
      <c r="B7" s="19">
        <f>E7+F7+G7</f>
        <v>3088.62</v>
      </c>
      <c r="C7" s="19"/>
      <c r="D7" s="19"/>
      <c r="E7" s="19">
        <f>'MESES 2023'!AG23+'MESES 2023'!AG24+'MESES 2023'!AG25</f>
        <v>1140.8199999999997</v>
      </c>
      <c r="F7" s="166">
        <f>'MESES 2023'!AG26</f>
        <v>0</v>
      </c>
      <c r="G7" s="19">
        <f>'MESES 2023'!AG27</f>
        <v>1947.8000000000002</v>
      </c>
      <c r="H7" s="19">
        <f>G7+F7</f>
        <v>1947.8000000000002</v>
      </c>
      <c r="I7" s="71">
        <f t="shared" ref="I7:I15" si="5">SUM(B7:G7)</f>
        <v>6177.24</v>
      </c>
      <c r="J7" s="19">
        <f t="shared" ref="J7:J15" si="6">C7+D7</f>
        <v>0</v>
      </c>
      <c r="K7" s="2"/>
      <c r="L7">
        <f t="shared" si="3"/>
        <v>3088.62</v>
      </c>
    </row>
    <row r="8" spans="1:12" x14ac:dyDescent="0.25">
      <c r="A8" s="184" t="s">
        <v>28</v>
      </c>
      <c r="B8" s="19">
        <f t="shared" si="0"/>
        <v>8568.5550000000003</v>
      </c>
      <c r="C8" s="19"/>
      <c r="D8" s="19"/>
      <c r="E8" s="165">
        <f>'MESES 2023'!AG30+'MESES 2023'!AG31+'MESES 2023'!AG32</f>
        <v>4209.7849999999999</v>
      </c>
      <c r="F8" s="166">
        <f>'MESES 2023'!AG33</f>
        <v>580.33999999999992</v>
      </c>
      <c r="G8" s="19">
        <f>'MESES 2023'!AG34</f>
        <v>3778.43</v>
      </c>
      <c r="H8" s="19">
        <f t="shared" si="1"/>
        <v>4358.7699999999995</v>
      </c>
      <c r="I8" s="71">
        <f t="shared" si="5"/>
        <v>17137.11</v>
      </c>
      <c r="J8" s="19">
        <f t="shared" si="6"/>
        <v>0</v>
      </c>
      <c r="K8" s="2"/>
      <c r="L8">
        <f t="shared" si="3"/>
        <v>8568.5550000000003</v>
      </c>
    </row>
    <row r="9" spans="1:12" x14ac:dyDescent="0.25">
      <c r="A9" s="184" t="s">
        <v>35</v>
      </c>
      <c r="B9" s="19">
        <f t="shared" si="0"/>
        <v>76</v>
      </c>
      <c r="C9" s="19"/>
      <c r="D9" s="19"/>
      <c r="E9" s="19">
        <f>'MESES 2023'!AG37+'MESES 2023'!AG38+'MESES 2023'!AG39</f>
        <v>76</v>
      </c>
      <c r="F9" s="166">
        <f>'MESES 2023'!AG40</f>
        <v>0</v>
      </c>
      <c r="G9" s="19">
        <f>'MESES 2023'!AG41</f>
        <v>0</v>
      </c>
      <c r="H9" s="19">
        <f t="shared" si="1"/>
        <v>0</v>
      </c>
      <c r="I9" s="71">
        <f t="shared" si="5"/>
        <v>152</v>
      </c>
      <c r="J9" s="19">
        <f t="shared" si="6"/>
        <v>0</v>
      </c>
      <c r="K9" s="2"/>
      <c r="L9">
        <f t="shared" si="3"/>
        <v>76</v>
      </c>
    </row>
    <row r="10" spans="1:12" x14ac:dyDescent="0.25">
      <c r="A10" s="184" t="s">
        <v>42</v>
      </c>
      <c r="B10" s="21">
        <f>E10+F10+G10</f>
        <v>0</v>
      </c>
      <c r="C10" s="21"/>
      <c r="D10" s="21"/>
      <c r="E10" s="21">
        <f>'MESES 2023'!AG44+'MESES 2023'!AG45+'MESES 2023'!AG46</f>
        <v>0</v>
      </c>
      <c r="F10" s="21">
        <f>'MESES 2023'!AG47</f>
        <v>0</v>
      </c>
      <c r="G10" s="21">
        <f>'MESES 2023'!AG48</f>
        <v>0</v>
      </c>
      <c r="H10" s="21">
        <f>G10+F10</f>
        <v>0</v>
      </c>
      <c r="I10" s="72">
        <f t="shared" si="5"/>
        <v>0</v>
      </c>
      <c r="J10" s="21">
        <f t="shared" si="6"/>
        <v>0</v>
      </c>
      <c r="K10" s="2"/>
      <c r="L10">
        <f t="shared" si="3"/>
        <v>0</v>
      </c>
    </row>
    <row r="11" spans="1:12" x14ac:dyDescent="0.25">
      <c r="A11" s="184" t="s">
        <v>95</v>
      </c>
      <c r="B11" s="21">
        <f t="shared" si="0"/>
        <v>0</v>
      </c>
      <c r="C11" s="21"/>
      <c r="D11" s="21"/>
      <c r="E11" s="21">
        <f>'MESES 2023'!AG51+'MESES 2023'!AG52+'MESES 2023'!AG53</f>
        <v>0</v>
      </c>
      <c r="F11" s="21">
        <f>'MESES 2023'!AG54</f>
        <v>0</v>
      </c>
      <c r="G11" s="21">
        <f>'MESES 2023'!AG55</f>
        <v>0</v>
      </c>
      <c r="H11" s="21">
        <f>G11+F11</f>
        <v>0</v>
      </c>
      <c r="I11" s="72">
        <f t="shared" si="5"/>
        <v>0</v>
      </c>
      <c r="J11" s="21">
        <f t="shared" si="6"/>
        <v>0</v>
      </c>
      <c r="K11" s="2"/>
      <c r="L11">
        <f t="shared" si="3"/>
        <v>0</v>
      </c>
    </row>
    <row r="12" spans="1:12" x14ac:dyDescent="0.25">
      <c r="A12" s="184" t="s">
        <v>96</v>
      </c>
      <c r="B12" s="21">
        <f t="shared" si="0"/>
        <v>0</v>
      </c>
      <c r="C12" s="21"/>
      <c r="D12" s="21"/>
      <c r="E12" s="112">
        <f>'MESES 2023'!AG58+'MESES 2023'!AG59+'MESES 2023'!AG60</f>
        <v>0</v>
      </c>
      <c r="F12" s="21">
        <f>'MESES 2023'!AG61</f>
        <v>0</v>
      </c>
      <c r="G12" s="21">
        <f>'MESES 2023'!AG62</f>
        <v>0</v>
      </c>
      <c r="H12" s="21">
        <f>G12+F12</f>
        <v>0</v>
      </c>
      <c r="I12" s="72">
        <f t="shared" si="5"/>
        <v>0</v>
      </c>
      <c r="J12" s="21">
        <f t="shared" si="6"/>
        <v>0</v>
      </c>
      <c r="K12" s="2"/>
      <c r="L12">
        <f t="shared" si="3"/>
        <v>0</v>
      </c>
    </row>
    <row r="13" spans="1:12" x14ac:dyDescent="0.25">
      <c r="A13" s="184" t="s">
        <v>98</v>
      </c>
      <c r="B13" s="100">
        <f t="shared" si="0"/>
        <v>0</v>
      </c>
      <c r="C13" s="100"/>
      <c r="D13" s="100"/>
      <c r="E13" s="100">
        <f>'MESES 2023'!AG65+'MESES 2023'!AG66+'MESES 2023'!AG67</f>
        <v>0</v>
      </c>
      <c r="F13" s="100">
        <f>'MESES 2023'!AG69</f>
        <v>0</v>
      </c>
      <c r="G13" s="100">
        <f>'MESES 2023'!AG68</f>
        <v>0</v>
      </c>
      <c r="H13" s="100">
        <f>G13+F13</f>
        <v>0</v>
      </c>
      <c r="I13" s="101">
        <f>SUM(B13:G13)</f>
        <v>0</v>
      </c>
      <c r="J13" s="100">
        <f>C13+D13</f>
        <v>0</v>
      </c>
      <c r="K13" s="2"/>
      <c r="L13">
        <f t="shared" si="3"/>
        <v>0</v>
      </c>
    </row>
    <row r="14" spans="1:12" x14ac:dyDescent="0.25">
      <c r="A14" s="184" t="s">
        <v>99</v>
      </c>
      <c r="B14" s="100">
        <f t="shared" si="0"/>
        <v>0</v>
      </c>
      <c r="C14" s="100"/>
      <c r="D14" s="100"/>
      <c r="E14" s="100">
        <f>'MESES 2023'!AG72+'MESES 2023'!AG73+'MESES 2023'!AG74</f>
        <v>0</v>
      </c>
      <c r="F14" s="100">
        <f>'MESES 2023'!AG76</f>
        <v>0</v>
      </c>
      <c r="G14" s="100">
        <f>'MESES 2023'!AG75</f>
        <v>0</v>
      </c>
      <c r="H14" s="100">
        <f t="shared" ref="H14:H15" si="7">G14+F14</f>
        <v>0</v>
      </c>
      <c r="I14" s="101">
        <f>SUM(B14:G14)</f>
        <v>0</v>
      </c>
      <c r="J14" s="100">
        <f>C14+D14</f>
        <v>0</v>
      </c>
      <c r="K14" s="2"/>
      <c r="L14">
        <f t="shared" si="3"/>
        <v>0</v>
      </c>
    </row>
    <row r="15" spans="1:12" x14ac:dyDescent="0.25">
      <c r="A15" s="184" t="s">
        <v>100</v>
      </c>
      <c r="B15" s="100">
        <f t="shared" si="0"/>
        <v>0</v>
      </c>
      <c r="C15" s="100"/>
      <c r="D15" s="100"/>
      <c r="E15" s="111">
        <f>'MESES 2023'!AG79+'MESES 2023'!AG80+'MESES 2023'!AG81</f>
        <v>0</v>
      </c>
      <c r="F15" s="100">
        <f>'MESES 2023'!AG83</f>
        <v>0</v>
      </c>
      <c r="G15" s="100">
        <f>'MESES 2023'!AG82</f>
        <v>0</v>
      </c>
      <c r="H15" s="100">
        <f t="shared" si="7"/>
        <v>0</v>
      </c>
      <c r="I15" s="101">
        <f t="shared" si="5"/>
        <v>0</v>
      </c>
      <c r="J15" s="100">
        <f t="shared" si="6"/>
        <v>0</v>
      </c>
      <c r="K15" s="2"/>
      <c r="L15">
        <f t="shared" si="3"/>
        <v>0</v>
      </c>
    </row>
    <row r="16" spans="1:12" x14ac:dyDescent="0.25">
      <c r="A16" s="185" t="s">
        <v>97</v>
      </c>
      <c r="B16" s="2">
        <f>SUM(B4:B15)</f>
        <v>38186.346000000005</v>
      </c>
      <c r="C16" s="2">
        <f>SUM(C4:C15)</f>
        <v>8857</v>
      </c>
      <c r="D16" s="2">
        <f>SUM(D4:D15)</f>
        <v>27850</v>
      </c>
      <c r="E16" s="2">
        <f t="shared" ref="E16:J16" si="8">SUM(E4:E15)</f>
        <v>17159.815999999999</v>
      </c>
      <c r="F16" s="2">
        <f t="shared" si="8"/>
        <v>2413.6400000000003</v>
      </c>
      <c r="G16" s="2">
        <f t="shared" si="8"/>
        <v>18612.89</v>
      </c>
      <c r="H16" s="2"/>
      <c r="I16" s="2">
        <f t="shared" si="8"/>
        <v>86626.521000000008</v>
      </c>
      <c r="J16" s="2">
        <f t="shared" si="8"/>
        <v>36707</v>
      </c>
      <c r="K16" s="2"/>
    </row>
    <row r="17" spans="1:12" x14ac:dyDescent="0.25">
      <c r="A17" s="2"/>
      <c r="B17" s="2"/>
      <c r="C17" s="102" t="s">
        <v>172</v>
      </c>
      <c r="D17" s="102">
        <f>AVERAGE(D4:D13)</f>
        <v>9283.3333333333339</v>
      </c>
      <c r="E17" s="2"/>
      <c r="F17" s="2"/>
      <c r="G17" s="2"/>
      <c r="H17" s="2"/>
      <c r="I17" s="26">
        <f>SUM(I4:I13)</f>
        <v>86626.521000000008</v>
      </c>
      <c r="J17" s="27">
        <f>I17/1000</f>
        <v>86.626521000000011</v>
      </c>
      <c r="K17" s="2"/>
    </row>
    <row r="18" spans="1:12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</row>
    <row r="19" spans="1:12" s="30" customFormat="1" ht="45" x14ac:dyDescent="0.25">
      <c r="A19" s="29"/>
      <c r="B19" s="31"/>
      <c r="C19" s="28" t="s">
        <v>117</v>
      </c>
      <c r="D19" s="28" t="s">
        <v>115</v>
      </c>
      <c r="E19" s="28" t="s">
        <v>122</v>
      </c>
      <c r="F19" s="28" t="s">
        <v>130</v>
      </c>
      <c r="I19" s="31"/>
      <c r="J19" s="28" t="s">
        <v>117</v>
      </c>
      <c r="K19" s="28" t="s">
        <v>131</v>
      </c>
      <c r="L19" s="28" t="s">
        <v>132</v>
      </c>
    </row>
    <row r="20" spans="1:12" x14ac:dyDescent="0.25">
      <c r="A20" s="2"/>
      <c r="B20" s="16" t="s">
        <v>0</v>
      </c>
      <c r="C20" s="7" t="s">
        <v>109</v>
      </c>
      <c r="D20" s="17">
        <f>(C4/I4)</f>
        <v>0.12723623312694426</v>
      </c>
      <c r="E20" s="17">
        <f>C4/J4</f>
        <v>0.22835685400676736</v>
      </c>
      <c r="F20" s="17">
        <f>C4/C4</f>
        <v>1</v>
      </c>
      <c r="I20" s="16" t="s">
        <v>0</v>
      </c>
      <c r="J20" s="7" t="s">
        <v>112</v>
      </c>
      <c r="K20" s="17">
        <f t="shared" ref="K20:K31" si="9">(E4/I4)</f>
        <v>0.20306847626908603</v>
      </c>
      <c r="L20" s="25">
        <f>E4/B4</f>
        <v>0.45858182025867211</v>
      </c>
    </row>
    <row r="21" spans="1:12" x14ac:dyDescent="0.25">
      <c r="A21" s="2"/>
      <c r="B21" s="16" t="s">
        <v>7</v>
      </c>
      <c r="C21" s="7" t="s">
        <v>109</v>
      </c>
      <c r="D21" s="17">
        <f>(C5/I5)</f>
        <v>0.14551773293776626</v>
      </c>
      <c r="E21" s="17">
        <f>C5/J5</f>
        <v>0.23214147211665245</v>
      </c>
      <c r="F21" s="17">
        <f>C5/C5</f>
        <v>1</v>
      </c>
      <c r="I21" s="16" t="s">
        <v>7</v>
      </c>
      <c r="J21" s="7" t="s">
        <v>112</v>
      </c>
      <c r="K21" s="17">
        <f t="shared" si="9"/>
        <v>0.14535048235263232</v>
      </c>
      <c r="L21" s="25">
        <f t="shared" ref="L21:L31" si="10">E5/B5</f>
        <v>0.38952226336622825</v>
      </c>
    </row>
    <row r="22" spans="1:12" x14ac:dyDescent="0.25">
      <c r="A22" s="2"/>
      <c r="B22" s="16" t="s">
        <v>14</v>
      </c>
      <c r="C22" s="7" t="s">
        <v>109</v>
      </c>
      <c r="D22" s="17">
        <f t="shared" ref="D22:D31" si="11">(C6/I6)</f>
        <v>0.14857079643109633</v>
      </c>
      <c r="E22" s="17">
        <f t="shared" ref="E22:E31" si="12">C6/J6</f>
        <v>0.26476874412242457</v>
      </c>
      <c r="F22" s="17">
        <f>C6/C6</f>
        <v>1</v>
      </c>
      <c r="I22" s="16" t="s">
        <v>14</v>
      </c>
      <c r="J22" s="7" t="s">
        <v>112</v>
      </c>
      <c r="K22" s="17">
        <f t="shared" si="9"/>
        <v>0.20760243049733895</v>
      </c>
      <c r="L22" s="25">
        <f t="shared" si="10"/>
        <v>0.47304307771044629</v>
      </c>
    </row>
    <row r="23" spans="1:12" x14ac:dyDescent="0.25">
      <c r="A23" s="2"/>
      <c r="B23" s="16" t="s">
        <v>21</v>
      </c>
      <c r="C23" s="7" t="s">
        <v>109</v>
      </c>
      <c r="D23" s="17">
        <f t="shared" si="11"/>
        <v>0</v>
      </c>
      <c r="E23" s="17" t="e">
        <f t="shared" si="12"/>
        <v>#DIV/0!</v>
      </c>
      <c r="F23" s="17" t="e">
        <f t="shared" ref="F23:F31" si="13">C7/C7</f>
        <v>#DIV/0!</v>
      </c>
      <c r="I23" s="16" t="s">
        <v>21</v>
      </c>
      <c r="J23" s="7" t="s">
        <v>112</v>
      </c>
      <c r="K23" s="17">
        <f t="shared" si="9"/>
        <v>0.18468118447720985</v>
      </c>
      <c r="L23" s="25">
        <f t="shared" si="10"/>
        <v>0.36936236895441971</v>
      </c>
    </row>
    <row r="24" spans="1:12" x14ac:dyDescent="0.25">
      <c r="A24" s="2"/>
      <c r="B24" s="16" t="s">
        <v>28</v>
      </c>
      <c r="C24" s="7" t="s">
        <v>109</v>
      </c>
      <c r="D24" s="17">
        <f t="shared" si="11"/>
        <v>0</v>
      </c>
      <c r="E24" s="17" t="e">
        <f t="shared" si="12"/>
        <v>#DIV/0!</v>
      </c>
      <c r="F24" s="17" t="e">
        <f t="shared" si="13"/>
        <v>#DIV/0!</v>
      </c>
      <c r="I24" s="16" t="s">
        <v>28</v>
      </c>
      <c r="J24" s="7" t="s">
        <v>112</v>
      </c>
      <c r="K24" s="17">
        <f t="shared" si="9"/>
        <v>0.24565314688415957</v>
      </c>
      <c r="L24" s="25">
        <f t="shared" si="10"/>
        <v>0.49130629376831914</v>
      </c>
    </row>
    <row r="25" spans="1:12" x14ac:dyDescent="0.25">
      <c r="A25" s="2"/>
      <c r="B25" s="16" t="s">
        <v>35</v>
      </c>
      <c r="C25" s="7" t="s">
        <v>109</v>
      </c>
      <c r="D25" s="17">
        <f t="shared" si="11"/>
        <v>0</v>
      </c>
      <c r="E25" s="17" t="e">
        <f t="shared" si="12"/>
        <v>#DIV/0!</v>
      </c>
      <c r="F25" s="17" t="e">
        <f t="shared" si="13"/>
        <v>#DIV/0!</v>
      </c>
      <c r="I25" s="16" t="s">
        <v>35</v>
      </c>
      <c r="J25" s="7" t="s">
        <v>112</v>
      </c>
      <c r="K25" s="17">
        <f t="shared" si="9"/>
        <v>0.5</v>
      </c>
      <c r="L25" s="25">
        <f t="shared" si="10"/>
        <v>1</v>
      </c>
    </row>
    <row r="26" spans="1:12" x14ac:dyDescent="0.25">
      <c r="A26" s="2"/>
      <c r="B26" s="16" t="s">
        <v>42</v>
      </c>
      <c r="C26" s="7" t="s">
        <v>109</v>
      </c>
      <c r="D26" s="17" t="e">
        <f t="shared" si="11"/>
        <v>#DIV/0!</v>
      </c>
      <c r="E26" s="17" t="e">
        <f t="shared" si="12"/>
        <v>#DIV/0!</v>
      </c>
      <c r="F26" s="17" t="e">
        <f t="shared" si="13"/>
        <v>#DIV/0!</v>
      </c>
      <c r="I26" s="16" t="s">
        <v>42</v>
      </c>
      <c r="J26" s="7" t="s">
        <v>112</v>
      </c>
      <c r="K26" s="17" t="e">
        <f t="shared" si="9"/>
        <v>#DIV/0!</v>
      </c>
      <c r="L26" s="25" t="e">
        <f t="shared" si="10"/>
        <v>#DIV/0!</v>
      </c>
    </row>
    <row r="27" spans="1:12" x14ac:dyDescent="0.25">
      <c r="A27" s="2"/>
      <c r="B27" s="16" t="s">
        <v>95</v>
      </c>
      <c r="C27" s="7" t="s">
        <v>109</v>
      </c>
      <c r="D27" s="17" t="e">
        <f t="shared" si="11"/>
        <v>#DIV/0!</v>
      </c>
      <c r="E27" s="17" t="e">
        <f t="shared" si="12"/>
        <v>#DIV/0!</v>
      </c>
      <c r="F27" s="17" t="e">
        <f t="shared" si="13"/>
        <v>#DIV/0!</v>
      </c>
      <c r="I27" s="16" t="s">
        <v>95</v>
      </c>
      <c r="J27" s="7" t="s">
        <v>112</v>
      </c>
      <c r="K27" s="17" t="e">
        <f t="shared" si="9"/>
        <v>#DIV/0!</v>
      </c>
      <c r="L27" s="25" t="e">
        <f t="shared" si="10"/>
        <v>#DIV/0!</v>
      </c>
    </row>
    <row r="28" spans="1:12" x14ac:dyDescent="0.25">
      <c r="A28" s="2"/>
      <c r="B28" s="16" t="s">
        <v>96</v>
      </c>
      <c r="C28" s="7" t="s">
        <v>109</v>
      </c>
      <c r="D28" s="17" t="e">
        <f t="shared" si="11"/>
        <v>#DIV/0!</v>
      </c>
      <c r="E28" s="17" t="e">
        <f t="shared" si="12"/>
        <v>#DIV/0!</v>
      </c>
      <c r="F28" s="17" t="e">
        <f t="shared" si="13"/>
        <v>#DIV/0!</v>
      </c>
      <c r="I28" s="16" t="s">
        <v>96</v>
      </c>
      <c r="J28" s="7" t="s">
        <v>112</v>
      </c>
      <c r="K28" s="17" t="e">
        <f t="shared" si="9"/>
        <v>#DIV/0!</v>
      </c>
      <c r="L28" s="25" t="e">
        <f t="shared" si="10"/>
        <v>#DIV/0!</v>
      </c>
    </row>
    <row r="29" spans="1:12" x14ac:dyDescent="0.25">
      <c r="A29" s="2"/>
      <c r="B29" s="16" t="s">
        <v>98</v>
      </c>
      <c r="C29" s="7" t="s">
        <v>109</v>
      </c>
      <c r="D29" s="17" t="e">
        <f t="shared" si="11"/>
        <v>#DIV/0!</v>
      </c>
      <c r="E29" s="17" t="e">
        <f t="shared" si="12"/>
        <v>#DIV/0!</v>
      </c>
      <c r="F29" s="17" t="e">
        <f t="shared" si="13"/>
        <v>#DIV/0!</v>
      </c>
      <c r="I29" s="16" t="s">
        <v>98</v>
      </c>
      <c r="J29" s="7" t="s">
        <v>112</v>
      </c>
      <c r="K29" s="17" t="e">
        <f t="shared" si="9"/>
        <v>#DIV/0!</v>
      </c>
      <c r="L29" s="25" t="e">
        <f t="shared" si="10"/>
        <v>#DIV/0!</v>
      </c>
    </row>
    <row r="30" spans="1:12" x14ac:dyDescent="0.25">
      <c r="A30" s="2"/>
      <c r="B30" s="16" t="s">
        <v>99</v>
      </c>
      <c r="C30" s="7" t="s">
        <v>109</v>
      </c>
      <c r="D30" s="17" t="e">
        <f t="shared" si="11"/>
        <v>#DIV/0!</v>
      </c>
      <c r="E30" s="17" t="e">
        <f t="shared" si="12"/>
        <v>#DIV/0!</v>
      </c>
      <c r="F30" s="17" t="e">
        <f t="shared" si="13"/>
        <v>#DIV/0!</v>
      </c>
      <c r="I30" s="16" t="s">
        <v>99</v>
      </c>
      <c r="J30" s="7" t="s">
        <v>112</v>
      </c>
      <c r="K30" s="17" t="e">
        <f t="shared" si="9"/>
        <v>#DIV/0!</v>
      </c>
      <c r="L30" s="25" t="e">
        <f t="shared" si="10"/>
        <v>#DIV/0!</v>
      </c>
    </row>
    <row r="31" spans="1:12" x14ac:dyDescent="0.25">
      <c r="A31" s="2"/>
      <c r="B31" s="16" t="s">
        <v>100</v>
      </c>
      <c r="C31" s="7" t="s">
        <v>109</v>
      </c>
      <c r="D31" s="17" t="e">
        <f t="shared" si="11"/>
        <v>#DIV/0!</v>
      </c>
      <c r="E31" s="17" t="e">
        <f t="shared" si="12"/>
        <v>#DIV/0!</v>
      </c>
      <c r="F31" s="17" t="e">
        <f t="shared" si="13"/>
        <v>#DIV/0!</v>
      </c>
      <c r="I31" s="16" t="s">
        <v>100</v>
      </c>
      <c r="J31" s="7" t="s">
        <v>112</v>
      </c>
      <c r="K31" s="17" t="e">
        <f t="shared" si="9"/>
        <v>#DIV/0!</v>
      </c>
      <c r="L31" s="25" t="e">
        <f t="shared" si="10"/>
        <v>#DIV/0!</v>
      </c>
    </row>
    <row r="32" spans="1:12" x14ac:dyDescent="0.25">
      <c r="A32" s="2"/>
      <c r="B32" s="2"/>
      <c r="C32" s="2"/>
      <c r="D32" s="13"/>
      <c r="E32" s="13"/>
      <c r="F32" s="13"/>
      <c r="I32" s="13"/>
      <c r="J32" s="2"/>
      <c r="K32" s="2"/>
      <c r="L32" s="2"/>
    </row>
    <row r="33" spans="1:12" x14ac:dyDescent="0.25">
      <c r="A33" s="2"/>
      <c r="B33" s="2"/>
      <c r="C33" s="2"/>
      <c r="D33" s="13"/>
      <c r="E33" s="13"/>
      <c r="F33" s="13"/>
      <c r="I33" s="13"/>
      <c r="J33" s="2"/>
      <c r="K33" s="2"/>
      <c r="L33" s="2"/>
    </row>
    <row r="34" spans="1:12" s="30" customFormat="1" ht="30" x14ac:dyDescent="0.25">
      <c r="A34" s="29"/>
      <c r="B34" s="31"/>
      <c r="C34" s="28" t="s">
        <v>117</v>
      </c>
      <c r="D34" s="28" t="s">
        <v>113</v>
      </c>
      <c r="E34" s="28" t="s">
        <v>105</v>
      </c>
      <c r="F34" s="29"/>
      <c r="I34" s="31"/>
      <c r="J34" s="28" t="s">
        <v>117</v>
      </c>
      <c r="K34" s="28" t="s">
        <v>115</v>
      </c>
      <c r="L34" s="29"/>
    </row>
    <row r="35" spans="1:12" x14ac:dyDescent="0.25">
      <c r="A35" s="2"/>
      <c r="B35" s="16" t="s">
        <v>0</v>
      </c>
      <c r="C35" s="7" t="s">
        <v>110</v>
      </c>
      <c r="D35" s="18">
        <f t="shared" ref="D35:D46" si="14">D4/I4</f>
        <v>0.42994534865808776</v>
      </c>
      <c r="E35" s="17">
        <f>(D4/J4)</f>
        <v>0.77164314599323269</v>
      </c>
      <c r="F35" s="15"/>
      <c r="I35" s="16" t="s">
        <v>0</v>
      </c>
      <c r="J35" s="7" t="s">
        <v>118</v>
      </c>
      <c r="K35" s="17">
        <f>(F4/I4)</f>
        <v>2.8578720234331716E-2</v>
      </c>
      <c r="L35" s="32">
        <f>F4/G4</f>
        <v>0.13533435097216445</v>
      </c>
    </row>
    <row r="36" spans="1:12" x14ac:dyDescent="0.25">
      <c r="A36" s="2"/>
      <c r="B36" s="16" t="s">
        <v>7</v>
      </c>
      <c r="C36" s="7" t="s">
        <v>110</v>
      </c>
      <c r="D36" s="18">
        <f t="shared" si="14"/>
        <v>0.48133162582154559</v>
      </c>
      <c r="E36" s="17">
        <f t="shared" ref="E36:E46" si="15">(D5/J5)</f>
        <v>0.76785852788334752</v>
      </c>
      <c r="F36" s="15"/>
      <c r="I36" s="16" t="s">
        <v>7</v>
      </c>
      <c r="J36" s="7" t="s">
        <v>118</v>
      </c>
      <c r="K36" s="17">
        <f t="shared" ref="K36:K46" si="16">(F5/I5)</f>
        <v>2.9205647235454796E-2</v>
      </c>
      <c r="L36" s="32">
        <f t="shared" ref="L36:L45" si="17">F5/G5</f>
        <v>0.1470617037319937</v>
      </c>
    </row>
    <row r="37" spans="1:12" x14ac:dyDescent="0.25">
      <c r="A37" s="2"/>
      <c r="B37" s="16" t="s">
        <v>14</v>
      </c>
      <c r="C37" s="7" t="s">
        <v>110</v>
      </c>
      <c r="D37" s="18">
        <f t="shared" si="14"/>
        <v>0.41256339984095203</v>
      </c>
      <c r="E37" s="17">
        <f t="shared" si="15"/>
        <v>0.73523125587757543</v>
      </c>
      <c r="F37" s="15"/>
      <c r="I37" s="16" t="s">
        <v>14</v>
      </c>
      <c r="J37" s="7" t="s">
        <v>118</v>
      </c>
      <c r="K37" s="17">
        <f t="shared" si="16"/>
        <v>2.9315987632884399E-2</v>
      </c>
      <c r="L37" s="32">
        <f t="shared" si="17"/>
        <v>0.14516646277006404</v>
      </c>
    </row>
    <row r="38" spans="1:12" x14ac:dyDescent="0.25">
      <c r="A38" s="2"/>
      <c r="B38" s="16" t="s">
        <v>21</v>
      </c>
      <c r="C38" s="7" t="s">
        <v>110</v>
      </c>
      <c r="D38" s="18">
        <f t="shared" si="14"/>
        <v>0</v>
      </c>
      <c r="E38" s="17" t="e">
        <f t="shared" si="15"/>
        <v>#DIV/0!</v>
      </c>
      <c r="F38" s="15"/>
      <c r="I38" s="16" t="s">
        <v>21</v>
      </c>
      <c r="J38" s="7" t="s">
        <v>118</v>
      </c>
      <c r="K38" s="17">
        <f t="shared" si="16"/>
        <v>0</v>
      </c>
      <c r="L38" s="32">
        <f t="shared" si="17"/>
        <v>0</v>
      </c>
    </row>
    <row r="39" spans="1:12" x14ac:dyDescent="0.25">
      <c r="A39" s="2"/>
      <c r="B39" s="16" t="s">
        <v>28</v>
      </c>
      <c r="C39" s="7" t="s">
        <v>110</v>
      </c>
      <c r="D39" s="18">
        <f t="shared" si="14"/>
        <v>0</v>
      </c>
      <c r="E39" s="17" t="e">
        <f t="shared" si="15"/>
        <v>#DIV/0!</v>
      </c>
      <c r="F39" s="15"/>
      <c r="I39" s="16" t="s">
        <v>28</v>
      </c>
      <c r="J39" s="7" t="s">
        <v>118</v>
      </c>
      <c r="K39" s="17">
        <f t="shared" si="16"/>
        <v>3.3864519746911813E-2</v>
      </c>
      <c r="L39" s="32">
        <f t="shared" si="17"/>
        <v>0.15359289440323096</v>
      </c>
    </row>
    <row r="40" spans="1:12" x14ac:dyDescent="0.25">
      <c r="A40" s="2"/>
      <c r="B40" s="16" t="s">
        <v>35</v>
      </c>
      <c r="C40" s="7" t="s">
        <v>110</v>
      </c>
      <c r="D40" s="18">
        <f t="shared" si="14"/>
        <v>0</v>
      </c>
      <c r="E40" s="17" t="e">
        <f t="shared" si="15"/>
        <v>#DIV/0!</v>
      </c>
      <c r="F40" s="15"/>
      <c r="I40" s="16" t="s">
        <v>35</v>
      </c>
      <c r="J40" s="7" t="s">
        <v>118</v>
      </c>
      <c r="K40" s="17">
        <f t="shared" si="16"/>
        <v>0</v>
      </c>
      <c r="L40" s="32" t="e">
        <f t="shared" si="17"/>
        <v>#DIV/0!</v>
      </c>
    </row>
    <row r="41" spans="1:12" x14ac:dyDescent="0.25">
      <c r="A41" s="2"/>
      <c r="B41" s="16" t="s">
        <v>42</v>
      </c>
      <c r="C41" s="7" t="s">
        <v>110</v>
      </c>
      <c r="D41" s="18" t="e">
        <f t="shared" si="14"/>
        <v>#DIV/0!</v>
      </c>
      <c r="E41" s="17" t="e">
        <f t="shared" si="15"/>
        <v>#DIV/0!</v>
      </c>
      <c r="F41" s="15"/>
      <c r="I41" s="16" t="s">
        <v>42</v>
      </c>
      <c r="J41" s="7" t="s">
        <v>118</v>
      </c>
      <c r="K41" s="17" t="e">
        <f t="shared" si="16"/>
        <v>#DIV/0!</v>
      </c>
      <c r="L41" s="32" t="e">
        <f t="shared" si="17"/>
        <v>#DIV/0!</v>
      </c>
    </row>
    <row r="42" spans="1:12" x14ac:dyDescent="0.25">
      <c r="A42" s="2"/>
      <c r="B42" s="16" t="s">
        <v>95</v>
      </c>
      <c r="C42" s="7" t="s">
        <v>110</v>
      </c>
      <c r="D42" s="18" t="e">
        <f t="shared" si="14"/>
        <v>#DIV/0!</v>
      </c>
      <c r="E42" s="17" t="e">
        <f t="shared" si="15"/>
        <v>#DIV/0!</v>
      </c>
      <c r="F42" s="15"/>
      <c r="I42" s="16" t="s">
        <v>95</v>
      </c>
      <c r="J42" s="7" t="s">
        <v>118</v>
      </c>
      <c r="K42" s="17" t="e">
        <f t="shared" si="16"/>
        <v>#DIV/0!</v>
      </c>
      <c r="L42" s="32" t="e">
        <f t="shared" si="17"/>
        <v>#DIV/0!</v>
      </c>
    </row>
    <row r="43" spans="1:12" x14ac:dyDescent="0.25">
      <c r="A43" s="2"/>
      <c r="B43" s="16" t="s">
        <v>96</v>
      </c>
      <c r="C43" s="7" t="s">
        <v>110</v>
      </c>
      <c r="D43" s="18" t="e">
        <f t="shared" si="14"/>
        <v>#DIV/0!</v>
      </c>
      <c r="E43" s="17" t="e">
        <f t="shared" si="15"/>
        <v>#DIV/0!</v>
      </c>
      <c r="I43" s="16" t="s">
        <v>96</v>
      </c>
      <c r="J43" s="7" t="s">
        <v>118</v>
      </c>
      <c r="K43" s="17" t="e">
        <f t="shared" si="16"/>
        <v>#DIV/0!</v>
      </c>
      <c r="L43" s="32" t="e">
        <f t="shared" si="17"/>
        <v>#DIV/0!</v>
      </c>
    </row>
    <row r="44" spans="1:12" x14ac:dyDescent="0.25">
      <c r="A44" s="2"/>
      <c r="B44" s="16" t="s">
        <v>98</v>
      </c>
      <c r="C44" s="7" t="s">
        <v>110</v>
      </c>
      <c r="D44" s="18" t="e">
        <f t="shared" si="14"/>
        <v>#DIV/0!</v>
      </c>
      <c r="E44" s="17" t="e">
        <f t="shared" si="15"/>
        <v>#DIV/0!</v>
      </c>
      <c r="I44" s="16" t="s">
        <v>98</v>
      </c>
      <c r="J44" s="7" t="s">
        <v>118</v>
      </c>
      <c r="K44" s="17" t="e">
        <f t="shared" si="16"/>
        <v>#DIV/0!</v>
      </c>
      <c r="L44" s="32" t="e">
        <f t="shared" si="17"/>
        <v>#DIV/0!</v>
      </c>
    </row>
    <row r="45" spans="1:12" x14ac:dyDescent="0.25">
      <c r="A45" s="2"/>
      <c r="B45" s="16" t="s">
        <v>99</v>
      </c>
      <c r="C45" s="7" t="s">
        <v>110</v>
      </c>
      <c r="D45" s="18" t="e">
        <f t="shared" si="14"/>
        <v>#DIV/0!</v>
      </c>
      <c r="E45" s="23" t="e">
        <f t="shared" si="15"/>
        <v>#DIV/0!</v>
      </c>
      <c r="I45" s="16" t="s">
        <v>99</v>
      </c>
      <c r="J45" s="7" t="s">
        <v>118</v>
      </c>
      <c r="K45" s="17" t="e">
        <f t="shared" si="16"/>
        <v>#DIV/0!</v>
      </c>
      <c r="L45" s="32" t="e">
        <f t="shared" si="17"/>
        <v>#DIV/0!</v>
      </c>
    </row>
    <row r="46" spans="1:12" x14ac:dyDescent="0.25">
      <c r="A46" s="2"/>
      <c r="B46" s="16" t="s">
        <v>100</v>
      </c>
      <c r="C46" s="7" t="s">
        <v>110</v>
      </c>
      <c r="D46" s="18" t="e">
        <f t="shared" si="14"/>
        <v>#DIV/0!</v>
      </c>
      <c r="E46" s="23" t="e">
        <f t="shared" si="15"/>
        <v>#DIV/0!</v>
      </c>
      <c r="I46" s="16" t="s">
        <v>100</v>
      </c>
      <c r="J46" s="7" t="s">
        <v>118</v>
      </c>
      <c r="K46" s="17" t="e">
        <f t="shared" si="16"/>
        <v>#DIV/0!</v>
      </c>
      <c r="L46" s="2"/>
    </row>
    <row r="47" spans="1:12" x14ac:dyDescent="0.25">
      <c r="A47" s="2"/>
      <c r="B47" s="2"/>
      <c r="C47" s="2"/>
      <c r="J47" s="13"/>
      <c r="K47" s="2"/>
      <c r="L47" s="2"/>
    </row>
    <row r="48" spans="1:12" x14ac:dyDescent="0.25">
      <c r="A48" s="2"/>
      <c r="B48" s="2"/>
      <c r="C48" s="2"/>
      <c r="J48" s="13"/>
      <c r="K48" s="2"/>
      <c r="L48" s="2"/>
    </row>
    <row r="49" spans="1:12" s="30" customFormat="1" ht="30" x14ac:dyDescent="0.25">
      <c r="A49" s="29"/>
      <c r="B49" s="31"/>
      <c r="C49" s="28" t="s">
        <v>117</v>
      </c>
      <c r="D49" s="28" t="s">
        <v>114</v>
      </c>
      <c r="E49" s="28" t="s">
        <v>114</v>
      </c>
      <c r="F49" s="29"/>
      <c r="I49" s="31"/>
      <c r="J49" s="28" t="s">
        <v>117</v>
      </c>
      <c r="K49" s="28" t="s">
        <v>115</v>
      </c>
      <c r="L49" s="28" t="s">
        <v>115</v>
      </c>
    </row>
    <row r="50" spans="1:12" x14ac:dyDescent="0.25">
      <c r="A50" s="2"/>
      <c r="B50" s="16" t="s">
        <v>0</v>
      </c>
      <c r="C50" s="7" t="s">
        <v>111</v>
      </c>
      <c r="D50" s="17">
        <f>(B4/I4)</f>
        <v>0.44281841821496815</v>
      </c>
      <c r="E50" s="13"/>
      <c r="F50" s="13"/>
      <c r="I50" s="16" t="s">
        <v>0</v>
      </c>
      <c r="J50" s="7" t="s">
        <v>120</v>
      </c>
      <c r="K50" s="17">
        <f>(G4/I4)</f>
        <v>0.21117122171155037</v>
      </c>
      <c r="L50" s="25">
        <f>G4/B4</f>
        <v>0.47687994226345926</v>
      </c>
    </row>
    <row r="51" spans="1:12" x14ac:dyDescent="0.25">
      <c r="A51" s="2"/>
      <c r="B51" s="16" t="s">
        <v>7</v>
      </c>
      <c r="C51" s="7" t="s">
        <v>111</v>
      </c>
      <c r="D51" s="17">
        <f t="shared" ref="D51:D61" si="18">(B5/I5)</f>
        <v>0.37315064124068825</v>
      </c>
      <c r="E51" s="13"/>
      <c r="F51" s="13"/>
      <c r="I51" s="16" t="s">
        <v>7</v>
      </c>
      <c r="J51" s="7" t="s">
        <v>120</v>
      </c>
      <c r="K51" s="17">
        <f t="shared" ref="K51:K61" si="19">(G5/I5)</f>
        <v>0.19859451165260109</v>
      </c>
      <c r="L51" s="25">
        <f t="shared" ref="L51:L61" si="20">G5/B5</f>
        <v>0.53221002379171689</v>
      </c>
    </row>
    <row r="52" spans="1:12" x14ac:dyDescent="0.25">
      <c r="A52" s="2"/>
      <c r="B52" s="16" t="s">
        <v>14</v>
      </c>
      <c r="C52" s="7" t="s">
        <v>111</v>
      </c>
      <c r="D52" s="17">
        <f t="shared" si="18"/>
        <v>0.43886580372795175</v>
      </c>
      <c r="E52" s="13"/>
      <c r="F52" s="13"/>
      <c r="I52" s="16" t="s">
        <v>14</v>
      </c>
      <c r="J52" s="7" t="s">
        <v>120</v>
      </c>
      <c r="K52" s="17">
        <f t="shared" si="19"/>
        <v>0.20194738559772837</v>
      </c>
      <c r="L52" s="25">
        <f t="shared" si="20"/>
        <v>0.46015748751049518</v>
      </c>
    </row>
    <row r="53" spans="1:12" x14ac:dyDescent="0.25">
      <c r="A53" s="2"/>
      <c r="B53" s="16" t="s">
        <v>21</v>
      </c>
      <c r="C53" s="7" t="s">
        <v>111</v>
      </c>
      <c r="D53" s="17">
        <f t="shared" si="18"/>
        <v>0.5</v>
      </c>
      <c r="E53" s="13"/>
      <c r="F53" s="13"/>
      <c r="I53" s="16" t="s">
        <v>21</v>
      </c>
      <c r="J53" s="7" t="s">
        <v>120</v>
      </c>
      <c r="K53" s="17">
        <f t="shared" si="19"/>
        <v>0.31531881552279017</v>
      </c>
      <c r="L53" s="25">
        <f t="shared" si="20"/>
        <v>0.63063763104558035</v>
      </c>
    </row>
    <row r="54" spans="1:12" x14ac:dyDescent="0.25">
      <c r="A54" s="2"/>
      <c r="B54" s="16" t="s">
        <v>28</v>
      </c>
      <c r="C54" s="7" t="s">
        <v>111</v>
      </c>
      <c r="D54" s="17">
        <f t="shared" si="18"/>
        <v>0.5</v>
      </c>
      <c r="E54" s="13"/>
      <c r="F54" s="13"/>
      <c r="I54" s="16" t="s">
        <v>28</v>
      </c>
      <c r="J54" s="7" t="s">
        <v>120</v>
      </c>
      <c r="K54" s="17">
        <f t="shared" si="19"/>
        <v>0.22048233336892858</v>
      </c>
      <c r="L54" s="25">
        <f t="shared" si="20"/>
        <v>0.44096466673785717</v>
      </c>
    </row>
    <row r="55" spans="1:12" x14ac:dyDescent="0.25">
      <c r="A55" s="2"/>
      <c r="B55" s="16" t="s">
        <v>35</v>
      </c>
      <c r="C55" s="7" t="s">
        <v>111</v>
      </c>
      <c r="D55" s="17">
        <f t="shared" si="18"/>
        <v>0.5</v>
      </c>
      <c r="E55" s="13"/>
      <c r="F55" s="13"/>
      <c r="I55" s="16" t="s">
        <v>35</v>
      </c>
      <c r="J55" s="7" t="s">
        <v>120</v>
      </c>
      <c r="K55" s="17">
        <f t="shared" si="19"/>
        <v>0</v>
      </c>
      <c r="L55" s="25">
        <f t="shared" si="20"/>
        <v>0</v>
      </c>
    </row>
    <row r="56" spans="1:12" x14ac:dyDescent="0.25">
      <c r="A56" s="2"/>
      <c r="B56" s="16" t="s">
        <v>42</v>
      </c>
      <c r="C56" s="7" t="s">
        <v>111</v>
      </c>
      <c r="D56" s="17" t="e">
        <f t="shared" si="18"/>
        <v>#DIV/0!</v>
      </c>
      <c r="E56" s="13"/>
      <c r="F56" s="13"/>
      <c r="I56" s="16" t="s">
        <v>42</v>
      </c>
      <c r="J56" s="7" t="s">
        <v>120</v>
      </c>
      <c r="K56" s="17" t="e">
        <f t="shared" si="19"/>
        <v>#DIV/0!</v>
      </c>
      <c r="L56" s="25" t="e">
        <f t="shared" si="20"/>
        <v>#DIV/0!</v>
      </c>
    </row>
    <row r="57" spans="1:12" x14ac:dyDescent="0.25">
      <c r="A57" s="2"/>
      <c r="B57" s="16" t="s">
        <v>95</v>
      </c>
      <c r="C57" s="7" t="s">
        <v>111</v>
      </c>
      <c r="D57" s="17" t="e">
        <f t="shared" si="18"/>
        <v>#DIV/0!</v>
      </c>
      <c r="E57" s="13"/>
      <c r="F57" s="13"/>
      <c r="I57" s="16" t="s">
        <v>95</v>
      </c>
      <c r="J57" s="7" t="s">
        <v>120</v>
      </c>
      <c r="K57" s="17" t="e">
        <f t="shared" si="19"/>
        <v>#DIV/0!</v>
      </c>
      <c r="L57" s="25" t="e">
        <f t="shared" si="20"/>
        <v>#DIV/0!</v>
      </c>
    </row>
    <row r="58" spans="1:12" x14ac:dyDescent="0.25">
      <c r="A58" s="2"/>
      <c r="B58" s="16" t="s">
        <v>96</v>
      </c>
      <c r="C58" s="7" t="s">
        <v>111</v>
      </c>
      <c r="D58" s="17" t="e">
        <f t="shared" si="18"/>
        <v>#DIV/0!</v>
      </c>
      <c r="E58" s="13"/>
      <c r="F58" s="13"/>
      <c r="I58" s="16" t="s">
        <v>96</v>
      </c>
      <c r="J58" s="7" t="s">
        <v>120</v>
      </c>
      <c r="K58" s="17" t="e">
        <f t="shared" si="19"/>
        <v>#DIV/0!</v>
      </c>
      <c r="L58" s="25" t="e">
        <f t="shared" si="20"/>
        <v>#DIV/0!</v>
      </c>
    </row>
    <row r="59" spans="1:12" x14ac:dyDescent="0.25">
      <c r="A59" s="2"/>
      <c r="B59" s="16" t="s">
        <v>98</v>
      </c>
      <c r="C59" s="7" t="s">
        <v>111</v>
      </c>
      <c r="D59" s="17" t="e">
        <f t="shared" si="18"/>
        <v>#DIV/0!</v>
      </c>
      <c r="E59" s="13"/>
      <c r="F59" s="13"/>
      <c r="I59" s="16" t="s">
        <v>98</v>
      </c>
      <c r="J59" s="7" t="s">
        <v>120</v>
      </c>
      <c r="K59" s="17" t="e">
        <f t="shared" si="19"/>
        <v>#DIV/0!</v>
      </c>
      <c r="L59" s="25" t="e">
        <f t="shared" si="20"/>
        <v>#DIV/0!</v>
      </c>
    </row>
    <row r="60" spans="1:12" x14ac:dyDescent="0.25">
      <c r="A60" s="2"/>
      <c r="B60" s="16" t="s">
        <v>99</v>
      </c>
      <c r="C60" s="7" t="s">
        <v>111</v>
      </c>
      <c r="D60" s="17" t="e">
        <f t="shared" si="18"/>
        <v>#DIV/0!</v>
      </c>
      <c r="E60" s="13"/>
      <c r="F60" s="13"/>
      <c r="I60" s="16" t="s">
        <v>99</v>
      </c>
      <c r="J60" s="7" t="s">
        <v>120</v>
      </c>
      <c r="K60" s="17" t="e">
        <f t="shared" si="19"/>
        <v>#DIV/0!</v>
      </c>
      <c r="L60" s="25" t="e">
        <f t="shared" si="20"/>
        <v>#DIV/0!</v>
      </c>
    </row>
    <row r="61" spans="1:12" x14ac:dyDescent="0.25">
      <c r="A61" s="2"/>
      <c r="B61" s="16" t="s">
        <v>100</v>
      </c>
      <c r="C61" s="7" t="s">
        <v>111</v>
      </c>
      <c r="D61" s="17" t="e">
        <f t="shared" si="18"/>
        <v>#DIV/0!</v>
      </c>
      <c r="E61" s="13"/>
      <c r="F61" s="13"/>
      <c r="I61" s="16" t="s">
        <v>100</v>
      </c>
      <c r="J61" s="7" t="s">
        <v>120</v>
      </c>
      <c r="K61" s="17" t="e">
        <f t="shared" si="19"/>
        <v>#DIV/0!</v>
      </c>
      <c r="L61" s="25" t="e">
        <f t="shared" si="20"/>
        <v>#DIV/0!</v>
      </c>
    </row>
    <row r="62" spans="1:12" x14ac:dyDescent="0.25">
      <c r="A62" s="2"/>
      <c r="C62" s="2"/>
      <c r="D62" s="13"/>
      <c r="E62" s="13"/>
      <c r="F62" s="13"/>
      <c r="I62" s="13"/>
      <c r="J62" s="2"/>
      <c r="K62" s="2"/>
      <c r="L62" s="2"/>
    </row>
  </sheetData>
  <mergeCells count="2">
    <mergeCell ref="C2:D2"/>
    <mergeCell ref="G3:H3"/>
  </mergeCells>
  <pageMargins left="0.7" right="0.7" top="0.75" bottom="0.75" header="0.3" footer="0.3"/>
  <pageSetup scale="51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2" width="5.140625" style="121" customWidth="1"/>
    <col min="3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253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/>
      <c r="C3" s="88"/>
      <c r="D3" s="85"/>
      <c r="E3" s="85"/>
      <c r="F3" s="85"/>
      <c r="G3" s="86"/>
      <c r="H3" s="85"/>
      <c r="I3" s="86"/>
      <c r="J3" s="85"/>
      <c r="K3" s="86"/>
      <c r="L3" s="85"/>
      <c r="M3" s="86"/>
      <c r="N3" s="85"/>
      <c r="O3" s="85"/>
      <c r="P3" s="86"/>
      <c r="Q3" s="85"/>
      <c r="R3" s="85"/>
      <c r="S3" s="86"/>
      <c r="T3" s="86"/>
      <c r="U3" s="86"/>
      <c r="V3" s="86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03">
        <f>SUM(B3:AF3)</f>
        <v>0</v>
      </c>
      <c r="AH3" s="119"/>
      <c r="AI3" s="120"/>
    </row>
    <row r="4" spans="1:35" s="91" customFormat="1" ht="33" customHeight="1" x14ac:dyDescent="0.25">
      <c r="A4" s="138" t="s">
        <v>193</v>
      </c>
      <c r="B4" s="85"/>
      <c r="C4" s="88"/>
      <c r="D4" s="85"/>
      <c r="E4" s="85"/>
      <c r="F4" s="85"/>
      <c r="G4" s="86"/>
      <c r="H4" s="85"/>
      <c r="I4" s="86"/>
      <c r="J4" s="85"/>
      <c r="K4" s="86"/>
      <c r="L4" s="85"/>
      <c r="M4" s="86"/>
      <c r="N4" s="85"/>
      <c r="O4" s="85"/>
      <c r="P4" s="86"/>
      <c r="Q4" s="85"/>
      <c r="R4" s="85"/>
      <c r="S4" s="86"/>
      <c r="T4" s="86"/>
      <c r="U4" s="86"/>
      <c r="V4" s="86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03">
        <f t="shared" ref="AG4:AG33" si="0">SUM(B4:AF4)</f>
        <v>0</v>
      </c>
      <c r="AH4" s="120"/>
      <c r="AI4" s="120"/>
    </row>
    <row r="5" spans="1:35" s="91" customFormat="1" ht="18.75" customHeight="1" x14ac:dyDescent="0.25">
      <c r="A5" s="62" t="s">
        <v>83</v>
      </c>
      <c r="B5" s="85"/>
      <c r="C5" s="88"/>
      <c r="D5" s="85"/>
      <c r="E5" s="85"/>
      <c r="F5" s="85"/>
      <c r="G5" s="86"/>
      <c r="H5" s="85"/>
      <c r="I5" s="86"/>
      <c r="J5" s="85"/>
      <c r="K5" s="86"/>
      <c r="L5" s="85"/>
      <c r="M5" s="86"/>
      <c r="N5" s="85"/>
      <c r="O5" s="85"/>
      <c r="P5" s="86"/>
      <c r="Q5" s="85"/>
      <c r="R5" s="85"/>
      <c r="S5" s="86"/>
      <c r="T5" s="86"/>
      <c r="U5" s="86"/>
      <c r="V5" s="86"/>
      <c r="W5" s="85"/>
      <c r="X5" s="85"/>
      <c r="Y5" s="85"/>
      <c r="Z5" s="85"/>
      <c r="AA5" s="85"/>
      <c r="AB5" s="85"/>
      <c r="AC5" s="85"/>
      <c r="AD5" s="85"/>
      <c r="AE5" s="85"/>
      <c r="AF5" s="87"/>
      <c r="AG5" s="103">
        <f t="shared" si="0"/>
        <v>0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103">
        <f t="shared" si="0"/>
        <v>0</v>
      </c>
      <c r="AH8" s="120"/>
      <c r="AI8" s="120"/>
    </row>
    <row r="9" spans="1:35" s="91" customFormat="1" ht="18.75" customHeight="1" x14ac:dyDescent="0.25">
      <c r="A9" s="62" t="s">
        <v>66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106"/>
      <c r="AG9" s="103">
        <f t="shared" si="0"/>
        <v>0</v>
      </c>
      <c r="AH9" s="120"/>
      <c r="AI9" s="120"/>
    </row>
    <row r="10" spans="1:35" s="91" customFormat="1" ht="18.75" customHeight="1" x14ac:dyDescent="0.3">
      <c r="A10" s="62" t="s">
        <v>67</v>
      </c>
      <c r="B10" s="157"/>
      <c r="C10" s="157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  <c r="S10" s="157"/>
      <c r="T10" s="157"/>
      <c r="U10" s="157"/>
      <c r="V10" s="157"/>
      <c r="W10" s="157"/>
      <c r="X10" s="157"/>
      <c r="Y10" s="157"/>
      <c r="Z10" s="157"/>
      <c r="AA10" s="157"/>
      <c r="AB10" s="157"/>
      <c r="AC10" s="157"/>
      <c r="AD10" s="157"/>
      <c r="AE10" s="157"/>
      <c r="AF10" s="157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79" t="s">
        <v>91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103">
        <v>1.3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141" t="s">
        <v>71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106"/>
      <c r="Z14" s="106"/>
      <c r="AA14" s="106"/>
      <c r="AB14" s="106"/>
      <c r="AC14" s="106"/>
      <c r="AD14" s="106"/>
      <c r="AE14" s="106"/>
      <c r="AF14" s="106"/>
      <c r="AG14" s="103">
        <f t="shared" si="0"/>
        <v>0</v>
      </c>
      <c r="AH14" s="120"/>
      <c r="AI14" s="120"/>
    </row>
    <row r="15" spans="1:35" s="91" customFormat="1" ht="18.75" customHeight="1" x14ac:dyDescent="0.25">
      <c r="A15" s="62" t="s">
        <v>72</v>
      </c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103">
        <f t="shared" si="0"/>
        <v>0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194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103">
        <f t="shared" si="0"/>
        <v>0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103">
        <f t="shared" si="0"/>
        <v>0</v>
      </c>
      <c r="AH20" s="120"/>
      <c r="AI20" s="120"/>
    </row>
    <row r="21" spans="1:35" s="91" customFormat="1" ht="18.75" customHeight="1" x14ac:dyDescent="0.25">
      <c r="A21" s="62" t="s">
        <v>74</v>
      </c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140"/>
      <c r="AA21" s="86"/>
      <c r="AB21" s="140"/>
      <c r="AC21" s="86"/>
      <c r="AD21" s="86"/>
      <c r="AE21" s="86"/>
      <c r="AF21" s="86"/>
      <c r="AG21" s="132">
        <f t="shared" si="0"/>
        <v>0</v>
      </c>
      <c r="AH21" s="120"/>
      <c r="AI21" s="120"/>
    </row>
    <row r="22" spans="1:35" s="91" customFormat="1" ht="18.75" customHeight="1" x14ac:dyDescent="0.25">
      <c r="A22" s="62" t="s">
        <v>75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103">
        <f t="shared" si="0"/>
        <v>0</v>
      </c>
      <c r="AH22" s="120"/>
      <c r="AI22" s="120"/>
    </row>
    <row r="23" spans="1:35" s="91" customFormat="1" ht="18.75" customHeight="1" x14ac:dyDescent="0.25">
      <c r="A23" s="62" t="s">
        <v>77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03">
        <f t="shared" si="0"/>
        <v>0</v>
      </c>
      <c r="AH23" s="120"/>
      <c r="AI23" s="120"/>
    </row>
    <row r="24" spans="1:35" s="91" customFormat="1" ht="18.75" customHeight="1" x14ac:dyDescent="0.25">
      <c r="A24" s="62" t="s">
        <v>78</v>
      </c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103">
        <f t="shared" si="0"/>
        <v>0</v>
      </c>
      <c r="AH24" s="120"/>
      <c r="AI24" s="120"/>
    </row>
    <row r="25" spans="1:35" s="91" customFormat="1" ht="18.75" customHeight="1" x14ac:dyDescent="0.25">
      <c r="A25" s="62" t="s">
        <v>79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103">
        <f t="shared" si="0"/>
        <v>0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140"/>
      <c r="AA28" s="86"/>
      <c r="AB28" s="140"/>
      <c r="AC28" s="86"/>
      <c r="AD28" s="86"/>
      <c r="AE28" s="86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25">
      <c r="A29" s="62" t="s">
        <v>81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88"/>
      <c r="AG29" s="103">
        <f t="shared" si="0"/>
        <v>0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88"/>
      <c r="AG31" s="103">
        <f t="shared" si="0"/>
        <v>0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0</v>
      </c>
      <c r="C33" s="87">
        <f t="shared" ref="C33:AF33" si="1">SUM(C3:C32)</f>
        <v>0</v>
      </c>
      <c r="D33" s="87">
        <f t="shared" si="1"/>
        <v>0</v>
      </c>
      <c r="E33" s="87">
        <f t="shared" si="1"/>
        <v>0</v>
      </c>
      <c r="F33" s="87">
        <f t="shared" si="1"/>
        <v>0</v>
      </c>
      <c r="G33" s="87">
        <f t="shared" si="1"/>
        <v>0</v>
      </c>
      <c r="H33" s="87">
        <f t="shared" si="1"/>
        <v>0</v>
      </c>
      <c r="I33" s="87">
        <f t="shared" si="1"/>
        <v>0</v>
      </c>
      <c r="J33" s="87">
        <f t="shared" si="1"/>
        <v>0</v>
      </c>
      <c r="K33" s="87">
        <f t="shared" si="1"/>
        <v>0</v>
      </c>
      <c r="L33" s="87">
        <f t="shared" si="1"/>
        <v>0</v>
      </c>
      <c r="M33" s="87">
        <f t="shared" si="1"/>
        <v>0</v>
      </c>
      <c r="N33" s="87">
        <f t="shared" si="1"/>
        <v>0</v>
      </c>
      <c r="O33" s="87">
        <f t="shared" si="1"/>
        <v>0</v>
      </c>
      <c r="P33" s="87">
        <f t="shared" si="1"/>
        <v>0</v>
      </c>
      <c r="Q33" s="87">
        <f t="shared" si="1"/>
        <v>0</v>
      </c>
      <c r="R33" s="87">
        <f t="shared" si="1"/>
        <v>0</v>
      </c>
      <c r="S33" s="87">
        <f t="shared" si="1"/>
        <v>0</v>
      </c>
      <c r="T33" s="87">
        <f t="shared" si="1"/>
        <v>0</v>
      </c>
      <c r="U33" s="87">
        <f t="shared" si="1"/>
        <v>0</v>
      </c>
      <c r="V33" s="87">
        <f t="shared" si="1"/>
        <v>0</v>
      </c>
      <c r="W33" s="87">
        <f t="shared" si="1"/>
        <v>0</v>
      </c>
      <c r="X33" s="87">
        <f t="shared" si="1"/>
        <v>0</v>
      </c>
      <c r="Y33" s="87">
        <f t="shared" si="1"/>
        <v>0</v>
      </c>
      <c r="Z33" s="87">
        <f t="shared" si="1"/>
        <v>0</v>
      </c>
      <c r="AA33" s="87">
        <f t="shared" si="1"/>
        <v>0</v>
      </c>
      <c r="AB33" s="87">
        <f t="shared" si="1"/>
        <v>0</v>
      </c>
      <c r="AC33" s="87">
        <f t="shared" si="1"/>
        <v>0</v>
      </c>
      <c r="AD33" s="87">
        <f t="shared" si="1"/>
        <v>0</v>
      </c>
      <c r="AE33" s="87">
        <f t="shared" si="1"/>
        <v>0</v>
      </c>
      <c r="AF33" s="87">
        <f t="shared" si="1"/>
        <v>0</v>
      </c>
      <c r="AG33" s="105">
        <f t="shared" si="0"/>
        <v>0</v>
      </c>
      <c r="AH33" s="134"/>
      <c r="AI33" s="134"/>
    </row>
    <row r="34" spans="1:35" s="91" customFormat="1" x14ac:dyDescent="0.25">
      <c r="A34" s="136"/>
      <c r="AG34" s="24">
        <f>SUM(AG3:AG31)</f>
        <v>1.3</v>
      </c>
    </row>
  </sheetData>
  <mergeCells count="1">
    <mergeCell ref="A1:AG1"/>
  </mergeCells>
  <conditionalFormatting sqref="AG33">
    <cfRule type="cellIs" dxfId="145" priority="2" operator="equal">
      <formula>$AG$34</formula>
    </cfRule>
  </conditionalFormatting>
  <conditionalFormatting sqref="AG34">
    <cfRule type="cellIs" dxfId="144" priority="1" operator="equal">
      <formula>$AG$33</formula>
    </cfRule>
  </conditionalFormatting>
  <pageMargins left="0.7" right="0.7" top="0.75" bottom="0.75" header="0.3" footer="0.3"/>
  <pageSetup orientation="portrait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7.85546875" customWidth="1"/>
    <col min="3" max="3" width="9.42578125" customWidth="1"/>
    <col min="4" max="4" width="8.7109375" customWidth="1"/>
    <col min="5" max="6" width="9.42578125" customWidth="1"/>
    <col min="7" max="7" width="7.85546875" customWidth="1"/>
    <col min="8" max="11" width="9" customWidth="1"/>
    <col min="12" max="12" width="8.7109375" customWidth="1"/>
    <col min="13" max="13" width="9.140625" customWidth="1"/>
    <col min="14" max="14" width="9" customWidth="1"/>
    <col min="15" max="15" width="10.140625" customWidth="1"/>
    <col min="16" max="16" width="9.28515625" customWidth="1"/>
    <col min="17" max="19" width="9" customWidth="1"/>
    <col min="20" max="20" width="9.140625" customWidth="1"/>
    <col min="21" max="21" width="9.28515625" customWidth="1"/>
    <col min="22" max="25" width="9" customWidth="1"/>
    <col min="26" max="26" width="9.42578125" customWidth="1"/>
    <col min="27" max="29" width="7.85546875" customWidth="1"/>
    <col min="30" max="30" width="9.140625" customWidth="1"/>
    <col min="31" max="32" width="7.85546875" customWidth="1"/>
    <col min="33" max="33" width="16.42578125" bestFit="1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84">
        <f t="shared" ref="AG3:AG15" si="0">SUM(B3:AF3)</f>
        <v>0</v>
      </c>
      <c r="AH3" s="47"/>
      <c r="AI3" s="48"/>
    </row>
    <row r="4" spans="1:35" s="44" customFormat="1" ht="21" x14ac:dyDescent="0.35">
      <c r="A4" s="60" t="s">
        <v>193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84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84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0">
        <v>3</v>
      </c>
      <c r="C6" s="70">
        <v>2</v>
      </c>
      <c r="D6" s="70">
        <v>5</v>
      </c>
      <c r="E6" s="70">
        <v>6</v>
      </c>
      <c r="F6" s="70">
        <v>4</v>
      </c>
      <c r="G6" s="70">
        <v>9</v>
      </c>
      <c r="H6" s="70">
        <v>3</v>
      </c>
      <c r="I6" s="70">
        <v>3</v>
      </c>
      <c r="J6" s="70">
        <v>5</v>
      </c>
      <c r="K6" s="70">
        <v>9</v>
      </c>
      <c r="L6" s="70">
        <v>6</v>
      </c>
      <c r="M6" s="70">
        <v>2</v>
      </c>
      <c r="N6" s="70">
        <v>6</v>
      </c>
      <c r="O6" s="70">
        <v>4</v>
      </c>
      <c r="P6" s="70">
        <v>6</v>
      </c>
      <c r="Q6" s="70">
        <v>4</v>
      </c>
      <c r="R6" s="70">
        <v>6</v>
      </c>
      <c r="S6" s="70">
        <v>2</v>
      </c>
      <c r="T6" s="70">
        <v>3</v>
      </c>
      <c r="U6" s="70">
        <v>5</v>
      </c>
      <c r="V6" s="70">
        <v>4</v>
      </c>
      <c r="W6" s="70">
        <v>6</v>
      </c>
      <c r="X6" s="70">
        <v>1</v>
      </c>
      <c r="Y6" s="70">
        <v>2</v>
      </c>
      <c r="Z6" s="70">
        <v>3</v>
      </c>
      <c r="AA6" s="70">
        <v>6</v>
      </c>
      <c r="AB6" s="70">
        <v>4</v>
      </c>
      <c r="AC6" s="70">
        <v>5</v>
      </c>
      <c r="AD6" s="70">
        <v>5</v>
      </c>
      <c r="AE6" s="70">
        <v>4</v>
      </c>
      <c r="AF6" s="70">
        <v>6</v>
      </c>
      <c r="AG6" s="84">
        <f t="shared" si="0"/>
        <v>139</v>
      </c>
      <c r="AH6" s="48"/>
      <c r="AI6" s="48"/>
    </row>
    <row r="7" spans="1:35" s="44" customFormat="1" ht="18.75" customHeight="1" x14ac:dyDescent="0.35">
      <c r="A7" s="60" t="s">
        <v>64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84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84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84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84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84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84">
        <f t="shared" si="0"/>
        <v>0</v>
      </c>
      <c r="AH12" s="48"/>
      <c r="AI12" s="48"/>
    </row>
    <row r="13" spans="1:35" s="44" customFormat="1" ht="22.5" customHeight="1" x14ac:dyDescent="0.35">
      <c r="A13" s="60" t="s">
        <v>69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84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84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84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0">
        <v>4</v>
      </c>
      <c r="C16" s="70">
        <v>6</v>
      </c>
      <c r="D16" s="70">
        <v>8</v>
      </c>
      <c r="E16" s="70">
        <v>9</v>
      </c>
      <c r="F16" s="70">
        <v>2</v>
      </c>
      <c r="G16" s="70">
        <v>6</v>
      </c>
      <c r="H16" s="70">
        <v>8</v>
      </c>
      <c r="I16" s="70">
        <v>4</v>
      </c>
      <c r="J16" s="70">
        <v>9</v>
      </c>
      <c r="K16" s="70">
        <v>2</v>
      </c>
      <c r="L16" s="70">
        <v>6</v>
      </c>
      <c r="M16" s="70">
        <v>5</v>
      </c>
      <c r="N16" s="70">
        <v>6</v>
      </c>
      <c r="O16" s="70">
        <v>8</v>
      </c>
      <c r="P16" s="70">
        <v>5</v>
      </c>
      <c r="Q16" s="70">
        <v>6</v>
      </c>
      <c r="R16" s="70">
        <v>5</v>
      </c>
      <c r="S16" s="70">
        <v>6</v>
      </c>
      <c r="T16" s="70">
        <v>5</v>
      </c>
      <c r="U16" s="70">
        <v>6</v>
      </c>
      <c r="V16" s="70">
        <v>8</v>
      </c>
      <c r="W16" s="70">
        <v>9</v>
      </c>
      <c r="X16" s="70">
        <v>23</v>
      </c>
      <c r="Y16" s="70">
        <v>6</v>
      </c>
      <c r="Z16" s="70">
        <v>9</v>
      </c>
      <c r="AA16" s="70">
        <v>4</v>
      </c>
      <c r="AB16" s="70">
        <v>6</v>
      </c>
      <c r="AC16" s="70">
        <v>5</v>
      </c>
      <c r="AD16" s="70">
        <v>6</v>
      </c>
      <c r="AE16" s="70">
        <v>21</v>
      </c>
      <c r="AF16" s="70">
        <v>3</v>
      </c>
      <c r="AG16" s="84">
        <f>SUM(B16:AF16)</f>
        <v>216</v>
      </c>
      <c r="AH16" s="48"/>
      <c r="AI16" s="48"/>
    </row>
    <row r="17" spans="1:35" s="44" customFormat="1" ht="18.75" customHeight="1" x14ac:dyDescent="0.35">
      <c r="A17" s="60" t="s">
        <v>195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84">
        <f t="shared" ref="AG17:AG34" si="1">SUM(B17:AF17)</f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84">
        <f t="shared" si="1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84">
        <f t="shared" si="1"/>
        <v>0</v>
      </c>
      <c r="AH19" s="48"/>
      <c r="AI19" s="48"/>
    </row>
    <row r="20" spans="1:35" s="44" customFormat="1" ht="18.75" customHeight="1" x14ac:dyDescent="0.35">
      <c r="A20" s="60" t="s">
        <v>233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84">
        <f t="shared" si="1"/>
        <v>0</v>
      </c>
      <c r="AH20" s="48"/>
      <c r="AI20" s="48"/>
    </row>
    <row r="21" spans="1:35" s="44" customFormat="1" ht="18.75" customHeight="1" x14ac:dyDescent="0.35">
      <c r="A21" s="60" t="s">
        <v>227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84">
        <f t="shared" si="1"/>
        <v>0</v>
      </c>
      <c r="AH21" s="48"/>
      <c r="AI21" s="48"/>
    </row>
    <row r="22" spans="1:35" s="44" customFormat="1" ht="18.75" customHeight="1" x14ac:dyDescent="0.35">
      <c r="A22" s="60" t="s">
        <v>225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84">
        <f t="shared" si="1"/>
        <v>0</v>
      </c>
      <c r="AH22" s="48"/>
      <c r="AI22" s="48"/>
    </row>
    <row r="23" spans="1:35" s="44" customFormat="1" ht="18.75" customHeight="1" x14ac:dyDescent="0.35">
      <c r="A23" s="60" t="s">
        <v>74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84">
        <f t="shared" si="1"/>
        <v>0</v>
      </c>
      <c r="AH23" s="48"/>
      <c r="AI23" s="48"/>
    </row>
    <row r="24" spans="1:35" s="44" customFormat="1" ht="18.75" customHeight="1" x14ac:dyDescent="0.35">
      <c r="A24" s="60" t="s">
        <v>75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84">
        <f t="shared" si="1"/>
        <v>0</v>
      </c>
      <c r="AH24" s="48"/>
      <c r="AI24" s="48"/>
    </row>
    <row r="25" spans="1:35" s="44" customFormat="1" ht="18.75" customHeight="1" x14ac:dyDescent="0.35">
      <c r="A25" s="60" t="s">
        <v>77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84">
        <f t="shared" si="1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84">
        <f t="shared" si="1"/>
        <v>0</v>
      </c>
      <c r="AH26" s="48"/>
      <c r="AI26" s="48"/>
    </row>
    <row r="27" spans="1:35" s="44" customFormat="1" ht="18.75" customHeight="1" x14ac:dyDescent="0.35">
      <c r="A27" s="60" t="s">
        <v>79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84">
        <f t="shared" si="1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84">
        <f t="shared" si="1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84">
        <f t="shared" si="1"/>
        <v>0</v>
      </c>
      <c r="AH29" s="48"/>
      <c r="AI29" s="48"/>
    </row>
    <row r="30" spans="1:35" s="44" customFormat="1" ht="18.75" customHeight="1" x14ac:dyDescent="0.35">
      <c r="A30" s="60" t="s">
        <v>76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84">
        <f t="shared" si="1"/>
        <v>0</v>
      </c>
      <c r="AH30" s="48"/>
      <c r="AI30" s="48"/>
    </row>
    <row r="31" spans="1:35" s="44" customFormat="1" ht="18.75" customHeight="1" x14ac:dyDescent="0.35">
      <c r="A31" s="60" t="s">
        <v>81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84">
        <f t="shared" si="1"/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76">
        <v>9</v>
      </c>
      <c r="C32" s="76">
        <v>6</v>
      </c>
      <c r="D32" s="76">
        <v>5</v>
      </c>
      <c r="E32" s="76">
        <v>10.3</v>
      </c>
      <c r="F32" s="76">
        <v>6.9</v>
      </c>
      <c r="G32" s="76">
        <v>5</v>
      </c>
      <c r="H32" s="76">
        <v>4.5999999999999996</v>
      </c>
      <c r="I32" s="76">
        <v>5</v>
      </c>
      <c r="J32" s="76">
        <v>6</v>
      </c>
      <c r="K32" s="76">
        <v>5</v>
      </c>
      <c r="L32" s="76">
        <v>10.3</v>
      </c>
      <c r="M32" s="76">
        <v>6.9</v>
      </c>
      <c r="N32" s="76">
        <v>9</v>
      </c>
      <c r="O32" s="76">
        <v>4.5999999999999996</v>
      </c>
      <c r="P32" s="76">
        <v>8.9</v>
      </c>
      <c r="Q32" s="76">
        <v>6</v>
      </c>
      <c r="R32" s="76">
        <v>12</v>
      </c>
      <c r="S32" s="76">
        <v>10.3</v>
      </c>
      <c r="T32" s="76">
        <v>6.9</v>
      </c>
      <c r="U32" s="76">
        <v>10.5</v>
      </c>
      <c r="V32" s="76">
        <v>4.5999999999999996</v>
      </c>
      <c r="W32" s="76">
        <v>9.6999999999999993</v>
      </c>
      <c r="X32" s="76">
        <v>6</v>
      </c>
      <c r="Y32" s="76">
        <v>9.9</v>
      </c>
      <c r="Z32" s="76">
        <v>10.3</v>
      </c>
      <c r="AA32" s="76">
        <v>6.9</v>
      </c>
      <c r="AB32" s="76">
        <v>9</v>
      </c>
      <c r="AC32" s="76">
        <v>4.5999999999999996</v>
      </c>
      <c r="AD32" s="76">
        <v>5.9</v>
      </c>
      <c r="AE32" s="76">
        <v>5.9</v>
      </c>
      <c r="AF32" s="76">
        <v>45.5</v>
      </c>
      <c r="AG32" s="84">
        <f t="shared" si="1"/>
        <v>266.5</v>
      </c>
      <c r="AH32" s="48"/>
      <c r="AI32" s="48"/>
    </row>
    <row r="33" spans="1:35" s="44" customFormat="1" ht="18.75" customHeight="1" x14ac:dyDescent="0.35">
      <c r="A33" s="60" t="s">
        <v>82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84">
        <f t="shared" si="1"/>
        <v>0</v>
      </c>
      <c r="AH33" s="48"/>
      <c r="AI33" s="48"/>
    </row>
    <row r="34" spans="1:35" s="44" customFormat="1" ht="18.75" customHeight="1" x14ac:dyDescent="0.35">
      <c r="A34" s="60" t="s">
        <v>179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84">
        <f t="shared" si="1"/>
        <v>0</v>
      </c>
      <c r="AH34" s="48"/>
      <c r="AI34" s="48"/>
    </row>
    <row r="35" spans="1:35" s="44" customFormat="1" ht="18.75" customHeight="1" x14ac:dyDescent="0.35">
      <c r="A35" s="59" t="s">
        <v>155</v>
      </c>
      <c r="B35" s="70">
        <f t="shared" ref="B35:AF35" si="2">SUM(B5:B32)</f>
        <v>16</v>
      </c>
      <c r="C35" s="70">
        <f t="shared" si="2"/>
        <v>14</v>
      </c>
      <c r="D35" s="70">
        <f t="shared" si="2"/>
        <v>18</v>
      </c>
      <c r="E35" s="70">
        <f t="shared" si="2"/>
        <v>25.3</v>
      </c>
      <c r="F35" s="70">
        <f t="shared" si="2"/>
        <v>12.9</v>
      </c>
      <c r="G35" s="70">
        <f t="shared" si="2"/>
        <v>20</v>
      </c>
      <c r="H35" s="70">
        <f t="shared" si="2"/>
        <v>15.6</v>
      </c>
      <c r="I35" s="70">
        <f t="shared" si="2"/>
        <v>12</v>
      </c>
      <c r="J35" s="70">
        <f t="shared" si="2"/>
        <v>20</v>
      </c>
      <c r="K35" s="70">
        <f t="shared" si="2"/>
        <v>16</v>
      </c>
      <c r="L35" s="70">
        <f t="shared" si="2"/>
        <v>22.3</v>
      </c>
      <c r="M35" s="70">
        <f t="shared" si="2"/>
        <v>13.9</v>
      </c>
      <c r="N35" s="70">
        <f t="shared" si="2"/>
        <v>21</v>
      </c>
      <c r="O35" s="70">
        <f t="shared" si="2"/>
        <v>16.600000000000001</v>
      </c>
      <c r="P35" s="70">
        <f t="shared" si="2"/>
        <v>19.899999999999999</v>
      </c>
      <c r="Q35" s="70">
        <f t="shared" si="2"/>
        <v>16</v>
      </c>
      <c r="R35" s="70">
        <f t="shared" si="2"/>
        <v>23</v>
      </c>
      <c r="S35" s="70">
        <f t="shared" si="2"/>
        <v>18.3</v>
      </c>
      <c r="T35" s="70">
        <f t="shared" si="2"/>
        <v>14.9</v>
      </c>
      <c r="U35" s="70">
        <f t="shared" si="2"/>
        <v>21.5</v>
      </c>
      <c r="V35" s="70">
        <f t="shared" si="2"/>
        <v>16.600000000000001</v>
      </c>
      <c r="W35" s="70">
        <f t="shared" si="2"/>
        <v>24.7</v>
      </c>
      <c r="X35" s="70">
        <f t="shared" si="2"/>
        <v>30</v>
      </c>
      <c r="Y35" s="70">
        <f t="shared" si="2"/>
        <v>17.899999999999999</v>
      </c>
      <c r="Z35" s="70">
        <f t="shared" si="2"/>
        <v>22.3</v>
      </c>
      <c r="AA35" s="70">
        <f t="shared" si="2"/>
        <v>16.899999999999999</v>
      </c>
      <c r="AB35" s="70">
        <f t="shared" si="2"/>
        <v>19</v>
      </c>
      <c r="AC35" s="70">
        <f t="shared" si="2"/>
        <v>14.6</v>
      </c>
      <c r="AD35" s="70">
        <f t="shared" si="2"/>
        <v>16.899999999999999</v>
      </c>
      <c r="AE35" s="70">
        <f t="shared" si="2"/>
        <v>30.9</v>
      </c>
      <c r="AF35" s="70">
        <f t="shared" si="2"/>
        <v>54.5</v>
      </c>
      <c r="AG35" s="56">
        <f>SUM(B35:AF35)</f>
        <v>621.49999999999989</v>
      </c>
      <c r="AH35" s="57"/>
      <c r="AI35" s="57"/>
    </row>
    <row r="36" spans="1:35" s="2" customFormat="1" x14ac:dyDescent="0.25">
      <c r="AG36" s="24">
        <f>SUM(AG3:AG33)</f>
        <v>621.5</v>
      </c>
    </row>
    <row r="37" spans="1:35" s="2" customFormat="1" x14ac:dyDescent="0.25"/>
    <row r="38" spans="1:35" s="2" customFormat="1" x14ac:dyDescent="0.25"/>
  </sheetData>
  <mergeCells count="1">
    <mergeCell ref="A1:AG1"/>
  </mergeCells>
  <conditionalFormatting sqref="AG35">
    <cfRule type="cellIs" dxfId="143" priority="2" operator="equal">
      <formula>$AG$36</formula>
    </cfRule>
  </conditionalFormatting>
  <conditionalFormatting sqref="AG36">
    <cfRule type="cellIs" dxfId="142" priority="1" operator="equal">
      <formula>$AG$35</formula>
    </cfRule>
  </conditionalFormatting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7.85546875" customWidth="1"/>
    <col min="3" max="3" width="9.42578125" customWidth="1"/>
    <col min="4" max="4" width="8.7109375" customWidth="1"/>
    <col min="5" max="6" width="9.42578125" customWidth="1"/>
    <col min="7" max="7" width="9.5703125" customWidth="1"/>
    <col min="8" max="11" width="9" customWidth="1"/>
    <col min="12" max="12" width="8.7109375" customWidth="1"/>
    <col min="13" max="13" width="9.140625" customWidth="1"/>
    <col min="14" max="14" width="9" customWidth="1"/>
    <col min="15" max="15" width="10.140625" customWidth="1"/>
    <col min="16" max="16" width="9.28515625" customWidth="1"/>
    <col min="17" max="19" width="9" customWidth="1"/>
    <col min="20" max="20" width="9.140625" customWidth="1"/>
    <col min="21" max="21" width="9.28515625" customWidth="1"/>
    <col min="22" max="25" width="9" customWidth="1"/>
    <col min="26" max="26" width="9.42578125" customWidth="1"/>
    <col min="27" max="29" width="7.85546875" customWidth="1"/>
    <col min="30" max="30" width="9.140625" customWidth="1"/>
    <col min="31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46">
        <f>SUM(AD3:AF3)</f>
        <v>0</v>
      </c>
      <c r="AH3" s="47"/>
      <c r="AI3" s="48"/>
    </row>
    <row r="4" spans="1:35" s="44" customFormat="1" ht="21" x14ac:dyDescent="0.35">
      <c r="A4" s="60" t="s">
        <v>193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46">
        <f>SUM(AD4:AF4)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46">
        <f>SUM(AD5:AF5)</f>
        <v>0</v>
      </c>
      <c r="AH5" s="48"/>
      <c r="AI5" s="48"/>
    </row>
    <row r="6" spans="1:35" s="44" customFormat="1" ht="18.75" customHeight="1" x14ac:dyDescent="0.35">
      <c r="A6" s="60" t="s">
        <v>84</v>
      </c>
      <c r="B6" s="70">
        <v>3</v>
      </c>
      <c r="C6" s="70">
        <v>2</v>
      </c>
      <c r="D6" s="70">
        <v>8</v>
      </c>
      <c r="E6" s="70">
        <v>6</v>
      </c>
      <c r="F6" s="70">
        <v>4</v>
      </c>
      <c r="G6" s="70">
        <v>9</v>
      </c>
      <c r="H6" s="70">
        <v>3</v>
      </c>
      <c r="I6" s="70">
        <v>3</v>
      </c>
      <c r="J6" s="70">
        <v>6</v>
      </c>
      <c r="K6" s="70">
        <v>4</v>
      </c>
      <c r="L6" s="70">
        <v>6</v>
      </c>
      <c r="M6" s="70">
        <v>2</v>
      </c>
      <c r="N6" s="70">
        <v>6</v>
      </c>
      <c r="O6" s="70">
        <v>4</v>
      </c>
      <c r="P6" s="70">
        <v>6</v>
      </c>
      <c r="Q6" s="70">
        <v>7</v>
      </c>
      <c r="R6" s="70">
        <v>2</v>
      </c>
      <c r="S6" s="70">
        <v>6</v>
      </c>
      <c r="T6" s="70">
        <v>5</v>
      </c>
      <c r="U6" s="70">
        <v>5</v>
      </c>
      <c r="V6" s="70">
        <v>6</v>
      </c>
      <c r="W6" s="70">
        <v>6</v>
      </c>
      <c r="X6" s="70">
        <v>2</v>
      </c>
      <c r="Y6" s="70">
        <v>6</v>
      </c>
      <c r="Z6" s="70">
        <v>3</v>
      </c>
      <c r="AA6" s="70">
        <v>6</v>
      </c>
      <c r="AB6" s="70">
        <v>4</v>
      </c>
      <c r="AC6" s="70">
        <v>5</v>
      </c>
      <c r="AD6" s="70">
        <v>5</v>
      </c>
      <c r="AE6" s="70">
        <v>4</v>
      </c>
      <c r="AF6" s="70">
        <v>6</v>
      </c>
      <c r="AG6" s="46">
        <f>SUM(B6:AF6)</f>
        <v>150</v>
      </c>
      <c r="AH6" s="48"/>
      <c r="AI6" s="48"/>
    </row>
    <row r="7" spans="1:35" s="44" customFormat="1" ht="18.75" customHeight="1" x14ac:dyDescent="0.35">
      <c r="A7" s="60" t="s">
        <v>64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46">
        <f t="shared" ref="AG7:AG13" si="0">SUM(AD7:AF7)</f>
        <v>0</v>
      </c>
      <c r="AH7" s="48"/>
      <c r="AI7" s="48"/>
    </row>
    <row r="8" spans="1:35" s="44" customFormat="1" ht="18.75" customHeight="1" x14ac:dyDescent="0.35">
      <c r="A8" s="60" t="s">
        <v>65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46">
        <f t="shared" si="0"/>
        <v>0</v>
      </c>
      <c r="AH12" s="48"/>
      <c r="AI12" s="48"/>
    </row>
    <row r="13" spans="1:35" s="44" customFormat="1" ht="21" x14ac:dyDescent="0.35">
      <c r="A13" s="60" t="s">
        <v>69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>
        <f>SUM(B14:AF14)</f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46">
        <f>SUM(AD15:AF15)</f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0">
        <v>4</v>
      </c>
      <c r="C16" s="70">
        <v>6</v>
      </c>
      <c r="D16" s="70">
        <v>8</v>
      </c>
      <c r="E16" s="70">
        <v>9</v>
      </c>
      <c r="F16" s="70">
        <v>2</v>
      </c>
      <c r="G16" s="70">
        <v>6</v>
      </c>
      <c r="H16" s="70">
        <v>8</v>
      </c>
      <c r="I16" s="70">
        <v>4</v>
      </c>
      <c r="J16" s="70">
        <v>9</v>
      </c>
      <c r="K16" s="70">
        <v>2</v>
      </c>
      <c r="L16" s="70">
        <v>6</v>
      </c>
      <c r="M16" s="70">
        <v>5</v>
      </c>
      <c r="N16" s="70">
        <v>6</v>
      </c>
      <c r="O16" s="70">
        <v>8</v>
      </c>
      <c r="P16" s="70">
        <v>5</v>
      </c>
      <c r="Q16" s="70">
        <v>6</v>
      </c>
      <c r="R16" s="70">
        <v>8.9</v>
      </c>
      <c r="S16" s="70">
        <v>5.9</v>
      </c>
      <c r="T16" s="70">
        <v>5</v>
      </c>
      <c r="U16" s="70">
        <v>6</v>
      </c>
      <c r="V16" s="70">
        <v>5.9</v>
      </c>
      <c r="W16" s="70">
        <v>9</v>
      </c>
      <c r="X16" s="70">
        <v>23</v>
      </c>
      <c r="Y16" s="70">
        <v>6</v>
      </c>
      <c r="Z16" s="70">
        <v>9.4</v>
      </c>
      <c r="AA16" s="70">
        <v>4</v>
      </c>
      <c r="AB16" s="70">
        <v>6</v>
      </c>
      <c r="AC16" s="70">
        <v>5.9</v>
      </c>
      <c r="AD16" s="70">
        <v>6</v>
      </c>
      <c r="AE16" s="70">
        <v>21</v>
      </c>
      <c r="AF16" s="70">
        <v>3</v>
      </c>
      <c r="AG16" s="46">
        <f>SUM(B16:AF16)</f>
        <v>219.00000000000003</v>
      </c>
      <c r="AH16" s="48"/>
      <c r="AI16" s="48"/>
    </row>
    <row r="17" spans="1:35" s="44" customFormat="1" ht="18.75" customHeight="1" x14ac:dyDescent="0.35">
      <c r="A17" s="60" t="s">
        <v>195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ref="AG17:AG22" si="1">SUM(AD17:AF17)</f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46">
        <f t="shared" si="1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46">
        <f t="shared" si="1"/>
        <v>0</v>
      </c>
      <c r="AH19" s="48"/>
      <c r="AI19" s="48"/>
    </row>
    <row r="20" spans="1:35" s="44" customFormat="1" ht="18.75" customHeight="1" x14ac:dyDescent="0.35">
      <c r="A20" s="60" t="s">
        <v>233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46">
        <f t="shared" si="1"/>
        <v>0</v>
      </c>
      <c r="AH20" s="48"/>
      <c r="AI20" s="48"/>
    </row>
    <row r="21" spans="1:35" s="44" customFormat="1" ht="18.75" customHeight="1" x14ac:dyDescent="0.35">
      <c r="A21" s="60" t="s">
        <v>227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1"/>
        <v>0</v>
      </c>
      <c r="AH21" s="48"/>
      <c r="AI21" s="48"/>
    </row>
    <row r="22" spans="1:35" s="44" customFormat="1" ht="18.75" customHeight="1" x14ac:dyDescent="0.35">
      <c r="A22" s="60" t="s">
        <v>225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46">
        <f t="shared" si="1"/>
        <v>0</v>
      </c>
      <c r="AH22" s="48"/>
      <c r="AI22" s="48"/>
    </row>
    <row r="23" spans="1:35" s="44" customFormat="1" ht="18.75" customHeight="1" x14ac:dyDescent="0.35">
      <c r="A23" s="60" t="s">
        <v>74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46">
        <f>SUM(B23:AF23)</f>
        <v>0</v>
      </c>
      <c r="AH23" s="48"/>
      <c r="AI23" s="48"/>
    </row>
    <row r="24" spans="1:35" s="44" customFormat="1" ht="18.75" customHeight="1" x14ac:dyDescent="0.35">
      <c r="A24" s="60" t="s">
        <v>75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46">
        <f t="shared" ref="AG24:AG31" si="2">SUM(AD24:AF24)</f>
        <v>0</v>
      </c>
      <c r="AH24" s="48"/>
      <c r="AI24" s="48"/>
    </row>
    <row r="25" spans="1:35" s="44" customFormat="1" ht="18.75" customHeight="1" x14ac:dyDescent="0.35">
      <c r="A25" s="60" t="s">
        <v>77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2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2"/>
        <v>0</v>
      </c>
      <c r="AH26" s="48"/>
      <c r="AI26" s="48"/>
    </row>
    <row r="27" spans="1:35" s="44" customFormat="1" ht="18.75" customHeight="1" x14ac:dyDescent="0.35">
      <c r="A27" s="60" t="s">
        <v>79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2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2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2"/>
        <v>0</v>
      </c>
      <c r="AH29" s="48"/>
      <c r="AI29" s="48"/>
    </row>
    <row r="30" spans="1:35" s="44" customFormat="1" ht="18.75" customHeight="1" x14ac:dyDescent="0.35">
      <c r="A30" s="60" t="s">
        <v>76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2"/>
        <v>0</v>
      </c>
      <c r="AH30" s="48"/>
      <c r="AI30" s="48"/>
    </row>
    <row r="31" spans="1:35" s="44" customFormat="1" ht="18.75" customHeight="1" x14ac:dyDescent="0.35">
      <c r="A31" s="60" t="s">
        <v>81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2"/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76">
        <v>5</v>
      </c>
      <c r="C32" s="76">
        <v>5.9</v>
      </c>
      <c r="D32" s="76">
        <v>5</v>
      </c>
      <c r="E32" s="76">
        <v>10.3</v>
      </c>
      <c r="F32" s="76">
        <v>6.9</v>
      </c>
      <c r="G32" s="76">
        <v>5</v>
      </c>
      <c r="H32" s="76">
        <v>4.5999999999999996</v>
      </c>
      <c r="I32" s="76">
        <v>5</v>
      </c>
      <c r="J32" s="76">
        <v>6</v>
      </c>
      <c r="K32" s="76">
        <v>5</v>
      </c>
      <c r="L32" s="76">
        <v>10.3</v>
      </c>
      <c r="M32" s="76">
        <v>6.9</v>
      </c>
      <c r="N32" s="76">
        <v>5</v>
      </c>
      <c r="O32" s="76">
        <v>4.5999999999999996</v>
      </c>
      <c r="P32" s="76">
        <v>9</v>
      </c>
      <c r="Q32" s="76">
        <v>6</v>
      </c>
      <c r="R32" s="76">
        <v>7.9</v>
      </c>
      <c r="S32" s="76">
        <v>10.3</v>
      </c>
      <c r="T32" s="76">
        <v>6.9</v>
      </c>
      <c r="U32" s="76">
        <v>5</v>
      </c>
      <c r="V32" s="76">
        <v>4.5999999999999996</v>
      </c>
      <c r="W32" s="76">
        <v>6.7</v>
      </c>
      <c r="X32" s="76">
        <v>6</v>
      </c>
      <c r="Y32" s="76">
        <v>5</v>
      </c>
      <c r="Z32" s="76">
        <v>5</v>
      </c>
      <c r="AA32" s="76">
        <v>6.9</v>
      </c>
      <c r="AB32" s="76">
        <v>5</v>
      </c>
      <c r="AC32" s="76">
        <v>4.5999999999999996</v>
      </c>
      <c r="AD32" s="76">
        <v>5.9</v>
      </c>
      <c r="AE32" s="76">
        <v>5.9</v>
      </c>
      <c r="AF32" s="76">
        <v>45.5</v>
      </c>
      <c r="AG32" s="46">
        <f>SUM(B32:AF32)</f>
        <v>231.70000000000002</v>
      </c>
      <c r="AH32" s="48"/>
      <c r="AI32" s="48"/>
    </row>
    <row r="33" spans="1:35" s="44" customFormat="1" ht="18.75" customHeight="1" x14ac:dyDescent="0.35">
      <c r="A33" s="60" t="s">
        <v>82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46">
        <f>SUM(AD33:AF33)</f>
        <v>0</v>
      </c>
      <c r="AH33" s="48"/>
      <c r="AI33" s="48"/>
    </row>
    <row r="34" spans="1:35" s="44" customFormat="1" ht="18.75" customHeight="1" x14ac:dyDescent="0.35">
      <c r="A34" s="60" t="s">
        <v>179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46">
        <f>SUM(AD34:AF34)</f>
        <v>0</v>
      </c>
      <c r="AH34" s="48"/>
      <c r="AI34" s="48"/>
    </row>
    <row r="35" spans="1:35" s="44" customFormat="1" ht="18.75" customHeight="1" x14ac:dyDescent="0.35">
      <c r="A35" s="59" t="s">
        <v>155</v>
      </c>
      <c r="B35" s="70">
        <f t="shared" ref="B35:AC35" si="3">SUM(B5:B32)</f>
        <v>12</v>
      </c>
      <c r="C35" s="70">
        <f t="shared" si="3"/>
        <v>13.9</v>
      </c>
      <c r="D35" s="70">
        <f t="shared" si="3"/>
        <v>21</v>
      </c>
      <c r="E35" s="70">
        <f t="shared" si="3"/>
        <v>25.3</v>
      </c>
      <c r="F35" s="70">
        <f t="shared" si="3"/>
        <v>12.9</v>
      </c>
      <c r="G35" s="70">
        <f t="shared" si="3"/>
        <v>20</v>
      </c>
      <c r="H35" s="70">
        <f t="shared" si="3"/>
        <v>15.6</v>
      </c>
      <c r="I35" s="70">
        <f t="shared" si="3"/>
        <v>12</v>
      </c>
      <c r="J35" s="70">
        <f t="shared" si="3"/>
        <v>21</v>
      </c>
      <c r="K35" s="70">
        <f t="shared" si="3"/>
        <v>11</v>
      </c>
      <c r="L35" s="70">
        <f t="shared" si="3"/>
        <v>22.3</v>
      </c>
      <c r="M35" s="70">
        <f t="shared" si="3"/>
        <v>13.9</v>
      </c>
      <c r="N35" s="70">
        <f t="shared" si="3"/>
        <v>17</v>
      </c>
      <c r="O35" s="70">
        <f t="shared" si="3"/>
        <v>16.600000000000001</v>
      </c>
      <c r="P35" s="70">
        <f t="shared" si="3"/>
        <v>20</v>
      </c>
      <c r="Q35" s="70">
        <f t="shared" si="3"/>
        <v>19</v>
      </c>
      <c r="R35" s="70">
        <f t="shared" si="3"/>
        <v>18.8</v>
      </c>
      <c r="S35" s="70">
        <f t="shared" si="3"/>
        <v>22.200000000000003</v>
      </c>
      <c r="T35" s="70">
        <f t="shared" si="3"/>
        <v>16.899999999999999</v>
      </c>
      <c r="U35" s="70">
        <f t="shared" si="3"/>
        <v>16</v>
      </c>
      <c r="V35" s="70">
        <f t="shared" si="3"/>
        <v>16.5</v>
      </c>
      <c r="W35" s="70">
        <f t="shared" si="3"/>
        <v>21.7</v>
      </c>
      <c r="X35" s="70">
        <f t="shared" si="3"/>
        <v>31</v>
      </c>
      <c r="Y35" s="70">
        <f t="shared" si="3"/>
        <v>17</v>
      </c>
      <c r="Z35" s="70">
        <f t="shared" si="3"/>
        <v>17.399999999999999</v>
      </c>
      <c r="AA35" s="70">
        <f t="shared" si="3"/>
        <v>16.899999999999999</v>
      </c>
      <c r="AB35" s="70">
        <f t="shared" si="3"/>
        <v>15</v>
      </c>
      <c r="AC35" s="70">
        <f t="shared" si="3"/>
        <v>15.5</v>
      </c>
      <c r="AD35" s="70">
        <f>SUM(AD3:AD34)</f>
        <v>16.899999999999999</v>
      </c>
      <c r="AE35" s="70">
        <f>SUM(AE3:AE34)</f>
        <v>30.9</v>
      </c>
      <c r="AF35" s="70">
        <f>SUM(AF3:AF34)</f>
        <v>54.5</v>
      </c>
      <c r="AG35" s="56">
        <f>SUM(B35:AF35)</f>
        <v>600.69999999999993</v>
      </c>
      <c r="AH35" s="57"/>
      <c r="AI35" s="57"/>
    </row>
    <row r="36" spans="1:35" s="2" customFormat="1" x14ac:dyDescent="0.25">
      <c r="AG36" s="24">
        <f>SUM(AG3:AG34)</f>
        <v>600.70000000000005</v>
      </c>
    </row>
    <row r="37" spans="1:35" s="2" customFormat="1" x14ac:dyDescent="0.25"/>
    <row r="38" spans="1:35" s="2" customFormat="1" x14ac:dyDescent="0.25"/>
  </sheetData>
  <mergeCells count="1">
    <mergeCell ref="A1:AG1"/>
  </mergeCells>
  <conditionalFormatting sqref="AG35">
    <cfRule type="cellIs" dxfId="141" priority="2" operator="equal">
      <formula>$AG$36</formula>
    </cfRule>
  </conditionalFormatting>
  <conditionalFormatting sqref="AG36">
    <cfRule type="cellIs" dxfId="140" priority="1" operator="equal">
      <formula>$AG$35</formula>
    </cfRule>
  </conditionalFormatting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sqref="A1:AG1"/>
    </sheetView>
  </sheetViews>
  <sheetFormatPr baseColWidth="10" defaultRowHeight="15" x14ac:dyDescent="0.25"/>
  <cols>
    <col min="1" max="1" width="70.42578125" customWidth="1"/>
    <col min="2" max="2" width="10.7109375" customWidth="1"/>
    <col min="3" max="3" width="9.42578125" customWidth="1"/>
    <col min="4" max="4" width="13.5703125" customWidth="1"/>
    <col min="5" max="6" width="9.42578125" customWidth="1"/>
    <col min="7" max="7" width="9.5703125" customWidth="1"/>
    <col min="8" max="11" width="9" customWidth="1"/>
    <col min="12" max="12" width="10.7109375" customWidth="1"/>
    <col min="13" max="13" width="9.140625" customWidth="1"/>
    <col min="14" max="14" width="9" customWidth="1"/>
    <col min="15" max="15" width="10.140625" customWidth="1"/>
    <col min="16" max="16" width="9.28515625" customWidth="1"/>
    <col min="17" max="19" width="9" customWidth="1"/>
    <col min="20" max="20" width="9.140625" customWidth="1"/>
    <col min="21" max="21" width="9.28515625" customWidth="1"/>
    <col min="22" max="25" width="9" customWidth="1"/>
    <col min="26" max="26" width="9.42578125" customWidth="1"/>
    <col min="27" max="27" width="10.42578125" customWidth="1"/>
    <col min="28" max="28" width="7.85546875" customWidth="1"/>
    <col min="29" max="29" width="9.85546875" customWidth="1"/>
    <col min="30" max="30" width="9.140625" customWidth="1"/>
    <col min="31" max="31" width="7.85546875" customWidth="1"/>
    <col min="32" max="32" width="10.140625" customWidth="1"/>
    <col min="33" max="33" width="16.42578125" bestFit="1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6.5" customHeight="1" x14ac:dyDescent="0.35">
      <c r="A3" s="159" t="s">
        <v>94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46">
        <f t="shared" ref="AG3:AG34" si="0">SUM(B3:AF3)</f>
        <v>0</v>
      </c>
      <c r="AH3" s="47"/>
      <c r="AI3" s="48"/>
    </row>
    <row r="4" spans="1:35" s="44" customFormat="1" ht="21" x14ac:dyDescent="0.35">
      <c r="A4" s="160" t="s">
        <v>193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46">
        <f t="shared" si="0"/>
        <v>0</v>
      </c>
      <c r="AH4" s="48"/>
      <c r="AI4" s="48"/>
    </row>
    <row r="5" spans="1:35" s="44" customFormat="1" ht="21" x14ac:dyDescent="0.35">
      <c r="A5" s="160" t="s">
        <v>83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46">
        <f t="shared" si="0"/>
        <v>0</v>
      </c>
      <c r="AH5" s="48"/>
      <c r="AI5" s="48"/>
    </row>
    <row r="6" spans="1:35" s="44" customFormat="1" ht="21" x14ac:dyDescent="0.35">
      <c r="A6" s="160" t="s">
        <v>84</v>
      </c>
      <c r="B6" s="70">
        <v>3</v>
      </c>
      <c r="C6" s="70">
        <v>2</v>
      </c>
      <c r="D6" s="70">
        <v>8</v>
      </c>
      <c r="E6" s="70">
        <v>6</v>
      </c>
      <c r="F6" s="70">
        <v>4</v>
      </c>
      <c r="G6" s="70">
        <v>9</v>
      </c>
      <c r="H6" s="70">
        <v>4</v>
      </c>
      <c r="I6" s="70">
        <v>9</v>
      </c>
      <c r="J6" s="70">
        <v>8</v>
      </c>
      <c r="K6" s="70">
        <v>4</v>
      </c>
      <c r="L6" s="70">
        <v>6</v>
      </c>
      <c r="M6" s="70">
        <v>2</v>
      </c>
      <c r="N6" s="70">
        <v>5</v>
      </c>
      <c r="O6" s="70">
        <v>4</v>
      </c>
      <c r="P6" s="70">
        <v>4.8</v>
      </c>
      <c r="Q6" s="70">
        <v>7</v>
      </c>
      <c r="R6" s="70">
        <v>2</v>
      </c>
      <c r="S6" s="70">
        <v>6</v>
      </c>
      <c r="T6" s="70">
        <v>1.9</v>
      </c>
      <c r="U6" s="70">
        <v>5</v>
      </c>
      <c r="V6" s="70">
        <v>6</v>
      </c>
      <c r="W6" s="70">
        <v>6</v>
      </c>
      <c r="X6" s="70">
        <v>5.9</v>
      </c>
      <c r="Y6" s="70">
        <v>6</v>
      </c>
      <c r="Z6" s="70">
        <v>3</v>
      </c>
      <c r="AA6" s="70">
        <v>4.9000000000000004</v>
      </c>
      <c r="AB6" s="70">
        <v>4</v>
      </c>
      <c r="AC6" s="70">
        <v>5</v>
      </c>
      <c r="AD6" s="70">
        <v>5</v>
      </c>
      <c r="AE6" s="70">
        <v>4</v>
      </c>
      <c r="AF6" s="70">
        <v>6</v>
      </c>
      <c r="AG6" s="46">
        <f>SUM(B6:AF6)</f>
        <v>156.5</v>
      </c>
      <c r="AH6" s="48"/>
      <c r="AI6" s="48"/>
    </row>
    <row r="7" spans="1:35" s="44" customFormat="1" ht="21" x14ac:dyDescent="0.35">
      <c r="A7" s="160" t="s">
        <v>64</v>
      </c>
      <c r="B7" s="52"/>
      <c r="C7" s="52"/>
      <c r="D7" s="52"/>
      <c r="E7" s="52"/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46">
        <f t="shared" si="0"/>
        <v>0</v>
      </c>
      <c r="AH7" s="48"/>
      <c r="AI7" s="48"/>
    </row>
    <row r="8" spans="1:35" s="44" customFormat="1" ht="21" x14ac:dyDescent="0.35">
      <c r="A8" s="160" t="s">
        <v>65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46">
        <f t="shared" si="0"/>
        <v>0</v>
      </c>
      <c r="AH8" s="48"/>
      <c r="AI8" s="48"/>
    </row>
    <row r="9" spans="1:35" s="44" customFormat="1" ht="21" x14ac:dyDescent="0.35">
      <c r="A9" s="1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21" x14ac:dyDescent="0.35">
      <c r="A10" s="160" t="s">
        <v>67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>
        <f t="shared" si="0"/>
        <v>0</v>
      </c>
      <c r="AH10" s="48"/>
      <c r="AI10" s="48"/>
    </row>
    <row r="11" spans="1:35" s="44" customFormat="1" ht="21" x14ac:dyDescent="0.35">
      <c r="A11" s="160" t="s">
        <v>152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46">
        <f t="shared" si="0"/>
        <v>0</v>
      </c>
      <c r="AH11" s="48"/>
      <c r="AI11" s="48"/>
    </row>
    <row r="12" spans="1:35" s="44" customFormat="1" ht="21" x14ac:dyDescent="0.35">
      <c r="A12" s="160" t="s">
        <v>91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46">
        <f t="shared" si="0"/>
        <v>0</v>
      </c>
      <c r="AH12" s="48"/>
      <c r="AI12" s="48"/>
    </row>
    <row r="13" spans="1:35" s="44" customFormat="1" ht="21" x14ac:dyDescent="0.35">
      <c r="A13" s="160" t="s">
        <v>69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21" x14ac:dyDescent="0.35">
      <c r="A14" s="160" t="s">
        <v>71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21" x14ac:dyDescent="0.35">
      <c r="A15" s="160" t="s">
        <v>72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46">
        <f t="shared" si="0"/>
        <v>0</v>
      </c>
      <c r="AH15" s="48"/>
      <c r="AI15" s="48"/>
    </row>
    <row r="16" spans="1:35" s="44" customFormat="1" ht="21" x14ac:dyDescent="0.35">
      <c r="A16" s="160" t="s">
        <v>85</v>
      </c>
      <c r="B16" s="70">
        <v>4.9000000000000004</v>
      </c>
      <c r="C16" s="70">
        <v>6</v>
      </c>
      <c r="D16" s="70">
        <v>8</v>
      </c>
      <c r="E16" s="70">
        <v>9</v>
      </c>
      <c r="F16" s="70">
        <v>5.9</v>
      </c>
      <c r="G16" s="70">
        <v>6</v>
      </c>
      <c r="H16" s="70">
        <v>8</v>
      </c>
      <c r="I16" s="70">
        <v>4</v>
      </c>
      <c r="J16" s="70">
        <v>9</v>
      </c>
      <c r="K16" s="70">
        <v>2</v>
      </c>
      <c r="L16" s="70">
        <v>6</v>
      </c>
      <c r="M16" s="70">
        <v>4</v>
      </c>
      <c r="N16" s="70">
        <v>8.9</v>
      </c>
      <c r="O16" s="70">
        <v>6</v>
      </c>
      <c r="P16" s="70">
        <v>6.8</v>
      </c>
      <c r="Q16" s="70">
        <v>6</v>
      </c>
      <c r="R16" s="70">
        <v>8.9</v>
      </c>
      <c r="S16" s="70">
        <v>5.9</v>
      </c>
      <c r="T16" s="70">
        <v>5</v>
      </c>
      <c r="U16" s="70">
        <v>9.9</v>
      </c>
      <c r="V16" s="70">
        <v>5.9</v>
      </c>
      <c r="W16" s="70">
        <v>9</v>
      </c>
      <c r="X16" s="70">
        <v>16</v>
      </c>
      <c r="Y16" s="70">
        <v>9.8000000000000007</v>
      </c>
      <c r="Z16" s="70">
        <v>9.4</v>
      </c>
      <c r="AA16" s="70">
        <v>4.9000000000000004</v>
      </c>
      <c r="AB16" s="70">
        <v>6</v>
      </c>
      <c r="AC16" s="70">
        <v>5.9</v>
      </c>
      <c r="AD16" s="70">
        <v>6</v>
      </c>
      <c r="AE16" s="70">
        <v>4.9000000000000004</v>
      </c>
      <c r="AF16" s="70">
        <v>5.9</v>
      </c>
      <c r="AG16" s="46">
        <f t="shared" si="0"/>
        <v>213.90000000000006</v>
      </c>
      <c r="AH16" s="48"/>
      <c r="AI16" s="48"/>
    </row>
    <row r="17" spans="1:35" s="44" customFormat="1" ht="21" x14ac:dyDescent="0.35">
      <c r="A17" s="160" t="s">
        <v>194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si="0"/>
        <v>0</v>
      </c>
      <c r="AH17" s="48"/>
      <c r="AI17" s="48"/>
    </row>
    <row r="18" spans="1:35" s="44" customFormat="1" ht="21" x14ac:dyDescent="0.35">
      <c r="A18" s="160" t="s">
        <v>73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46">
        <f t="shared" si="0"/>
        <v>0</v>
      </c>
      <c r="AH18" s="48"/>
      <c r="AI18" s="48"/>
    </row>
    <row r="19" spans="1:35" s="44" customFormat="1" ht="21" x14ac:dyDescent="0.35">
      <c r="A19" s="160" t="s">
        <v>92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46">
        <f t="shared" si="0"/>
        <v>0</v>
      </c>
      <c r="AH19" s="48"/>
      <c r="AI19" s="48"/>
    </row>
    <row r="20" spans="1:35" s="44" customFormat="1" ht="21" x14ac:dyDescent="0.35">
      <c r="A20" s="160" t="s">
        <v>233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46">
        <f t="shared" si="0"/>
        <v>0</v>
      </c>
      <c r="AH20" s="48"/>
      <c r="AI20" s="48"/>
    </row>
    <row r="21" spans="1:35" s="44" customFormat="1" ht="21" x14ac:dyDescent="0.35">
      <c r="A21" s="160" t="s">
        <v>227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21" x14ac:dyDescent="0.35">
      <c r="A22" s="160" t="s">
        <v>232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46">
        <f t="shared" si="0"/>
        <v>0</v>
      </c>
      <c r="AH22" s="48"/>
      <c r="AI22" s="48"/>
    </row>
    <row r="23" spans="1:35" s="44" customFormat="1" ht="21" x14ac:dyDescent="0.35">
      <c r="A23" s="160" t="s">
        <v>74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46">
        <f t="shared" si="0"/>
        <v>0</v>
      </c>
      <c r="AH23" s="48"/>
      <c r="AI23" s="48"/>
    </row>
    <row r="24" spans="1:35" s="44" customFormat="1" ht="21" x14ac:dyDescent="0.35">
      <c r="A24" s="160" t="s">
        <v>75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46">
        <f t="shared" si="0"/>
        <v>0</v>
      </c>
      <c r="AH24" s="48"/>
      <c r="AI24" s="48"/>
    </row>
    <row r="25" spans="1:35" s="44" customFormat="1" ht="21" x14ac:dyDescent="0.35">
      <c r="A25" s="160" t="s">
        <v>77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21" x14ac:dyDescent="0.35">
      <c r="A26" s="160" t="s">
        <v>78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21" x14ac:dyDescent="0.35">
      <c r="A27" s="160" t="s">
        <v>79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21" x14ac:dyDescent="0.35">
      <c r="A28" s="160" t="s">
        <v>154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21" x14ac:dyDescent="0.35">
      <c r="A29" s="160" t="s">
        <v>80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21" x14ac:dyDescent="0.35">
      <c r="A30" s="160" t="s">
        <v>76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21" x14ac:dyDescent="0.35">
      <c r="A31" s="160" t="s">
        <v>81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21" x14ac:dyDescent="0.35">
      <c r="A32" s="160" t="s">
        <v>86</v>
      </c>
      <c r="B32" s="76">
        <v>9.6999999999999993</v>
      </c>
      <c r="C32" s="76">
        <v>5.9</v>
      </c>
      <c r="D32" s="76">
        <v>8.9</v>
      </c>
      <c r="E32" s="76">
        <v>10.3</v>
      </c>
      <c r="F32" s="76">
        <v>6.9</v>
      </c>
      <c r="G32" s="76">
        <v>5</v>
      </c>
      <c r="H32" s="76">
        <v>4.5999999999999996</v>
      </c>
      <c r="I32" s="76">
        <v>5</v>
      </c>
      <c r="J32" s="76">
        <v>6.4</v>
      </c>
      <c r="K32" s="76">
        <v>5</v>
      </c>
      <c r="L32" s="76">
        <v>10.3</v>
      </c>
      <c r="M32" s="76">
        <v>6.9</v>
      </c>
      <c r="N32" s="76">
        <v>5</v>
      </c>
      <c r="O32" s="76">
        <v>4.5999999999999996</v>
      </c>
      <c r="P32" s="76">
        <v>9</v>
      </c>
      <c r="Q32" s="76">
        <v>6</v>
      </c>
      <c r="R32" s="76">
        <v>7.9</v>
      </c>
      <c r="S32" s="76">
        <v>10.3</v>
      </c>
      <c r="T32" s="76">
        <v>6.9</v>
      </c>
      <c r="U32" s="76">
        <v>5</v>
      </c>
      <c r="V32" s="76">
        <v>4.5999999999999996</v>
      </c>
      <c r="W32" s="76">
        <v>6.7</v>
      </c>
      <c r="X32" s="76">
        <v>6</v>
      </c>
      <c r="Y32" s="76">
        <v>5</v>
      </c>
      <c r="Z32" s="76">
        <v>5</v>
      </c>
      <c r="AA32" s="76">
        <v>6.9</v>
      </c>
      <c r="AB32" s="76">
        <v>5</v>
      </c>
      <c r="AC32" s="76">
        <v>4.5999999999999996</v>
      </c>
      <c r="AD32" s="76">
        <v>5.9</v>
      </c>
      <c r="AE32" s="76">
        <v>5.9</v>
      </c>
      <c r="AF32" s="76">
        <v>45.5</v>
      </c>
      <c r="AG32" s="46">
        <f t="shared" si="0"/>
        <v>240.7</v>
      </c>
      <c r="AH32" s="48"/>
      <c r="AI32" s="48"/>
    </row>
    <row r="33" spans="1:35" s="44" customFormat="1" ht="21" x14ac:dyDescent="0.35">
      <c r="A33" s="160" t="s">
        <v>82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46">
        <f t="shared" si="0"/>
        <v>0</v>
      </c>
      <c r="AH33" s="48"/>
      <c r="AI33" s="48"/>
    </row>
    <row r="34" spans="1:35" s="44" customFormat="1" ht="21" x14ac:dyDescent="0.35">
      <c r="A34" s="160" t="s">
        <v>179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46">
        <f t="shared" si="0"/>
        <v>0</v>
      </c>
      <c r="AH34" s="48"/>
      <c r="AI34" s="48"/>
    </row>
    <row r="35" spans="1:35" s="44" customFormat="1" ht="21" x14ac:dyDescent="0.35">
      <c r="A35" s="158" t="s">
        <v>155</v>
      </c>
      <c r="B35" s="51">
        <f t="shared" ref="B35:AF35" si="1">SUM(B4:B34)</f>
        <v>17.600000000000001</v>
      </c>
      <c r="C35" s="51">
        <f t="shared" si="1"/>
        <v>13.9</v>
      </c>
      <c r="D35" s="51">
        <f t="shared" si="1"/>
        <v>24.9</v>
      </c>
      <c r="E35" s="51">
        <f t="shared" si="1"/>
        <v>25.3</v>
      </c>
      <c r="F35" s="51">
        <f t="shared" si="1"/>
        <v>16.8</v>
      </c>
      <c r="G35" s="51">
        <f t="shared" si="1"/>
        <v>20</v>
      </c>
      <c r="H35" s="51">
        <f t="shared" si="1"/>
        <v>16.600000000000001</v>
      </c>
      <c r="I35" s="51">
        <f t="shared" si="1"/>
        <v>18</v>
      </c>
      <c r="J35" s="51">
        <f t="shared" si="1"/>
        <v>23.4</v>
      </c>
      <c r="K35" s="51">
        <f t="shared" si="1"/>
        <v>11</v>
      </c>
      <c r="L35" s="51">
        <f t="shared" si="1"/>
        <v>22.3</v>
      </c>
      <c r="M35" s="51">
        <f t="shared" si="1"/>
        <v>12.9</v>
      </c>
      <c r="N35" s="51">
        <f t="shared" si="1"/>
        <v>18.899999999999999</v>
      </c>
      <c r="O35" s="51">
        <f t="shared" si="1"/>
        <v>14.6</v>
      </c>
      <c r="P35" s="51">
        <f t="shared" si="1"/>
        <v>20.6</v>
      </c>
      <c r="Q35" s="51">
        <f t="shared" si="1"/>
        <v>19</v>
      </c>
      <c r="R35" s="51">
        <f t="shared" si="1"/>
        <v>18.8</v>
      </c>
      <c r="S35" s="51">
        <f t="shared" si="1"/>
        <v>22.200000000000003</v>
      </c>
      <c r="T35" s="51">
        <f t="shared" si="1"/>
        <v>13.8</v>
      </c>
      <c r="U35" s="51">
        <f t="shared" si="1"/>
        <v>19.899999999999999</v>
      </c>
      <c r="V35" s="51">
        <f t="shared" si="1"/>
        <v>16.5</v>
      </c>
      <c r="W35" s="51">
        <f t="shared" si="1"/>
        <v>21.7</v>
      </c>
      <c r="X35" s="51">
        <f t="shared" si="1"/>
        <v>27.9</v>
      </c>
      <c r="Y35" s="51">
        <f t="shared" si="1"/>
        <v>20.8</v>
      </c>
      <c r="Z35" s="51">
        <f t="shared" si="1"/>
        <v>17.399999999999999</v>
      </c>
      <c r="AA35" s="51">
        <f t="shared" si="1"/>
        <v>16.700000000000003</v>
      </c>
      <c r="AB35" s="51">
        <f t="shared" si="1"/>
        <v>15</v>
      </c>
      <c r="AC35" s="51">
        <f t="shared" si="1"/>
        <v>15.5</v>
      </c>
      <c r="AD35" s="51">
        <f t="shared" si="1"/>
        <v>16.899999999999999</v>
      </c>
      <c r="AE35" s="51">
        <f t="shared" si="1"/>
        <v>14.8</v>
      </c>
      <c r="AF35" s="51">
        <f t="shared" si="1"/>
        <v>57.4</v>
      </c>
      <c r="AG35" s="56">
        <f>SUM(B35:AF35)</f>
        <v>611.09999999999991</v>
      </c>
      <c r="AH35" s="57"/>
      <c r="AI35" s="57"/>
    </row>
    <row r="36" spans="1:35" s="2" customFormat="1" ht="21" x14ac:dyDescent="0.35">
      <c r="AG36" s="42">
        <f>SUM(AG3:AG34)</f>
        <v>611.10000000000014</v>
      </c>
    </row>
    <row r="37" spans="1:35" s="2" customFormat="1" x14ac:dyDescent="0.25"/>
    <row r="38" spans="1:35" s="2" customFormat="1" x14ac:dyDescent="0.25"/>
  </sheetData>
  <mergeCells count="1">
    <mergeCell ref="A1:AG1"/>
  </mergeCells>
  <conditionalFormatting sqref="AG35">
    <cfRule type="cellIs" dxfId="139" priority="2" operator="equal">
      <formula>$AG$36</formula>
    </cfRule>
  </conditionalFormatting>
  <conditionalFormatting sqref="AG36">
    <cfRule type="cellIs" dxfId="138" priority="1" operator="equal">
      <formula>$AG$35</formula>
    </cfRule>
  </conditionalFormatting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sqref="A1:AG1"/>
    </sheetView>
  </sheetViews>
  <sheetFormatPr baseColWidth="10" defaultRowHeight="15" x14ac:dyDescent="0.25"/>
  <cols>
    <col min="1" max="1" width="70.42578125" customWidth="1"/>
    <col min="2" max="2" width="10.7109375" customWidth="1"/>
    <col min="3" max="3" width="9.42578125" customWidth="1"/>
    <col min="4" max="4" width="11.42578125" customWidth="1"/>
    <col min="5" max="6" width="9.42578125" customWidth="1"/>
    <col min="7" max="7" width="9.5703125" customWidth="1"/>
    <col min="8" max="11" width="9" customWidth="1"/>
    <col min="12" max="12" width="10.7109375" customWidth="1"/>
    <col min="13" max="13" width="9.140625" customWidth="1"/>
    <col min="14" max="14" width="9" customWidth="1"/>
    <col min="15" max="15" width="10.140625" customWidth="1"/>
    <col min="16" max="16" width="9.28515625" customWidth="1"/>
    <col min="17" max="19" width="9" customWidth="1"/>
    <col min="20" max="20" width="9.140625" customWidth="1"/>
    <col min="21" max="21" width="9.28515625" customWidth="1"/>
    <col min="22" max="25" width="9" customWidth="1"/>
    <col min="26" max="26" width="9.42578125" customWidth="1"/>
    <col min="27" max="27" width="10.42578125" customWidth="1"/>
    <col min="28" max="28" width="10.140625" customWidth="1"/>
    <col min="29" max="29" width="9.85546875" customWidth="1"/>
    <col min="30" max="30" width="9.140625" customWidth="1"/>
    <col min="31" max="31" width="10.7109375" customWidth="1"/>
    <col min="32" max="32" width="10.140625" customWidth="1"/>
    <col min="33" max="33" width="16.42578125" bestFit="1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6.5" customHeight="1" x14ac:dyDescent="0.35">
      <c r="A3" s="159" t="s">
        <v>94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46"/>
      <c r="AH3" s="47"/>
      <c r="AI3" s="48"/>
    </row>
    <row r="4" spans="1:35" s="44" customFormat="1" ht="21" x14ac:dyDescent="0.35">
      <c r="A4" s="160" t="s">
        <v>193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46"/>
      <c r="AH4" s="48"/>
      <c r="AI4" s="48"/>
    </row>
    <row r="5" spans="1:35" s="44" customFormat="1" ht="21" x14ac:dyDescent="0.35">
      <c r="A5" s="160" t="s">
        <v>83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46"/>
      <c r="AH5" s="48"/>
      <c r="AI5" s="48"/>
    </row>
    <row r="6" spans="1:35" s="44" customFormat="1" ht="21" x14ac:dyDescent="0.35">
      <c r="A6" s="160" t="s">
        <v>84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6">
        <f>SUM(B6:AF6)</f>
        <v>0</v>
      </c>
      <c r="AH6" s="48"/>
      <c r="AI6" s="48"/>
    </row>
    <row r="7" spans="1:35" s="44" customFormat="1" ht="21" x14ac:dyDescent="0.35">
      <c r="A7" s="160" t="s">
        <v>64</v>
      </c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6">
        <f t="shared" ref="AG7:AG34" si="0">SUM(B7:AF7)</f>
        <v>0</v>
      </c>
      <c r="AH7" s="48"/>
      <c r="AI7" s="48"/>
    </row>
    <row r="8" spans="1:35" s="44" customFormat="1" ht="21" x14ac:dyDescent="0.35">
      <c r="A8" s="160" t="s">
        <v>65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46">
        <f t="shared" si="0"/>
        <v>0</v>
      </c>
      <c r="AH8" s="48"/>
      <c r="AI8" s="48"/>
    </row>
    <row r="9" spans="1:35" s="44" customFormat="1" ht="21" x14ac:dyDescent="0.35">
      <c r="A9" s="160" t="s">
        <v>66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49"/>
      <c r="Y9" s="49"/>
      <c r="Z9" s="49"/>
      <c r="AA9" s="49"/>
      <c r="AB9" s="49"/>
      <c r="AC9" s="49"/>
      <c r="AD9" s="49"/>
      <c r="AE9" s="49"/>
      <c r="AF9" s="49"/>
      <c r="AG9" s="46">
        <f t="shared" si="0"/>
        <v>0</v>
      </c>
      <c r="AH9" s="48"/>
      <c r="AI9" s="48"/>
    </row>
    <row r="10" spans="1:35" s="44" customFormat="1" ht="21" x14ac:dyDescent="0.35">
      <c r="A10" s="160" t="s">
        <v>67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>
        <f t="shared" si="0"/>
        <v>0</v>
      </c>
      <c r="AH10" s="48"/>
      <c r="AI10" s="48"/>
    </row>
    <row r="11" spans="1:35" s="44" customFormat="1" ht="21" x14ac:dyDescent="0.35">
      <c r="A11" s="160" t="s">
        <v>152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46">
        <f t="shared" si="0"/>
        <v>0</v>
      </c>
      <c r="AH11" s="48"/>
      <c r="AI11" s="48"/>
    </row>
    <row r="12" spans="1:35" s="44" customFormat="1" ht="21" x14ac:dyDescent="0.35">
      <c r="A12" s="160" t="s">
        <v>91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46">
        <f t="shared" si="0"/>
        <v>0</v>
      </c>
      <c r="AH12" s="48"/>
      <c r="AI12" s="48"/>
    </row>
    <row r="13" spans="1:35" s="44" customFormat="1" ht="21" x14ac:dyDescent="0.35">
      <c r="A13" s="160" t="s">
        <v>69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21" x14ac:dyDescent="0.35">
      <c r="A14" s="160" t="s">
        <v>71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21" x14ac:dyDescent="0.35">
      <c r="A15" s="160" t="s">
        <v>72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46">
        <f t="shared" si="0"/>
        <v>0</v>
      </c>
      <c r="AH15" s="48"/>
      <c r="AI15" s="48"/>
    </row>
    <row r="16" spans="1:35" s="44" customFormat="1" ht="21" x14ac:dyDescent="0.35">
      <c r="A16" s="160" t="s">
        <v>85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46">
        <f t="shared" si="0"/>
        <v>0</v>
      </c>
      <c r="AH16" s="48"/>
      <c r="AI16" s="48"/>
    </row>
    <row r="17" spans="1:35" s="44" customFormat="1" ht="21" x14ac:dyDescent="0.35">
      <c r="A17" s="160" t="s">
        <v>194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si="0"/>
        <v>0</v>
      </c>
      <c r="AH17" s="48"/>
      <c r="AI17" s="48"/>
    </row>
    <row r="18" spans="1:35" s="44" customFormat="1" ht="21" x14ac:dyDescent="0.35">
      <c r="A18" s="160" t="s">
        <v>73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46">
        <f t="shared" si="0"/>
        <v>0</v>
      </c>
      <c r="AH18" s="48"/>
      <c r="AI18" s="48"/>
    </row>
    <row r="19" spans="1:35" s="44" customFormat="1" ht="21" x14ac:dyDescent="0.35">
      <c r="A19" s="160" t="s">
        <v>92</v>
      </c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46">
        <f t="shared" si="0"/>
        <v>0</v>
      </c>
      <c r="AH19" s="48"/>
      <c r="AI19" s="48"/>
    </row>
    <row r="20" spans="1:35" s="44" customFormat="1" ht="21" x14ac:dyDescent="0.35">
      <c r="A20" s="160" t="s">
        <v>233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46">
        <f t="shared" si="0"/>
        <v>0</v>
      </c>
      <c r="AH20" s="48"/>
      <c r="AI20" s="48"/>
    </row>
    <row r="21" spans="1:35" s="44" customFormat="1" ht="21" x14ac:dyDescent="0.35">
      <c r="A21" s="160" t="s">
        <v>227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21" x14ac:dyDescent="0.35">
      <c r="A22" s="160" t="s">
        <v>232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46">
        <f t="shared" si="0"/>
        <v>0</v>
      </c>
      <c r="AH22" s="48"/>
      <c r="AI22" s="48"/>
    </row>
    <row r="23" spans="1:35" s="44" customFormat="1" ht="21" x14ac:dyDescent="0.35">
      <c r="A23" s="160" t="s">
        <v>74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46">
        <f t="shared" si="0"/>
        <v>0</v>
      </c>
      <c r="AH23" s="48"/>
      <c r="AI23" s="48"/>
    </row>
    <row r="24" spans="1:35" s="44" customFormat="1" ht="21" x14ac:dyDescent="0.35">
      <c r="A24" s="160" t="s">
        <v>75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46">
        <f t="shared" si="0"/>
        <v>0</v>
      </c>
      <c r="AH24" s="48"/>
      <c r="AI24" s="48"/>
    </row>
    <row r="25" spans="1:35" s="44" customFormat="1" ht="21" x14ac:dyDescent="0.35">
      <c r="A25" s="160" t="s">
        <v>77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21" x14ac:dyDescent="0.35">
      <c r="A26" s="160" t="s">
        <v>78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21" x14ac:dyDescent="0.35">
      <c r="A27" s="160" t="s">
        <v>79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21" x14ac:dyDescent="0.35">
      <c r="A28" s="160" t="s">
        <v>154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21" x14ac:dyDescent="0.35">
      <c r="A29" s="160" t="s">
        <v>80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21" x14ac:dyDescent="0.35">
      <c r="A30" s="160" t="s">
        <v>76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21" x14ac:dyDescent="0.35">
      <c r="A31" s="160" t="s">
        <v>81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21" x14ac:dyDescent="0.35">
      <c r="A32" s="160" t="s">
        <v>86</v>
      </c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  <c r="AG32" s="46">
        <f t="shared" si="0"/>
        <v>0</v>
      </c>
      <c r="AH32" s="48"/>
      <c r="AI32" s="48"/>
    </row>
    <row r="33" spans="1:35" s="44" customFormat="1" ht="21" x14ac:dyDescent="0.35">
      <c r="A33" s="160" t="s">
        <v>82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46">
        <f t="shared" si="0"/>
        <v>0</v>
      </c>
      <c r="AH33" s="48"/>
      <c r="AI33" s="48"/>
    </row>
    <row r="34" spans="1:35" s="44" customFormat="1" ht="21" x14ac:dyDescent="0.35">
      <c r="A34" s="160" t="s">
        <v>179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46">
        <f t="shared" si="0"/>
        <v>0</v>
      </c>
      <c r="AH34" s="48"/>
      <c r="AI34" s="48"/>
    </row>
    <row r="35" spans="1:35" s="44" customFormat="1" ht="21" x14ac:dyDescent="0.35">
      <c r="A35" s="158" t="s">
        <v>155</v>
      </c>
      <c r="B35" s="51">
        <f>SUM(B6:B34)</f>
        <v>0</v>
      </c>
      <c r="C35" s="51">
        <f t="shared" ref="C35:Q35" si="1">SUM(C6:C34)</f>
        <v>0</v>
      </c>
      <c r="D35" s="51">
        <f t="shared" si="1"/>
        <v>0</v>
      </c>
      <c r="E35" s="51">
        <f t="shared" si="1"/>
        <v>0</v>
      </c>
      <c r="F35" s="51">
        <f t="shared" si="1"/>
        <v>0</v>
      </c>
      <c r="G35" s="51">
        <f t="shared" si="1"/>
        <v>0</v>
      </c>
      <c r="H35" s="51">
        <f t="shared" si="1"/>
        <v>0</v>
      </c>
      <c r="I35" s="51">
        <f t="shared" si="1"/>
        <v>0</v>
      </c>
      <c r="J35" s="51">
        <f t="shared" si="1"/>
        <v>0</v>
      </c>
      <c r="K35" s="51">
        <f t="shared" si="1"/>
        <v>0</v>
      </c>
      <c r="L35" s="51">
        <f t="shared" si="1"/>
        <v>0</v>
      </c>
      <c r="M35" s="51">
        <f t="shared" si="1"/>
        <v>0</v>
      </c>
      <c r="N35" s="51">
        <f t="shared" si="1"/>
        <v>0</v>
      </c>
      <c r="O35" s="51">
        <f t="shared" si="1"/>
        <v>0</v>
      </c>
      <c r="P35" s="51">
        <f t="shared" si="1"/>
        <v>0</v>
      </c>
      <c r="Q35" s="51">
        <f t="shared" si="1"/>
        <v>0</v>
      </c>
      <c r="R35" s="51">
        <f t="shared" ref="R35" si="2">SUM(R6:R34)</f>
        <v>0</v>
      </c>
      <c r="S35" s="51">
        <f t="shared" ref="S35" si="3">SUM(S6:S34)</f>
        <v>0</v>
      </c>
      <c r="T35" s="51">
        <f t="shared" ref="T35" si="4">SUM(T6:T34)</f>
        <v>0</v>
      </c>
      <c r="U35" s="51">
        <f t="shared" ref="U35" si="5">SUM(U6:U34)</f>
        <v>0</v>
      </c>
      <c r="V35" s="51">
        <f t="shared" ref="V35" si="6">SUM(V6:V34)</f>
        <v>0</v>
      </c>
      <c r="W35" s="51">
        <f t="shared" ref="W35" si="7">SUM(W6:W34)</f>
        <v>0</v>
      </c>
      <c r="X35" s="51">
        <f t="shared" ref="X35" si="8">SUM(X6:X34)</f>
        <v>0</v>
      </c>
      <c r="Y35" s="51">
        <f t="shared" ref="Y35" si="9">SUM(Y6:Y34)</f>
        <v>0</v>
      </c>
      <c r="Z35" s="51">
        <f t="shared" ref="Z35" si="10">SUM(Z6:Z34)</f>
        <v>0</v>
      </c>
      <c r="AA35" s="51">
        <f t="shared" ref="AA35" si="11">SUM(AA6:AA34)</f>
        <v>0</v>
      </c>
      <c r="AB35" s="51">
        <f t="shared" ref="AB35" si="12">SUM(AB6:AB34)</f>
        <v>0</v>
      </c>
      <c r="AC35" s="51">
        <f t="shared" ref="AC35" si="13">SUM(AC6:AC34)</f>
        <v>0</v>
      </c>
      <c r="AD35" s="51">
        <f t="shared" ref="AD35" si="14">SUM(AD6:AD34)</f>
        <v>0</v>
      </c>
      <c r="AE35" s="51">
        <f t="shared" ref="AE35" si="15">SUM(AE6:AE34)</f>
        <v>0</v>
      </c>
      <c r="AF35" s="51">
        <f t="shared" ref="AF35" si="16">SUM(AF6:AF34)</f>
        <v>0</v>
      </c>
      <c r="AG35" s="56">
        <f>SUM(B35:AF35)</f>
        <v>0</v>
      </c>
      <c r="AH35" s="57"/>
      <c r="AI35" s="57"/>
    </row>
    <row r="36" spans="1:35" s="2" customFormat="1" ht="21" x14ac:dyDescent="0.35">
      <c r="AG36" s="42">
        <f>SUM(AG3:AG34)</f>
        <v>0</v>
      </c>
    </row>
    <row r="37" spans="1:35" s="2" customFormat="1" x14ac:dyDescent="0.25"/>
    <row r="38" spans="1:35" s="2" customFormat="1" x14ac:dyDescent="0.25"/>
  </sheetData>
  <mergeCells count="1">
    <mergeCell ref="A1:AG1"/>
  </mergeCells>
  <conditionalFormatting sqref="AG35">
    <cfRule type="cellIs" dxfId="137" priority="2" operator="equal">
      <formula>$AG$36</formula>
    </cfRule>
  </conditionalFormatting>
  <conditionalFormatting sqref="AG36">
    <cfRule type="cellIs" dxfId="136" priority="1" operator="equal">
      <formula>$AG$35</formula>
    </cfRule>
  </conditionalFormatting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topLeftCell="C2" zoomScale="60" zoomScaleNormal="60" workbookViewId="0">
      <pane ySplit="1" topLeftCell="A27" activePane="bottomLeft" state="frozen"/>
      <selection activeCell="A2" sqref="A2"/>
      <selection pane="bottomLeft" activeCell="AG32" sqref="AG32"/>
    </sheetView>
  </sheetViews>
  <sheetFormatPr baseColWidth="10" defaultRowHeight="15" x14ac:dyDescent="0.25"/>
  <cols>
    <col min="1" max="1" width="70.42578125" customWidth="1"/>
    <col min="2" max="2" width="10.7109375" customWidth="1"/>
    <col min="3" max="3" width="9.42578125" customWidth="1"/>
    <col min="4" max="4" width="13.5703125" customWidth="1"/>
    <col min="5" max="6" width="9.42578125" customWidth="1"/>
    <col min="7" max="7" width="9.5703125" customWidth="1"/>
    <col min="8" max="11" width="9" customWidth="1"/>
    <col min="12" max="12" width="10.7109375" customWidth="1"/>
    <col min="13" max="13" width="9.140625" customWidth="1"/>
    <col min="14" max="14" width="9" customWidth="1"/>
    <col min="15" max="15" width="10.140625" customWidth="1"/>
    <col min="16" max="16" width="9.28515625" customWidth="1"/>
    <col min="17" max="19" width="9" customWidth="1"/>
    <col min="20" max="20" width="9.140625" customWidth="1"/>
    <col min="21" max="21" width="9.28515625" customWidth="1"/>
    <col min="22" max="23" width="9" customWidth="1"/>
    <col min="24" max="24" width="11" customWidth="1"/>
    <col min="25" max="25" width="9" customWidth="1"/>
    <col min="26" max="26" width="9.42578125" customWidth="1"/>
    <col min="27" max="27" width="10.42578125" customWidth="1"/>
    <col min="28" max="28" width="10.7109375" customWidth="1"/>
    <col min="29" max="29" width="9.85546875" customWidth="1"/>
    <col min="30" max="30" width="9.140625" customWidth="1"/>
    <col min="31" max="31" width="9.85546875" customWidth="1"/>
    <col min="32" max="32" width="10.140625" customWidth="1"/>
    <col min="33" max="33" width="16.42578125" bestFit="1" customWidth="1"/>
  </cols>
  <sheetData>
    <row r="1" spans="1:35" s="44" customFormat="1" ht="21" hidden="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6.5" customHeight="1" x14ac:dyDescent="0.35">
      <c r="A3" s="159" t="s">
        <v>94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46"/>
      <c r="AH3" s="47"/>
      <c r="AI3" s="48"/>
    </row>
    <row r="4" spans="1:35" s="44" customFormat="1" ht="21" x14ac:dyDescent="0.35">
      <c r="A4" s="160" t="s">
        <v>193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46"/>
      <c r="AH4" s="48"/>
      <c r="AI4" s="48"/>
    </row>
    <row r="5" spans="1:35" s="44" customFormat="1" ht="21" x14ac:dyDescent="0.35">
      <c r="A5" s="160" t="s">
        <v>83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46"/>
      <c r="AH5" s="48"/>
      <c r="AI5" s="48"/>
    </row>
    <row r="6" spans="1:35" s="44" customFormat="1" ht="21" x14ac:dyDescent="0.35">
      <c r="A6" s="160" t="s">
        <v>84</v>
      </c>
      <c r="B6" s="49">
        <v>2</v>
      </c>
      <c r="C6" s="49">
        <v>2.2999999999999998</v>
      </c>
      <c r="D6" s="49">
        <v>2.8</v>
      </c>
      <c r="E6" s="49">
        <v>2</v>
      </c>
      <c r="F6" s="49">
        <v>1.8</v>
      </c>
      <c r="G6" s="49">
        <v>2.2000000000000002</v>
      </c>
      <c r="H6" s="49">
        <v>3</v>
      </c>
      <c r="I6" s="49">
        <v>2</v>
      </c>
      <c r="J6" s="49">
        <v>3</v>
      </c>
      <c r="K6" s="49">
        <v>2.9</v>
      </c>
      <c r="L6" s="49">
        <v>3.3</v>
      </c>
      <c r="M6" s="49">
        <v>2.7</v>
      </c>
      <c r="N6" s="49">
        <v>3.4</v>
      </c>
      <c r="O6" s="49">
        <v>3</v>
      </c>
      <c r="P6" s="49">
        <v>3</v>
      </c>
      <c r="Q6" s="49">
        <v>2.5</v>
      </c>
      <c r="R6" s="49">
        <v>2.1</v>
      </c>
      <c r="S6" s="49">
        <v>2.4</v>
      </c>
      <c r="T6" s="49">
        <v>2.9</v>
      </c>
      <c r="U6" s="49">
        <v>2.2999999999999998</v>
      </c>
      <c r="V6" s="49">
        <v>3</v>
      </c>
      <c r="W6" s="49">
        <v>2.8</v>
      </c>
      <c r="X6" s="49">
        <v>2.1</v>
      </c>
      <c r="Y6" s="49">
        <v>1.9</v>
      </c>
      <c r="Z6" s="49">
        <v>2.5</v>
      </c>
      <c r="AA6" s="49">
        <v>3.1</v>
      </c>
      <c r="AB6" s="49">
        <v>2.4</v>
      </c>
      <c r="AC6" s="49">
        <v>1.9</v>
      </c>
      <c r="AD6" s="49">
        <v>2</v>
      </c>
      <c r="AE6" s="49">
        <v>2.1</v>
      </c>
      <c r="AF6" s="49">
        <v>1.9</v>
      </c>
      <c r="AG6" s="46">
        <f>SUM(B6:AF6)</f>
        <v>77.3</v>
      </c>
      <c r="AH6" s="48"/>
      <c r="AI6" s="48"/>
    </row>
    <row r="7" spans="1:35" s="44" customFormat="1" ht="21" x14ac:dyDescent="0.35">
      <c r="A7" s="160" t="s">
        <v>64</v>
      </c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6">
        <f>SUM(B7:AF7)</f>
        <v>0</v>
      </c>
      <c r="AH7" s="48"/>
      <c r="AI7" s="48"/>
    </row>
    <row r="8" spans="1:35" s="44" customFormat="1" ht="21" x14ac:dyDescent="0.35">
      <c r="A8" s="160" t="s">
        <v>65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46">
        <f t="shared" ref="AG8:AG33" si="0">SUM(B8:AF8)</f>
        <v>0</v>
      </c>
      <c r="AH8" s="48"/>
      <c r="AI8" s="48"/>
    </row>
    <row r="9" spans="1:35" s="44" customFormat="1" ht="21" x14ac:dyDescent="0.35">
      <c r="A9" s="1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21" x14ac:dyDescent="0.35">
      <c r="A10" s="160" t="s">
        <v>67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>
        <f t="shared" si="0"/>
        <v>0</v>
      </c>
      <c r="AH10" s="48"/>
      <c r="AI10" s="48"/>
    </row>
    <row r="11" spans="1:35" s="44" customFormat="1" ht="21" x14ac:dyDescent="0.35">
      <c r="A11" s="160" t="s">
        <v>152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46">
        <f t="shared" si="0"/>
        <v>0</v>
      </c>
      <c r="AH11" s="48"/>
      <c r="AI11" s="48"/>
    </row>
    <row r="12" spans="1:35" s="44" customFormat="1" ht="21" x14ac:dyDescent="0.35">
      <c r="A12" s="160" t="s">
        <v>91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46">
        <f t="shared" si="0"/>
        <v>0</v>
      </c>
      <c r="AH12" s="48"/>
      <c r="AI12" s="48"/>
    </row>
    <row r="13" spans="1:35" s="44" customFormat="1" ht="21" x14ac:dyDescent="0.35">
      <c r="A13" s="160" t="s">
        <v>69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21" x14ac:dyDescent="0.35">
      <c r="A14" s="160" t="s">
        <v>71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21" x14ac:dyDescent="0.35">
      <c r="A15" s="160" t="s">
        <v>72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46">
        <f t="shared" si="0"/>
        <v>0</v>
      </c>
      <c r="AH15" s="48"/>
      <c r="AI15" s="48"/>
    </row>
    <row r="16" spans="1:35" s="44" customFormat="1" ht="21" x14ac:dyDescent="0.35">
      <c r="A16" s="160" t="s">
        <v>85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46">
        <f t="shared" si="0"/>
        <v>0</v>
      </c>
      <c r="AH16" s="48"/>
      <c r="AI16" s="48"/>
    </row>
    <row r="17" spans="1:35" s="44" customFormat="1" ht="21" x14ac:dyDescent="0.35">
      <c r="A17" s="160" t="s">
        <v>194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si="0"/>
        <v>0</v>
      </c>
      <c r="AH17" s="48"/>
      <c r="AI17" s="48"/>
    </row>
    <row r="18" spans="1:35" s="44" customFormat="1" ht="21" x14ac:dyDescent="0.35">
      <c r="A18" s="160" t="s">
        <v>73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46">
        <f t="shared" si="0"/>
        <v>0</v>
      </c>
      <c r="AH18" s="48"/>
      <c r="AI18" s="48"/>
    </row>
    <row r="19" spans="1:35" s="44" customFormat="1" ht="21" x14ac:dyDescent="0.35">
      <c r="A19" s="160" t="s">
        <v>92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46">
        <f t="shared" si="0"/>
        <v>0</v>
      </c>
      <c r="AH19" s="48"/>
      <c r="AI19" s="48"/>
    </row>
    <row r="20" spans="1:35" s="44" customFormat="1" ht="21" x14ac:dyDescent="0.35">
      <c r="A20" s="160" t="s">
        <v>233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46">
        <f t="shared" si="0"/>
        <v>0</v>
      </c>
      <c r="AH20" s="48"/>
      <c r="AI20" s="48"/>
    </row>
    <row r="21" spans="1:35" s="44" customFormat="1" ht="21" x14ac:dyDescent="0.35">
      <c r="A21" s="160" t="s">
        <v>227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21" x14ac:dyDescent="0.35">
      <c r="A22" s="160" t="s">
        <v>232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46">
        <f t="shared" si="0"/>
        <v>0</v>
      </c>
      <c r="AH22" s="48"/>
      <c r="AI22" s="48"/>
    </row>
    <row r="23" spans="1:35" s="44" customFormat="1" ht="21" x14ac:dyDescent="0.35">
      <c r="A23" s="160" t="s">
        <v>74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46">
        <f t="shared" si="0"/>
        <v>0</v>
      </c>
      <c r="AH23" s="48"/>
      <c r="AI23" s="48"/>
    </row>
    <row r="24" spans="1:35" s="44" customFormat="1" ht="21" x14ac:dyDescent="0.35">
      <c r="A24" s="160" t="s">
        <v>75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46">
        <f t="shared" si="0"/>
        <v>0</v>
      </c>
      <c r="AH24" s="48"/>
      <c r="AI24" s="48"/>
    </row>
    <row r="25" spans="1:35" s="44" customFormat="1" ht="21" x14ac:dyDescent="0.35">
      <c r="A25" s="160" t="s">
        <v>77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21" x14ac:dyDescent="0.35">
      <c r="A26" s="160" t="s">
        <v>78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21" x14ac:dyDescent="0.35">
      <c r="A27" s="160" t="s">
        <v>79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21" x14ac:dyDescent="0.35">
      <c r="A28" s="160" t="s">
        <v>154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21" x14ac:dyDescent="0.35">
      <c r="A29" s="160" t="s">
        <v>80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21" x14ac:dyDescent="0.35">
      <c r="A30" s="160" t="s">
        <v>76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21" x14ac:dyDescent="0.35">
      <c r="A31" s="160" t="s">
        <v>81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21" x14ac:dyDescent="0.35">
      <c r="A32" s="160" t="s">
        <v>86</v>
      </c>
      <c r="B32" s="49">
        <v>17.66</v>
      </c>
      <c r="C32" s="49">
        <v>13.82</v>
      </c>
      <c r="D32" s="49">
        <v>18.55</v>
      </c>
      <c r="E32" s="49">
        <v>19.079999999999998</v>
      </c>
      <c r="F32" s="49">
        <v>12.81</v>
      </c>
      <c r="G32" s="49">
        <v>14.02</v>
      </c>
      <c r="H32" s="49">
        <v>13.6</v>
      </c>
      <c r="I32" s="49">
        <v>16.8</v>
      </c>
      <c r="J32" s="49">
        <v>11.08</v>
      </c>
      <c r="K32" s="202">
        <v>14.96</v>
      </c>
      <c r="L32" s="49">
        <v>10.36</v>
      </c>
      <c r="M32" s="49">
        <v>18.29</v>
      </c>
      <c r="N32" s="49">
        <v>36.56</v>
      </c>
      <c r="O32" s="49">
        <v>16.37</v>
      </c>
      <c r="P32" s="49">
        <v>14.93</v>
      </c>
      <c r="Q32" s="49">
        <v>20.81</v>
      </c>
      <c r="R32" s="49">
        <v>15.06</v>
      </c>
      <c r="S32" s="49">
        <v>18.88</v>
      </c>
      <c r="T32" s="49">
        <v>12.45</v>
      </c>
      <c r="U32" s="49">
        <v>19.11</v>
      </c>
      <c r="V32" s="49">
        <v>15.1</v>
      </c>
      <c r="W32" s="49">
        <v>16.690000000000001</v>
      </c>
      <c r="X32" s="49">
        <v>12.49</v>
      </c>
      <c r="Y32" s="49">
        <v>18.170000000000002</v>
      </c>
      <c r="Z32" s="49">
        <v>15.45</v>
      </c>
      <c r="AA32" s="49">
        <v>15.57</v>
      </c>
      <c r="AB32" s="49">
        <v>12.06</v>
      </c>
      <c r="AC32" s="49">
        <v>14.62</v>
      </c>
      <c r="AD32" s="49">
        <v>13.15</v>
      </c>
      <c r="AE32" s="49">
        <v>25.09</v>
      </c>
      <c r="AF32" s="49">
        <v>9.4499999999999993</v>
      </c>
      <c r="AG32" s="46">
        <f t="shared" si="0"/>
        <v>503.03999999999996</v>
      </c>
      <c r="AH32" s="48"/>
      <c r="AI32" s="48"/>
    </row>
    <row r="33" spans="1:35" s="44" customFormat="1" ht="21" x14ac:dyDescent="0.35">
      <c r="A33" s="160" t="s">
        <v>82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46">
        <f t="shared" si="0"/>
        <v>0</v>
      </c>
      <c r="AH33" s="48"/>
      <c r="AI33" s="48"/>
    </row>
    <row r="34" spans="1:35" s="44" customFormat="1" ht="21" x14ac:dyDescent="0.35">
      <c r="A34" s="160" t="s">
        <v>179</v>
      </c>
      <c r="B34" s="52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46"/>
      <c r="AH34" s="48"/>
      <c r="AI34" s="48"/>
    </row>
    <row r="35" spans="1:35" s="44" customFormat="1" ht="21" x14ac:dyDescent="0.35">
      <c r="A35" s="158" t="s">
        <v>155</v>
      </c>
      <c r="B35" s="51">
        <f>SUM(B6:B32)</f>
        <v>19.66</v>
      </c>
      <c r="C35" s="51">
        <f t="shared" ref="C35:M35" si="1">SUM(C6:C32)</f>
        <v>16.12</v>
      </c>
      <c r="D35" s="51">
        <f t="shared" si="1"/>
        <v>21.35</v>
      </c>
      <c r="E35" s="51">
        <f t="shared" si="1"/>
        <v>21.08</v>
      </c>
      <c r="F35" s="51">
        <f t="shared" si="1"/>
        <v>14.610000000000001</v>
      </c>
      <c r="G35" s="51">
        <f t="shared" si="1"/>
        <v>16.22</v>
      </c>
      <c r="H35" s="51">
        <f t="shared" si="1"/>
        <v>16.600000000000001</v>
      </c>
      <c r="I35" s="51">
        <f t="shared" si="1"/>
        <v>18.8</v>
      </c>
      <c r="J35" s="51">
        <f t="shared" si="1"/>
        <v>14.08</v>
      </c>
      <c r="K35" s="51">
        <f t="shared" si="1"/>
        <v>17.86</v>
      </c>
      <c r="L35" s="51">
        <f t="shared" si="1"/>
        <v>13.66</v>
      </c>
      <c r="M35" s="51">
        <f t="shared" si="1"/>
        <v>20.99</v>
      </c>
      <c r="N35" s="51">
        <f>SUM(N6:N32)</f>
        <v>39.96</v>
      </c>
      <c r="O35" s="51">
        <f t="shared" ref="O35:AE35" si="2">SUM(O6:O32)</f>
        <v>19.37</v>
      </c>
      <c r="P35" s="51">
        <f t="shared" si="2"/>
        <v>17.93</v>
      </c>
      <c r="Q35" s="51">
        <f t="shared" si="2"/>
        <v>23.31</v>
      </c>
      <c r="R35" s="51">
        <f t="shared" si="2"/>
        <v>17.16</v>
      </c>
      <c r="S35" s="51">
        <f t="shared" si="2"/>
        <v>21.279999999999998</v>
      </c>
      <c r="T35" s="51">
        <f t="shared" si="2"/>
        <v>15.35</v>
      </c>
      <c r="U35" s="51">
        <f t="shared" si="2"/>
        <v>21.41</v>
      </c>
      <c r="V35" s="51">
        <f t="shared" si="2"/>
        <v>18.100000000000001</v>
      </c>
      <c r="W35" s="51">
        <f t="shared" si="2"/>
        <v>19.490000000000002</v>
      </c>
      <c r="X35" s="51">
        <f t="shared" si="2"/>
        <v>14.59</v>
      </c>
      <c r="Y35" s="51">
        <f t="shared" si="2"/>
        <v>20.07</v>
      </c>
      <c r="Z35" s="51">
        <f t="shared" si="2"/>
        <v>17.95</v>
      </c>
      <c r="AA35" s="51">
        <f t="shared" si="2"/>
        <v>18.670000000000002</v>
      </c>
      <c r="AB35" s="51">
        <f t="shared" si="2"/>
        <v>14.46</v>
      </c>
      <c r="AC35" s="51">
        <f t="shared" si="2"/>
        <v>16.52</v>
      </c>
      <c r="AD35" s="51">
        <f t="shared" si="2"/>
        <v>15.15</v>
      </c>
      <c r="AE35" s="51">
        <f t="shared" si="2"/>
        <v>27.19</v>
      </c>
      <c r="AF35" s="51">
        <f>SUM(AF6:AF32)</f>
        <v>11.35</v>
      </c>
      <c r="AG35" s="56">
        <f>SUM(B35:AF35)</f>
        <v>580.34000000000015</v>
      </c>
      <c r="AH35" s="57"/>
      <c r="AI35" s="57"/>
    </row>
    <row r="36" spans="1:35" s="2" customFormat="1" ht="21" x14ac:dyDescent="0.35">
      <c r="AG36" s="42">
        <f>SUM(AG3:AG32)</f>
        <v>580.33999999999992</v>
      </c>
    </row>
    <row r="37" spans="1:35" s="2" customFormat="1" x14ac:dyDescent="0.25"/>
    <row r="38" spans="1:35" s="2" customFormat="1" x14ac:dyDescent="0.25"/>
  </sheetData>
  <mergeCells count="1">
    <mergeCell ref="A1:AG1"/>
  </mergeCells>
  <conditionalFormatting sqref="AG35">
    <cfRule type="cellIs" dxfId="135" priority="2" operator="equal">
      <formula>$AG$36</formula>
    </cfRule>
  </conditionalFormatting>
  <conditionalFormatting sqref="AG36">
    <cfRule type="cellIs" dxfId="134" priority="1" operator="equal">
      <formula>$AG$35</formula>
    </cfRule>
  </conditionalFormatting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6.85546875" customWidth="1"/>
    <col min="3" max="3" width="6.5703125" customWidth="1"/>
    <col min="4" max="5" width="7.28515625" customWidth="1"/>
    <col min="6" max="6" width="7.5703125" customWidth="1"/>
    <col min="7" max="7" width="7.42578125" customWidth="1"/>
    <col min="8" max="8" width="7.140625" customWidth="1"/>
    <col min="9" max="9" width="7.5703125" customWidth="1"/>
    <col min="10" max="10" width="9.42578125" customWidth="1"/>
    <col min="11" max="12" width="7.28515625" customWidth="1"/>
    <col min="13" max="13" width="7.42578125" customWidth="1"/>
    <col min="14" max="14" width="7.28515625" customWidth="1"/>
    <col min="15" max="15" width="7.5703125" customWidth="1"/>
    <col min="16" max="16" width="7.85546875" customWidth="1"/>
    <col min="17" max="17" width="7.140625" customWidth="1"/>
    <col min="18" max="18" width="7.5703125" customWidth="1"/>
    <col min="19" max="19" width="8" customWidth="1"/>
    <col min="20" max="20" width="7.7109375" customWidth="1"/>
    <col min="21" max="21" width="7.140625" customWidth="1"/>
    <col min="22" max="22" width="7.85546875" customWidth="1"/>
    <col min="23" max="23" width="8" customWidth="1"/>
    <col min="24" max="24" width="7.28515625" customWidth="1"/>
    <col min="25" max="26" width="7.5703125" customWidth="1"/>
    <col min="27" max="29" width="7.85546875" customWidth="1"/>
    <col min="30" max="30" width="7.7109375" customWidth="1"/>
    <col min="31" max="31" width="6.85546875" customWidth="1"/>
    <col min="32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0.5" customHeight="1" x14ac:dyDescent="0.35">
      <c r="A3" s="63" t="s">
        <v>94</v>
      </c>
      <c r="B3" s="75"/>
      <c r="C3" s="75"/>
      <c r="D3" s="74"/>
      <c r="E3" s="75"/>
      <c r="F3" s="74"/>
      <c r="G3" s="74"/>
      <c r="H3" s="74"/>
      <c r="I3" s="74"/>
      <c r="J3" s="74"/>
      <c r="K3" s="74"/>
      <c r="L3" s="75"/>
      <c r="M3" s="74"/>
      <c r="N3" s="74"/>
      <c r="O3" s="74"/>
      <c r="P3" s="74"/>
      <c r="Q3" s="74"/>
      <c r="R3" s="74"/>
      <c r="S3" s="75"/>
      <c r="T3" s="74"/>
      <c r="U3" s="74"/>
      <c r="V3" s="74"/>
      <c r="W3" s="74"/>
      <c r="X3" s="74"/>
      <c r="Y3" s="74"/>
      <c r="Z3" s="75"/>
      <c r="AA3" s="74"/>
      <c r="AB3" s="74"/>
      <c r="AC3" s="74"/>
      <c r="AD3" s="74"/>
      <c r="AE3" s="74"/>
      <c r="AF3" s="74"/>
      <c r="AG3" s="46">
        <f t="shared" ref="AG3:AG32" si="0">SUM(B3:AF3)</f>
        <v>0</v>
      </c>
      <c r="AH3" s="47"/>
      <c r="AI3" s="48"/>
    </row>
    <row r="4" spans="1:35" s="44" customFormat="1" ht="33.75" customHeight="1" x14ac:dyDescent="0.35">
      <c r="A4" s="60" t="s">
        <v>193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4"/>
      <c r="C10" s="74"/>
      <c r="D10" s="75"/>
      <c r="E10" s="74"/>
      <c r="F10" s="74"/>
      <c r="G10" s="75"/>
      <c r="H10" s="74"/>
      <c r="I10" s="75"/>
      <c r="J10" s="74"/>
      <c r="K10" s="75"/>
      <c r="L10" s="75"/>
      <c r="M10" s="74"/>
      <c r="N10" s="74"/>
      <c r="O10" s="75"/>
      <c r="P10" s="74"/>
      <c r="Q10" s="74"/>
      <c r="R10" s="75"/>
      <c r="S10" s="74"/>
      <c r="T10" s="75"/>
      <c r="U10" s="74"/>
      <c r="V10" s="74"/>
      <c r="W10" s="75"/>
      <c r="X10" s="74"/>
      <c r="Y10" s="74"/>
      <c r="Z10" s="75"/>
      <c r="AA10" s="74"/>
      <c r="AB10" s="74"/>
      <c r="AC10" s="75"/>
      <c r="AD10" s="74"/>
      <c r="AE10" s="75"/>
      <c r="AF10" s="74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46">
        <f t="shared" si="0"/>
        <v>0</v>
      </c>
      <c r="AH12" s="48"/>
      <c r="AI12" s="48"/>
    </row>
    <row r="13" spans="1:35" s="44" customFormat="1" ht="22.5" customHeight="1" x14ac:dyDescent="0.35">
      <c r="A13" s="60" t="s">
        <v>69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4"/>
      <c r="P15" s="74"/>
      <c r="Q15" s="74"/>
      <c r="R15" s="74"/>
      <c r="S15" s="75"/>
      <c r="T15" s="74"/>
      <c r="U15" s="74"/>
      <c r="V15" s="74"/>
      <c r="W15" s="74"/>
      <c r="X15" s="75"/>
      <c r="Y15" s="74"/>
      <c r="Z15" s="74"/>
      <c r="AA15" s="74"/>
      <c r="AB15" s="74"/>
      <c r="AC15" s="75"/>
      <c r="AD15" s="74"/>
      <c r="AE15" s="75"/>
      <c r="AF15" s="74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X20" s="74"/>
      <c r="Y20" s="74"/>
      <c r="Z20" s="74"/>
      <c r="AA20" s="74"/>
      <c r="AB20" s="74"/>
      <c r="AC20" s="74"/>
      <c r="AD20" s="74"/>
      <c r="AE20" s="74"/>
      <c r="AF20" s="74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5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5"/>
      <c r="Z22" s="74"/>
      <c r="AA22" s="75"/>
      <c r="AB22" s="74"/>
      <c r="AC22" s="74"/>
      <c r="AD22" s="74"/>
      <c r="AE22" s="74"/>
      <c r="AF22" s="74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4"/>
      <c r="C25" s="74"/>
      <c r="D25" s="74"/>
      <c r="E25" s="74"/>
      <c r="F25" s="75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5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G27" s="46">
        <f>SUM(B27:AE27)</f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5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5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0</v>
      </c>
      <c r="C33" s="70">
        <f t="shared" ref="C33:AF33" si="1">SUM(C3:C32)</f>
        <v>0</v>
      </c>
      <c r="D33" s="70">
        <f t="shared" si="1"/>
        <v>0</v>
      </c>
      <c r="E33" s="70">
        <f t="shared" si="1"/>
        <v>0</v>
      </c>
      <c r="F33" s="70">
        <f t="shared" si="1"/>
        <v>0</v>
      </c>
      <c r="G33" s="70">
        <f t="shared" si="1"/>
        <v>0</v>
      </c>
      <c r="H33" s="70">
        <f t="shared" si="1"/>
        <v>0</v>
      </c>
      <c r="I33" s="70">
        <f t="shared" si="1"/>
        <v>0</v>
      </c>
      <c r="J33" s="70">
        <f t="shared" si="1"/>
        <v>0</v>
      </c>
      <c r="K33" s="70">
        <f t="shared" si="1"/>
        <v>0</v>
      </c>
      <c r="L33" s="70">
        <f t="shared" si="1"/>
        <v>0</v>
      </c>
      <c r="M33" s="70">
        <f t="shared" si="1"/>
        <v>0</v>
      </c>
      <c r="N33" s="70">
        <f t="shared" si="1"/>
        <v>0</v>
      </c>
      <c r="O33" s="70">
        <f t="shared" si="1"/>
        <v>0</v>
      </c>
      <c r="P33" s="70">
        <f t="shared" si="1"/>
        <v>0</v>
      </c>
      <c r="Q33" s="70">
        <f t="shared" si="1"/>
        <v>0</v>
      </c>
      <c r="R33" s="70">
        <f t="shared" si="1"/>
        <v>0</v>
      </c>
      <c r="S33" s="70">
        <f t="shared" si="1"/>
        <v>0</v>
      </c>
      <c r="T33" s="70">
        <f t="shared" si="1"/>
        <v>0</v>
      </c>
      <c r="U33" s="70">
        <f t="shared" si="1"/>
        <v>0</v>
      </c>
      <c r="V33" s="70">
        <f t="shared" si="1"/>
        <v>0</v>
      </c>
      <c r="W33" s="70">
        <f t="shared" si="1"/>
        <v>0</v>
      </c>
      <c r="X33" s="70">
        <f t="shared" si="1"/>
        <v>0</v>
      </c>
      <c r="Y33" s="70">
        <f t="shared" si="1"/>
        <v>0</v>
      </c>
      <c r="Z33" s="70">
        <f t="shared" si="1"/>
        <v>0</v>
      </c>
      <c r="AA33" s="70">
        <f t="shared" si="1"/>
        <v>0</v>
      </c>
      <c r="AB33" s="70">
        <f t="shared" si="1"/>
        <v>0</v>
      </c>
      <c r="AC33" s="70">
        <f t="shared" si="1"/>
        <v>0</v>
      </c>
      <c r="AD33" s="70">
        <f t="shared" si="1"/>
        <v>0</v>
      </c>
      <c r="AE33" s="70">
        <f t="shared" si="1"/>
        <v>0</v>
      </c>
      <c r="AF33" s="70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133" priority="2" operator="equal">
      <formula>$AG$34</formula>
    </cfRule>
  </conditionalFormatting>
  <conditionalFormatting sqref="AG34">
    <cfRule type="cellIs" dxfId="132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6.85546875" customWidth="1"/>
    <col min="3" max="3" width="6.5703125" customWidth="1"/>
    <col min="4" max="5" width="7.28515625" customWidth="1"/>
    <col min="6" max="6" width="7.5703125" customWidth="1"/>
    <col min="7" max="7" width="7.42578125" customWidth="1"/>
    <col min="8" max="8" width="7.140625" customWidth="1"/>
    <col min="9" max="9" width="7.5703125" customWidth="1"/>
    <col min="10" max="10" width="9.42578125" customWidth="1"/>
    <col min="11" max="12" width="7.28515625" customWidth="1"/>
    <col min="13" max="13" width="7.42578125" customWidth="1"/>
    <col min="14" max="14" width="7.28515625" customWidth="1"/>
    <col min="15" max="15" width="7.5703125" customWidth="1"/>
    <col min="16" max="16" width="7.85546875" customWidth="1"/>
    <col min="17" max="17" width="7.140625" customWidth="1"/>
    <col min="18" max="18" width="7.5703125" customWidth="1"/>
    <col min="19" max="19" width="8" customWidth="1"/>
    <col min="20" max="20" width="7.7109375" customWidth="1"/>
    <col min="21" max="21" width="7.140625" customWidth="1"/>
    <col min="22" max="22" width="7.85546875" customWidth="1"/>
    <col min="23" max="23" width="8" customWidth="1"/>
    <col min="24" max="24" width="7.28515625" customWidth="1"/>
    <col min="25" max="26" width="7.5703125" customWidth="1"/>
    <col min="27" max="29" width="7.85546875" customWidth="1"/>
    <col min="30" max="30" width="7.7109375" customWidth="1"/>
    <col min="31" max="31" width="6.85546875" customWidth="1"/>
    <col min="32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0.5" customHeight="1" x14ac:dyDescent="0.35">
      <c r="A3" s="63" t="s">
        <v>94</v>
      </c>
      <c r="B3" s="75"/>
      <c r="C3" s="75"/>
      <c r="D3" s="74"/>
      <c r="E3" s="75"/>
      <c r="F3" s="74"/>
      <c r="G3" s="74"/>
      <c r="H3" s="74"/>
      <c r="I3" s="74"/>
      <c r="J3" s="74"/>
      <c r="K3" s="74"/>
      <c r="L3" s="75"/>
      <c r="M3" s="74"/>
      <c r="N3" s="74"/>
      <c r="O3" s="74"/>
      <c r="P3" s="74"/>
      <c r="Q3" s="74"/>
      <c r="R3" s="74"/>
      <c r="S3" s="75"/>
      <c r="T3" s="74"/>
      <c r="U3" s="74"/>
      <c r="V3" s="74"/>
      <c r="W3" s="74"/>
      <c r="X3" s="74"/>
      <c r="Y3" s="74"/>
      <c r="Z3" s="75"/>
      <c r="AA3" s="74"/>
      <c r="AB3" s="74"/>
      <c r="AC3" s="74"/>
      <c r="AD3" s="74"/>
      <c r="AE3" s="74"/>
      <c r="AF3" s="74"/>
      <c r="AG3" s="46">
        <f t="shared" ref="AG3:AG32" si="0">SUM(B3:AF3)</f>
        <v>0</v>
      </c>
      <c r="AH3" s="47"/>
      <c r="AI3" s="48"/>
    </row>
    <row r="4" spans="1:35" s="44" customFormat="1" ht="33.75" customHeight="1" x14ac:dyDescent="0.35">
      <c r="A4" s="60" t="s">
        <v>193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4"/>
      <c r="C10" s="74"/>
      <c r="D10" s="75"/>
      <c r="E10" s="74"/>
      <c r="F10" s="74"/>
      <c r="G10" s="75"/>
      <c r="H10" s="74"/>
      <c r="I10" s="75"/>
      <c r="J10" s="74"/>
      <c r="K10" s="75"/>
      <c r="L10" s="75"/>
      <c r="M10" s="74"/>
      <c r="N10" s="74"/>
      <c r="O10" s="75"/>
      <c r="P10" s="74"/>
      <c r="Q10" s="74"/>
      <c r="R10" s="75"/>
      <c r="S10" s="74"/>
      <c r="T10" s="75"/>
      <c r="U10" s="74"/>
      <c r="V10" s="74"/>
      <c r="W10" s="75"/>
      <c r="X10" s="74"/>
      <c r="Y10" s="74"/>
      <c r="Z10" s="75"/>
      <c r="AA10" s="74"/>
      <c r="AB10" s="74"/>
      <c r="AC10" s="75"/>
      <c r="AD10" s="74"/>
      <c r="AE10" s="75"/>
      <c r="AF10" s="74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46">
        <f t="shared" si="0"/>
        <v>0</v>
      </c>
      <c r="AH12" s="48"/>
      <c r="AI12" s="48"/>
    </row>
    <row r="13" spans="1:35" s="44" customFormat="1" ht="22.5" customHeight="1" x14ac:dyDescent="0.35">
      <c r="A13" s="60" t="s">
        <v>69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4"/>
      <c r="P15" s="74"/>
      <c r="Q15" s="74"/>
      <c r="R15" s="74"/>
      <c r="S15" s="75"/>
      <c r="T15" s="74"/>
      <c r="U15" s="74"/>
      <c r="V15" s="74"/>
      <c r="W15" s="74"/>
      <c r="X15" s="75"/>
      <c r="Y15" s="74"/>
      <c r="Z15" s="74"/>
      <c r="AA15" s="74"/>
      <c r="AB15" s="74"/>
      <c r="AC15" s="75"/>
      <c r="AD15" s="74"/>
      <c r="AE15" s="75"/>
      <c r="AF15" s="74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X20" s="74"/>
      <c r="Y20" s="74"/>
      <c r="Z20" s="74"/>
      <c r="AA20" s="74"/>
      <c r="AB20" s="74"/>
      <c r="AC20" s="74"/>
      <c r="AD20" s="74"/>
      <c r="AE20" s="74"/>
      <c r="AF20" s="74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5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5"/>
      <c r="Z22" s="74"/>
      <c r="AA22" s="75"/>
      <c r="AB22" s="74"/>
      <c r="AC22" s="74"/>
      <c r="AD22" s="74"/>
      <c r="AE22" s="74"/>
      <c r="AF22" s="74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4"/>
      <c r="C25" s="74"/>
      <c r="D25" s="74"/>
      <c r="E25" s="74"/>
      <c r="F25" s="75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5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G27" s="46">
        <f>SUM(B27:AE27)</f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5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5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0</v>
      </c>
      <c r="C33" s="70">
        <f t="shared" ref="C33:AF33" si="1">SUM(C3:C32)</f>
        <v>0</v>
      </c>
      <c r="D33" s="70">
        <f t="shared" si="1"/>
        <v>0</v>
      </c>
      <c r="E33" s="70">
        <f t="shared" si="1"/>
        <v>0</v>
      </c>
      <c r="F33" s="70">
        <f t="shared" si="1"/>
        <v>0</v>
      </c>
      <c r="G33" s="70">
        <f t="shared" si="1"/>
        <v>0</v>
      </c>
      <c r="H33" s="70">
        <f t="shared" si="1"/>
        <v>0</v>
      </c>
      <c r="I33" s="70">
        <f t="shared" si="1"/>
        <v>0</v>
      </c>
      <c r="J33" s="70">
        <f t="shared" si="1"/>
        <v>0</v>
      </c>
      <c r="K33" s="70">
        <f t="shared" si="1"/>
        <v>0</v>
      </c>
      <c r="L33" s="70">
        <f t="shared" si="1"/>
        <v>0</v>
      </c>
      <c r="M33" s="70">
        <f t="shared" si="1"/>
        <v>0</v>
      </c>
      <c r="N33" s="70">
        <f t="shared" si="1"/>
        <v>0</v>
      </c>
      <c r="O33" s="70">
        <f t="shared" si="1"/>
        <v>0</v>
      </c>
      <c r="P33" s="70">
        <f t="shared" si="1"/>
        <v>0</v>
      </c>
      <c r="Q33" s="70">
        <f t="shared" si="1"/>
        <v>0</v>
      </c>
      <c r="R33" s="70">
        <f t="shared" si="1"/>
        <v>0</v>
      </c>
      <c r="S33" s="70">
        <f t="shared" si="1"/>
        <v>0</v>
      </c>
      <c r="T33" s="70">
        <f t="shared" si="1"/>
        <v>0</v>
      </c>
      <c r="U33" s="70">
        <f t="shared" si="1"/>
        <v>0</v>
      </c>
      <c r="V33" s="70">
        <f t="shared" si="1"/>
        <v>0</v>
      </c>
      <c r="W33" s="70">
        <f t="shared" si="1"/>
        <v>0</v>
      </c>
      <c r="X33" s="70">
        <f t="shared" si="1"/>
        <v>0</v>
      </c>
      <c r="Y33" s="70">
        <f t="shared" si="1"/>
        <v>0</v>
      </c>
      <c r="Z33" s="70">
        <f t="shared" si="1"/>
        <v>0</v>
      </c>
      <c r="AA33" s="70">
        <f t="shared" si="1"/>
        <v>0</v>
      </c>
      <c r="AB33" s="70">
        <f t="shared" si="1"/>
        <v>0</v>
      </c>
      <c r="AC33" s="70">
        <f t="shared" si="1"/>
        <v>0</v>
      </c>
      <c r="AD33" s="70">
        <f t="shared" si="1"/>
        <v>0</v>
      </c>
      <c r="AE33" s="70">
        <f t="shared" si="1"/>
        <v>0</v>
      </c>
      <c r="AF33" s="70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131" priority="2" operator="equal">
      <formula>$AG$34</formula>
    </cfRule>
  </conditionalFormatting>
  <conditionalFormatting sqref="AG34">
    <cfRule type="cellIs" dxfId="130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6.85546875" customWidth="1"/>
    <col min="3" max="3" width="6.5703125" customWidth="1"/>
    <col min="4" max="5" width="7.28515625" customWidth="1"/>
    <col min="6" max="6" width="7.5703125" customWidth="1"/>
    <col min="7" max="7" width="7.42578125" customWidth="1"/>
    <col min="8" max="8" width="7.140625" customWidth="1"/>
    <col min="9" max="9" width="7.5703125" customWidth="1"/>
    <col min="10" max="10" width="9.42578125" customWidth="1"/>
    <col min="11" max="12" width="7.28515625" customWidth="1"/>
    <col min="13" max="13" width="7.42578125" customWidth="1"/>
    <col min="14" max="14" width="7.28515625" customWidth="1"/>
    <col min="15" max="15" width="7.5703125" customWidth="1"/>
    <col min="16" max="16" width="7.85546875" customWidth="1"/>
    <col min="17" max="17" width="7.140625" customWidth="1"/>
    <col min="18" max="18" width="7.5703125" customWidth="1"/>
    <col min="19" max="19" width="8" customWidth="1"/>
    <col min="20" max="20" width="7.7109375" customWidth="1"/>
    <col min="21" max="21" width="7.140625" customWidth="1"/>
    <col min="22" max="22" width="7.85546875" customWidth="1"/>
    <col min="23" max="23" width="8" customWidth="1"/>
    <col min="24" max="24" width="7.28515625" customWidth="1"/>
    <col min="25" max="26" width="7.5703125" customWidth="1"/>
    <col min="27" max="29" width="7.85546875" customWidth="1"/>
    <col min="30" max="30" width="7.7109375" customWidth="1"/>
    <col min="31" max="31" width="6.85546875" customWidth="1"/>
    <col min="32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0.5" customHeight="1" x14ac:dyDescent="0.35">
      <c r="A3" s="63" t="s">
        <v>94</v>
      </c>
      <c r="B3" s="75"/>
      <c r="C3" s="75"/>
      <c r="D3" s="74"/>
      <c r="E3" s="75"/>
      <c r="F3" s="74"/>
      <c r="G3" s="74"/>
      <c r="H3" s="74"/>
      <c r="I3" s="74"/>
      <c r="J3" s="74"/>
      <c r="K3" s="74"/>
      <c r="L3" s="75"/>
      <c r="M3" s="74"/>
      <c r="N3" s="74"/>
      <c r="O3" s="74"/>
      <c r="P3" s="74"/>
      <c r="Q3" s="74"/>
      <c r="R3" s="74"/>
      <c r="S3" s="75"/>
      <c r="T3" s="74"/>
      <c r="U3" s="74"/>
      <c r="V3" s="74"/>
      <c r="W3" s="74"/>
      <c r="X3" s="74"/>
      <c r="Y3" s="74"/>
      <c r="Z3" s="75"/>
      <c r="AA3" s="74"/>
      <c r="AB3" s="74"/>
      <c r="AC3" s="74"/>
      <c r="AD3" s="74"/>
      <c r="AE3" s="74"/>
      <c r="AF3" s="74"/>
      <c r="AG3" s="46">
        <f t="shared" ref="AG3:AG32" si="0">SUM(B3:AF3)</f>
        <v>0</v>
      </c>
      <c r="AH3" s="47"/>
      <c r="AI3" s="48"/>
    </row>
    <row r="4" spans="1:35" s="44" customFormat="1" ht="33.75" customHeight="1" x14ac:dyDescent="0.35">
      <c r="A4" s="60" t="s">
        <v>193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4"/>
      <c r="C10" s="74"/>
      <c r="D10" s="75"/>
      <c r="E10" s="74"/>
      <c r="F10" s="74"/>
      <c r="G10" s="75"/>
      <c r="H10" s="74"/>
      <c r="I10" s="75"/>
      <c r="J10" s="74"/>
      <c r="K10" s="75"/>
      <c r="L10" s="75"/>
      <c r="M10" s="74"/>
      <c r="N10" s="74"/>
      <c r="O10" s="75"/>
      <c r="P10" s="74"/>
      <c r="Q10" s="74"/>
      <c r="R10" s="75"/>
      <c r="S10" s="74"/>
      <c r="T10" s="75"/>
      <c r="U10" s="74"/>
      <c r="V10" s="74"/>
      <c r="W10" s="75"/>
      <c r="X10" s="74"/>
      <c r="Y10" s="74"/>
      <c r="Z10" s="75"/>
      <c r="AA10" s="74"/>
      <c r="AB10" s="74"/>
      <c r="AC10" s="75"/>
      <c r="AD10" s="74"/>
      <c r="AE10" s="75"/>
      <c r="AF10" s="74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46">
        <f t="shared" si="0"/>
        <v>0</v>
      </c>
      <c r="AH12" s="48"/>
      <c r="AI12" s="48"/>
    </row>
    <row r="13" spans="1:35" s="44" customFormat="1" ht="22.5" customHeight="1" x14ac:dyDescent="0.35">
      <c r="A13" s="60" t="s">
        <v>69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4"/>
      <c r="P15" s="74"/>
      <c r="Q15" s="74"/>
      <c r="R15" s="74"/>
      <c r="S15" s="75"/>
      <c r="T15" s="74"/>
      <c r="U15" s="74"/>
      <c r="V15" s="74"/>
      <c r="W15" s="74"/>
      <c r="X15" s="75"/>
      <c r="Y15" s="74"/>
      <c r="Z15" s="74"/>
      <c r="AA15" s="74"/>
      <c r="AB15" s="74"/>
      <c r="AC15" s="75"/>
      <c r="AD15" s="74"/>
      <c r="AE15" s="75"/>
      <c r="AF15" s="74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X20" s="74"/>
      <c r="Y20" s="74"/>
      <c r="Z20" s="74"/>
      <c r="AA20" s="74"/>
      <c r="AB20" s="74"/>
      <c r="AC20" s="74"/>
      <c r="AD20" s="74"/>
      <c r="AE20" s="74"/>
      <c r="AF20" s="74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5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5"/>
      <c r="Z22" s="74"/>
      <c r="AA22" s="75"/>
      <c r="AB22" s="74"/>
      <c r="AC22" s="74"/>
      <c r="AD22" s="74"/>
      <c r="AE22" s="74"/>
      <c r="AF22" s="74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4"/>
      <c r="C25" s="74"/>
      <c r="D25" s="74"/>
      <c r="E25" s="74"/>
      <c r="F25" s="75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5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G27" s="46">
        <f>SUM(B27:AE27)</f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5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5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0</v>
      </c>
      <c r="C33" s="70">
        <f t="shared" ref="C33:AF33" si="1">SUM(C3:C32)</f>
        <v>0</v>
      </c>
      <c r="D33" s="70">
        <f t="shared" si="1"/>
        <v>0</v>
      </c>
      <c r="E33" s="70">
        <f t="shared" si="1"/>
        <v>0</v>
      </c>
      <c r="F33" s="70">
        <f t="shared" si="1"/>
        <v>0</v>
      </c>
      <c r="G33" s="70">
        <f t="shared" si="1"/>
        <v>0</v>
      </c>
      <c r="H33" s="70">
        <f t="shared" si="1"/>
        <v>0</v>
      </c>
      <c r="I33" s="70">
        <f t="shared" si="1"/>
        <v>0</v>
      </c>
      <c r="J33" s="70">
        <f t="shared" si="1"/>
        <v>0</v>
      </c>
      <c r="K33" s="70">
        <f t="shared" si="1"/>
        <v>0</v>
      </c>
      <c r="L33" s="70">
        <f t="shared" si="1"/>
        <v>0</v>
      </c>
      <c r="M33" s="70">
        <f t="shared" si="1"/>
        <v>0</v>
      </c>
      <c r="N33" s="70">
        <f t="shared" si="1"/>
        <v>0</v>
      </c>
      <c r="O33" s="70">
        <f t="shared" si="1"/>
        <v>0</v>
      </c>
      <c r="P33" s="70">
        <f t="shared" si="1"/>
        <v>0</v>
      </c>
      <c r="Q33" s="70">
        <f t="shared" si="1"/>
        <v>0</v>
      </c>
      <c r="R33" s="70">
        <f t="shared" si="1"/>
        <v>0</v>
      </c>
      <c r="S33" s="70">
        <f t="shared" si="1"/>
        <v>0</v>
      </c>
      <c r="T33" s="70">
        <f t="shared" si="1"/>
        <v>0</v>
      </c>
      <c r="U33" s="70">
        <f t="shared" si="1"/>
        <v>0</v>
      </c>
      <c r="V33" s="70">
        <f t="shared" si="1"/>
        <v>0</v>
      </c>
      <c r="W33" s="70">
        <f t="shared" si="1"/>
        <v>0</v>
      </c>
      <c r="X33" s="70">
        <f t="shared" si="1"/>
        <v>0</v>
      </c>
      <c r="Y33" s="70">
        <f t="shared" si="1"/>
        <v>0</v>
      </c>
      <c r="Z33" s="70">
        <f t="shared" si="1"/>
        <v>0</v>
      </c>
      <c r="AA33" s="70">
        <f t="shared" si="1"/>
        <v>0</v>
      </c>
      <c r="AB33" s="70">
        <f t="shared" si="1"/>
        <v>0</v>
      </c>
      <c r="AC33" s="70">
        <f t="shared" si="1"/>
        <v>0</v>
      </c>
      <c r="AD33" s="70">
        <f t="shared" si="1"/>
        <v>0</v>
      </c>
      <c r="AE33" s="70">
        <f t="shared" si="1"/>
        <v>0</v>
      </c>
      <c r="AF33" s="70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129" priority="2" operator="equal">
      <formula>$AG$34</formula>
    </cfRule>
  </conditionalFormatting>
  <conditionalFormatting sqref="AG34">
    <cfRule type="cellIs" dxfId="128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workbookViewId="0">
      <selection sqref="A1:AG1"/>
    </sheetView>
  </sheetViews>
  <sheetFormatPr baseColWidth="10" defaultRowHeight="15" x14ac:dyDescent="0.25"/>
  <cols>
    <col min="1" max="1" width="70.42578125" customWidth="1"/>
    <col min="2" max="2" width="10.7109375" customWidth="1"/>
    <col min="3" max="3" width="9.42578125" customWidth="1"/>
    <col min="4" max="4" width="13.5703125" customWidth="1"/>
    <col min="5" max="6" width="9.42578125" customWidth="1"/>
    <col min="7" max="7" width="9.5703125" customWidth="1"/>
    <col min="8" max="11" width="9" customWidth="1"/>
    <col min="12" max="12" width="10.7109375" customWidth="1"/>
    <col min="13" max="13" width="9.140625" customWidth="1"/>
    <col min="14" max="14" width="9" customWidth="1"/>
    <col min="15" max="15" width="10.140625" customWidth="1"/>
    <col min="16" max="16" width="9.28515625" customWidth="1"/>
    <col min="17" max="19" width="9" customWidth="1"/>
    <col min="20" max="20" width="9.140625" customWidth="1"/>
    <col min="21" max="21" width="9.28515625" customWidth="1"/>
    <col min="22" max="25" width="9" customWidth="1"/>
    <col min="26" max="26" width="9.42578125" customWidth="1"/>
    <col min="27" max="27" width="10.42578125" customWidth="1"/>
    <col min="28" max="28" width="10.140625" customWidth="1"/>
    <col min="29" max="29" width="9.85546875" customWidth="1"/>
    <col min="30" max="30" width="9.140625" customWidth="1"/>
    <col min="31" max="31" width="9.85546875" customWidth="1"/>
    <col min="32" max="32" width="10.140625" customWidth="1"/>
    <col min="33" max="33" width="16.42578125" bestFit="1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6.5" customHeight="1" x14ac:dyDescent="0.35">
      <c r="A3" s="159" t="s">
        <v>94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46"/>
      <c r="AH3" s="47"/>
      <c r="AI3" s="48"/>
    </row>
    <row r="4" spans="1:35" s="44" customFormat="1" ht="21" x14ac:dyDescent="0.35">
      <c r="A4" s="160" t="s">
        <v>193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46"/>
      <c r="AH4" s="48"/>
      <c r="AI4" s="48"/>
    </row>
    <row r="5" spans="1:35" s="44" customFormat="1" ht="21" x14ac:dyDescent="0.35">
      <c r="A5" s="160" t="s">
        <v>83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46"/>
      <c r="AH5" s="48"/>
      <c r="AI5" s="48"/>
    </row>
    <row r="6" spans="1:35" s="44" customFormat="1" ht="21" x14ac:dyDescent="0.35">
      <c r="A6" s="160" t="s">
        <v>84</v>
      </c>
      <c r="B6" s="49"/>
      <c r="C6" s="49"/>
      <c r="D6" s="49"/>
      <c r="E6" s="49"/>
      <c r="F6" s="49"/>
      <c r="G6" s="49"/>
      <c r="H6" s="49"/>
      <c r="I6" s="49"/>
      <c r="J6" s="49"/>
      <c r="K6" s="49"/>
      <c r="L6" s="49"/>
      <c r="M6" s="49"/>
      <c r="N6" s="49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6">
        <f>SUM(B6:AF6)</f>
        <v>0</v>
      </c>
      <c r="AH6" s="48"/>
      <c r="AI6" s="48"/>
    </row>
    <row r="7" spans="1:35" s="44" customFormat="1" ht="21" x14ac:dyDescent="0.35">
      <c r="A7" s="160" t="s">
        <v>64</v>
      </c>
      <c r="B7" s="49"/>
      <c r="C7" s="49"/>
      <c r="D7" s="49"/>
      <c r="E7" s="49"/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6"/>
      <c r="AH7" s="48"/>
      <c r="AI7" s="48"/>
    </row>
    <row r="8" spans="1:35" s="44" customFormat="1" ht="21" x14ac:dyDescent="0.35">
      <c r="A8" s="160" t="s">
        <v>65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46"/>
      <c r="AH8" s="48"/>
      <c r="AI8" s="48"/>
    </row>
    <row r="9" spans="1:35" s="44" customFormat="1" ht="21" x14ac:dyDescent="0.35">
      <c r="A9" s="1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/>
      <c r="AH9" s="48"/>
      <c r="AI9" s="48"/>
    </row>
    <row r="10" spans="1:35" s="44" customFormat="1" ht="21" x14ac:dyDescent="0.35">
      <c r="A10" s="160" t="s">
        <v>67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/>
      <c r="AH10" s="48"/>
      <c r="AI10" s="48"/>
    </row>
    <row r="11" spans="1:35" s="44" customFormat="1" ht="21" x14ac:dyDescent="0.35">
      <c r="A11" s="160" t="s">
        <v>152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46"/>
      <c r="AH11" s="48"/>
      <c r="AI11" s="48"/>
    </row>
    <row r="12" spans="1:35" s="44" customFormat="1" ht="21" x14ac:dyDescent="0.35">
      <c r="A12" s="160" t="s">
        <v>91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46"/>
      <c r="AH12" s="48"/>
      <c r="AI12" s="48"/>
    </row>
    <row r="13" spans="1:35" s="44" customFormat="1" ht="21" x14ac:dyDescent="0.35">
      <c r="A13" s="160" t="s">
        <v>69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/>
      <c r="AH13" s="48"/>
      <c r="AI13" s="48"/>
    </row>
    <row r="14" spans="1:35" s="44" customFormat="1" ht="21" x14ac:dyDescent="0.35">
      <c r="A14" s="160" t="s">
        <v>71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/>
      <c r="AH14" s="48"/>
      <c r="AI14" s="48"/>
    </row>
    <row r="15" spans="1:35" s="44" customFormat="1" ht="21" x14ac:dyDescent="0.35">
      <c r="A15" s="160" t="s">
        <v>72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46"/>
      <c r="AH15" s="48"/>
      <c r="AI15" s="48"/>
    </row>
    <row r="16" spans="1:35" s="44" customFormat="1" ht="21" x14ac:dyDescent="0.35">
      <c r="A16" s="160" t="s">
        <v>85</v>
      </c>
      <c r="B16" s="52"/>
      <c r="C16" s="52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46"/>
      <c r="AH16" s="48"/>
      <c r="AI16" s="48"/>
    </row>
    <row r="17" spans="1:35" s="44" customFormat="1" ht="21" x14ac:dyDescent="0.35">
      <c r="A17" s="160" t="s">
        <v>194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/>
      <c r="AH17" s="48"/>
      <c r="AI17" s="48"/>
    </row>
    <row r="18" spans="1:35" s="44" customFormat="1" ht="21" x14ac:dyDescent="0.35">
      <c r="A18" s="160" t="s">
        <v>73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46"/>
      <c r="AH18" s="48"/>
      <c r="AI18" s="48"/>
    </row>
    <row r="19" spans="1:35" s="44" customFormat="1" ht="21" x14ac:dyDescent="0.35">
      <c r="A19" s="160" t="s">
        <v>92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46"/>
      <c r="AH19" s="48"/>
      <c r="AI19" s="48"/>
    </row>
    <row r="20" spans="1:35" s="44" customFormat="1" ht="21" x14ac:dyDescent="0.35">
      <c r="A20" s="160" t="s">
        <v>233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46"/>
      <c r="AH20" s="48"/>
      <c r="AI20" s="48"/>
    </row>
    <row r="21" spans="1:35" s="44" customFormat="1" ht="21" x14ac:dyDescent="0.35">
      <c r="A21" s="160" t="s">
        <v>237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/>
      <c r="AH21" s="48"/>
      <c r="AI21" s="48"/>
    </row>
    <row r="22" spans="1:35" s="44" customFormat="1" ht="21" x14ac:dyDescent="0.35">
      <c r="A22" s="160" t="s">
        <v>74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46"/>
      <c r="AH22" s="48"/>
      <c r="AI22" s="48"/>
    </row>
    <row r="23" spans="1:35" s="44" customFormat="1" ht="21" x14ac:dyDescent="0.35">
      <c r="A23" s="160" t="s">
        <v>75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46"/>
      <c r="AH23" s="48"/>
      <c r="AI23" s="48"/>
    </row>
    <row r="24" spans="1:35" s="44" customFormat="1" ht="21" x14ac:dyDescent="0.35">
      <c r="A24" s="160" t="s">
        <v>77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46"/>
      <c r="AH24" s="48"/>
      <c r="AI24" s="48"/>
    </row>
    <row r="25" spans="1:35" s="44" customFormat="1" ht="21" x14ac:dyDescent="0.35">
      <c r="A25" s="160" t="s">
        <v>78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/>
      <c r="AH25" s="48"/>
      <c r="AI25" s="48"/>
    </row>
    <row r="26" spans="1:35" s="44" customFormat="1" ht="21" x14ac:dyDescent="0.35">
      <c r="A26" s="160" t="s">
        <v>79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/>
      <c r="AH26" s="48"/>
      <c r="AI26" s="48"/>
    </row>
    <row r="27" spans="1:35" s="44" customFormat="1" ht="21" x14ac:dyDescent="0.35">
      <c r="A27" s="160" t="s">
        <v>154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/>
      <c r="AH27" s="48"/>
      <c r="AI27" s="48"/>
    </row>
    <row r="28" spans="1:35" s="44" customFormat="1" ht="21" x14ac:dyDescent="0.35">
      <c r="A28" s="160" t="s">
        <v>80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/>
      <c r="AH28" s="48"/>
      <c r="AI28" s="48"/>
    </row>
    <row r="29" spans="1:35" s="44" customFormat="1" ht="21" x14ac:dyDescent="0.35">
      <c r="A29" s="160" t="s">
        <v>76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/>
      <c r="AH29" s="48"/>
      <c r="AI29" s="48"/>
    </row>
    <row r="30" spans="1:35" s="44" customFormat="1" ht="21" x14ac:dyDescent="0.35">
      <c r="A30" s="160" t="s">
        <v>81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/>
      <c r="AH30" s="48"/>
      <c r="AI30" s="48"/>
    </row>
    <row r="31" spans="1:35" s="44" customFormat="1" ht="21" x14ac:dyDescent="0.35">
      <c r="A31" s="160" t="s">
        <v>86</v>
      </c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46">
        <f>SUM(B31:AF31)</f>
        <v>0</v>
      </c>
      <c r="AH31" s="48"/>
      <c r="AI31" s="48"/>
    </row>
    <row r="32" spans="1:35" s="44" customFormat="1" ht="21" x14ac:dyDescent="0.35">
      <c r="A32" s="160" t="s">
        <v>82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/>
      <c r="AH32" s="48"/>
      <c r="AI32" s="48"/>
    </row>
    <row r="33" spans="1:35" s="44" customFormat="1" ht="21" x14ac:dyDescent="0.35">
      <c r="A33" s="160" t="s">
        <v>179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6">
        <f>SUM(B33:AF33)</f>
        <v>0</v>
      </c>
      <c r="AH33" s="48"/>
      <c r="AI33" s="48"/>
    </row>
    <row r="34" spans="1:35" s="44" customFormat="1" ht="21" x14ac:dyDescent="0.35">
      <c r="A34" s="158" t="s">
        <v>155</v>
      </c>
      <c r="B34" s="51">
        <f t="shared" ref="B34:AF34" si="0">SUM(B6:B33)</f>
        <v>0</v>
      </c>
      <c r="C34" s="51">
        <f t="shared" si="0"/>
        <v>0</v>
      </c>
      <c r="D34" s="51">
        <f t="shared" si="0"/>
        <v>0</v>
      </c>
      <c r="E34" s="51">
        <f t="shared" si="0"/>
        <v>0</v>
      </c>
      <c r="F34" s="51">
        <f t="shared" si="0"/>
        <v>0</v>
      </c>
      <c r="G34" s="51">
        <f t="shared" si="0"/>
        <v>0</v>
      </c>
      <c r="H34" s="51">
        <f t="shared" si="0"/>
        <v>0</v>
      </c>
      <c r="I34" s="51">
        <f t="shared" si="0"/>
        <v>0</v>
      </c>
      <c r="J34" s="51">
        <f t="shared" si="0"/>
        <v>0</v>
      </c>
      <c r="K34" s="51">
        <f t="shared" si="0"/>
        <v>0</v>
      </c>
      <c r="L34" s="51">
        <f t="shared" si="0"/>
        <v>0</v>
      </c>
      <c r="M34" s="51">
        <f t="shared" si="0"/>
        <v>0</v>
      </c>
      <c r="N34" s="51">
        <f t="shared" si="0"/>
        <v>0</v>
      </c>
      <c r="O34" s="51">
        <f t="shared" si="0"/>
        <v>0</v>
      </c>
      <c r="P34" s="51">
        <f t="shared" si="0"/>
        <v>0</v>
      </c>
      <c r="Q34" s="51">
        <f t="shared" si="0"/>
        <v>0</v>
      </c>
      <c r="R34" s="51">
        <f t="shared" si="0"/>
        <v>0</v>
      </c>
      <c r="S34" s="51">
        <f t="shared" si="0"/>
        <v>0</v>
      </c>
      <c r="T34" s="51">
        <f t="shared" si="0"/>
        <v>0</v>
      </c>
      <c r="U34" s="51">
        <f t="shared" si="0"/>
        <v>0</v>
      </c>
      <c r="V34" s="51">
        <f t="shared" si="0"/>
        <v>0</v>
      </c>
      <c r="W34" s="51">
        <f t="shared" si="0"/>
        <v>0</v>
      </c>
      <c r="X34" s="51">
        <f t="shared" si="0"/>
        <v>0</v>
      </c>
      <c r="Y34" s="51">
        <f t="shared" si="0"/>
        <v>0</v>
      </c>
      <c r="Z34" s="51">
        <f t="shared" si="0"/>
        <v>0</v>
      </c>
      <c r="AA34" s="51">
        <f t="shared" si="0"/>
        <v>0</v>
      </c>
      <c r="AB34" s="51">
        <f t="shared" si="0"/>
        <v>0</v>
      </c>
      <c r="AC34" s="51">
        <f t="shared" si="0"/>
        <v>0</v>
      </c>
      <c r="AD34" s="51">
        <f t="shared" si="0"/>
        <v>0</v>
      </c>
      <c r="AE34" s="51">
        <f t="shared" si="0"/>
        <v>0</v>
      </c>
      <c r="AF34" s="51">
        <f t="shared" si="0"/>
        <v>0</v>
      </c>
      <c r="AG34" s="56">
        <f>SUM(B34:AF34)</f>
        <v>0</v>
      </c>
      <c r="AH34" s="57"/>
      <c r="AI34" s="57"/>
    </row>
    <row r="35" spans="1:35" s="2" customFormat="1" ht="21" x14ac:dyDescent="0.35">
      <c r="AG35" s="42">
        <f>SUM(AG3:AG33)</f>
        <v>0</v>
      </c>
    </row>
    <row r="36" spans="1:35" s="2" customFormat="1" x14ac:dyDescent="0.25"/>
    <row r="37" spans="1:35" s="2" customFormat="1" x14ac:dyDescent="0.25"/>
  </sheetData>
  <mergeCells count="1">
    <mergeCell ref="A1:AG1"/>
  </mergeCells>
  <conditionalFormatting sqref="AG34">
    <cfRule type="cellIs" dxfId="127" priority="2" operator="equal">
      <formula>$AG$35</formula>
    </cfRule>
  </conditionalFormatting>
  <conditionalFormatting sqref="AG35">
    <cfRule type="cellIs" dxfId="126" priority="1" operator="equal">
      <formula>$AG$34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55"/>
  </sheetPr>
  <dimension ref="A1:SX224"/>
  <sheetViews>
    <sheetView workbookViewId="0">
      <selection sqref="A1:B1"/>
    </sheetView>
  </sheetViews>
  <sheetFormatPr baseColWidth="10" defaultColWidth="10.85546875" defaultRowHeight="15" x14ac:dyDescent="0.25"/>
  <cols>
    <col min="1" max="1" width="15.42578125" customWidth="1"/>
    <col min="2" max="2" width="17.7109375" customWidth="1"/>
    <col min="3" max="3" width="25.5703125" customWidth="1"/>
    <col min="4" max="4" width="18.42578125" customWidth="1"/>
    <col min="5" max="5" width="13.7109375" customWidth="1"/>
    <col min="6" max="6" width="13.28515625" customWidth="1"/>
    <col min="8" max="8" width="12.140625" customWidth="1"/>
    <col min="9" max="9" width="10.85546875" customWidth="1"/>
    <col min="10" max="10" width="14.7109375" customWidth="1"/>
    <col min="12" max="12" width="13.85546875" customWidth="1"/>
    <col min="14" max="14" width="14" customWidth="1"/>
    <col min="15" max="15" width="12.85546875" customWidth="1"/>
    <col min="18" max="18" width="12.140625" customWidth="1"/>
    <col min="19" max="19" width="15.85546875" customWidth="1"/>
    <col min="27" max="27" width="15" customWidth="1"/>
    <col min="30" max="30" width="11.7109375" customWidth="1"/>
    <col min="35" max="35" width="12.140625" customWidth="1"/>
    <col min="37" max="37" width="11.7109375" customWidth="1"/>
  </cols>
  <sheetData>
    <row r="1" spans="1:518" s="6" customFormat="1" ht="63.75" customHeight="1" x14ac:dyDescent="0.25">
      <c r="A1" s="211" t="s">
        <v>250</v>
      </c>
      <c r="B1" s="211"/>
      <c r="C1" s="67" t="s">
        <v>94</v>
      </c>
      <c r="D1" s="67" t="s">
        <v>193</v>
      </c>
      <c r="E1" s="67" t="s">
        <v>83</v>
      </c>
      <c r="F1" s="67" t="s">
        <v>84</v>
      </c>
      <c r="G1" s="67" t="s">
        <v>64</v>
      </c>
      <c r="H1" s="67" t="s">
        <v>65</v>
      </c>
      <c r="I1" s="67" t="s">
        <v>66</v>
      </c>
      <c r="J1" s="67" t="s">
        <v>67</v>
      </c>
      <c r="K1" s="67" t="s">
        <v>152</v>
      </c>
      <c r="L1" s="68" t="s">
        <v>91</v>
      </c>
      <c r="M1" s="68" t="s">
        <v>69</v>
      </c>
      <c r="N1" s="68" t="s">
        <v>71</v>
      </c>
      <c r="O1" s="68" t="s">
        <v>72</v>
      </c>
      <c r="P1" s="68" t="s">
        <v>85</v>
      </c>
      <c r="Q1" s="68" t="s">
        <v>153</v>
      </c>
      <c r="R1" s="68" t="s">
        <v>73</v>
      </c>
      <c r="S1" s="68" t="s">
        <v>92</v>
      </c>
      <c r="T1" s="68" t="s">
        <v>89</v>
      </c>
      <c r="U1" s="68" t="s">
        <v>74</v>
      </c>
      <c r="V1" s="68" t="s">
        <v>75</v>
      </c>
      <c r="W1" s="68" t="s">
        <v>77</v>
      </c>
      <c r="X1" s="68" t="s">
        <v>78</v>
      </c>
      <c r="Y1" s="68" t="s">
        <v>79</v>
      </c>
      <c r="Z1" s="68" t="s">
        <v>154</v>
      </c>
      <c r="AA1" s="68" t="s">
        <v>80</v>
      </c>
      <c r="AB1" s="68" t="s">
        <v>76</v>
      </c>
      <c r="AC1" s="68" t="s">
        <v>81</v>
      </c>
      <c r="AD1" s="68" t="s">
        <v>86</v>
      </c>
      <c r="AE1" s="68" t="s">
        <v>82</v>
      </c>
      <c r="AF1" s="68" t="s">
        <v>179</v>
      </c>
      <c r="AG1" s="11" t="s">
        <v>97</v>
      </c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/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/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/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/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/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/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/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/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/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/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/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/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/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/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/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/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/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/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/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/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/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/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  <c r="RE1" s="5"/>
      <c r="RF1" s="5"/>
      <c r="RG1" s="5"/>
      <c r="RH1" s="5"/>
      <c r="RI1" s="5"/>
      <c r="RJ1" s="5"/>
      <c r="RK1" s="5"/>
      <c r="RL1" s="5"/>
      <c r="RM1" s="5"/>
      <c r="RN1" s="5"/>
      <c r="RO1" s="5"/>
      <c r="RP1" s="5"/>
      <c r="RQ1" s="5"/>
      <c r="RR1" s="5"/>
      <c r="RS1" s="5"/>
      <c r="RT1" s="5"/>
      <c r="RU1" s="5"/>
      <c r="RV1" s="5"/>
      <c r="RW1" s="5"/>
      <c r="RX1" s="5"/>
      <c r="RY1" s="5"/>
      <c r="RZ1" s="5"/>
      <c r="SA1" s="5"/>
      <c r="SB1" s="5"/>
      <c r="SC1" s="5"/>
      <c r="SD1" s="5"/>
      <c r="SE1" s="5"/>
      <c r="SF1" s="5"/>
      <c r="SG1" s="5"/>
      <c r="SH1" s="5"/>
      <c r="SI1" s="5"/>
      <c r="SJ1" s="5"/>
      <c r="SK1" s="5"/>
      <c r="SL1" s="5"/>
      <c r="SM1" s="5"/>
      <c r="SN1" s="5"/>
      <c r="SO1" s="5"/>
      <c r="SP1" s="5"/>
      <c r="SQ1" s="5"/>
      <c r="SR1" s="5"/>
      <c r="SS1" s="5"/>
      <c r="ST1" s="5"/>
      <c r="SU1" s="5"/>
      <c r="SV1" s="5"/>
      <c r="SW1" s="5"/>
      <c r="SX1" s="5"/>
    </row>
    <row r="2" spans="1:518" x14ac:dyDescent="0.25">
      <c r="A2" s="212" t="s">
        <v>0</v>
      </c>
      <c r="B2" s="69" t="s">
        <v>1</v>
      </c>
      <c r="C2" s="12">
        <f>'PAP_01_23 '!AG3</f>
        <v>88.4</v>
      </c>
      <c r="D2" s="12">
        <f>'PAP_01_23 '!AG4</f>
        <v>0</v>
      </c>
      <c r="E2" s="12">
        <f>'PAP_01_23 '!AG5</f>
        <v>40.999999999999993</v>
      </c>
      <c r="F2" s="12">
        <f>'PAP_01_23 '!$AG6</f>
        <v>0</v>
      </c>
      <c r="G2" s="12">
        <f>'PAP_01_23 '!$AG7</f>
        <v>0</v>
      </c>
      <c r="H2" s="12">
        <f>'PAP_01_23 '!$AG8</f>
        <v>9.2000000000000011</v>
      </c>
      <c r="I2" s="12">
        <f>'PAP_01_23 '!$AG9</f>
        <v>0</v>
      </c>
      <c r="J2" s="12">
        <f>'PAP_01_23 '!$AG10</f>
        <v>173.30999999999997</v>
      </c>
      <c r="K2" s="12">
        <f>'PAP_01_23 '!$AG11</f>
        <v>30.200000000000003</v>
      </c>
      <c r="L2" s="12">
        <f>'PAP_01_23 '!$AG12</f>
        <v>23</v>
      </c>
      <c r="M2" s="12">
        <f>'PAP_01_23 '!AG13</f>
        <v>0</v>
      </c>
      <c r="N2" s="12">
        <f>'PAP_01_23 '!$AG14</f>
        <v>0</v>
      </c>
      <c r="O2" s="12">
        <f>'PAP_01_23 '!$AG15</f>
        <v>0</v>
      </c>
      <c r="P2" s="12">
        <f>'PAP_01_23 '!$AG16</f>
        <v>0</v>
      </c>
      <c r="Q2" s="12">
        <f>'PAP_01_23 '!$AG17</f>
        <v>2.7</v>
      </c>
      <c r="R2" s="12">
        <f>'PAP_01_23 '!$AG18</f>
        <v>58.299999999999983</v>
      </c>
      <c r="S2" s="12">
        <f>'PAP_01_23 '!$AG19</f>
        <v>0</v>
      </c>
      <c r="T2" s="12">
        <f>'PAP_01_23 '!$AG20</f>
        <v>47.8</v>
      </c>
      <c r="U2" s="12">
        <f>'PAP_01_23 '!$AG21</f>
        <v>6.3000000000000007</v>
      </c>
      <c r="V2" s="12">
        <f>'PAP_01_23 '!$AG22</f>
        <v>4.9000000000000004</v>
      </c>
      <c r="W2" s="12">
        <f>'PAP_01_23 '!$AG23</f>
        <v>0</v>
      </c>
      <c r="X2" s="12">
        <f>'PAP_01_23 '!$AG24</f>
        <v>53.199999999999996</v>
      </c>
      <c r="Y2" s="12">
        <f>'PAP_01_23 '!$AG25</f>
        <v>0</v>
      </c>
      <c r="Z2" s="12">
        <f>'PAP_01_23 '!$AG26</f>
        <v>11.8</v>
      </c>
      <c r="AA2" s="12">
        <f>'PAP_01_23 '!$AG27</f>
        <v>45.800000000000004</v>
      </c>
      <c r="AB2" s="12">
        <f>'PAP_01_23 '!$AG28</f>
        <v>0</v>
      </c>
      <c r="AC2" s="12">
        <f>'PAP_01_23 '!$AG29</f>
        <v>13.2</v>
      </c>
      <c r="AD2" s="12">
        <f>'PAP_01_23 '!$AG30</f>
        <v>0</v>
      </c>
      <c r="AE2" s="12">
        <f>'PAP_01_23 '!$AG31</f>
        <v>129</v>
      </c>
      <c r="AF2" s="12">
        <f>'PAP_01_23 '!$AG32</f>
        <v>19.3</v>
      </c>
      <c r="AG2" s="8">
        <f>SUM(C2:AF2)</f>
        <v>757.40999999999985</v>
      </c>
      <c r="AH2" s="2"/>
      <c r="AI2" s="2">
        <f>+AG2+AG3+AG4</f>
        <v>4416.12</v>
      </c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</row>
    <row r="3" spans="1:518" x14ac:dyDescent="0.25">
      <c r="A3" s="212"/>
      <c r="B3" s="69" t="s">
        <v>2</v>
      </c>
      <c r="C3" s="12">
        <f>PLA_01_23!AG$3</f>
        <v>0</v>
      </c>
      <c r="D3" s="12">
        <f>PLA_01_23!$AG4</f>
        <v>0</v>
      </c>
      <c r="E3" s="12">
        <f>PLA_01_23!$AG5</f>
        <v>8.8999999999999986</v>
      </c>
      <c r="F3" s="12">
        <f>PLA_01_23!$AG6</f>
        <v>0</v>
      </c>
      <c r="G3" s="12">
        <f>PLA_01_23!$AG7</f>
        <v>0</v>
      </c>
      <c r="H3" s="12">
        <f>PLA_01_23!$AG8</f>
        <v>136.89999999999998</v>
      </c>
      <c r="I3" s="12">
        <f>PLA_01_23!$AG9</f>
        <v>0</v>
      </c>
      <c r="J3" s="12">
        <f>PLA_01_23!$AG10</f>
        <v>155.03999999999996</v>
      </c>
      <c r="K3" s="12">
        <f>PLA_01_23!$AG11</f>
        <v>0</v>
      </c>
      <c r="L3" s="12">
        <f>PLA_01_23!$AG12</f>
        <v>54.799999999999976</v>
      </c>
      <c r="M3" s="12">
        <f>PLA_01_23!AG13</f>
        <v>0</v>
      </c>
      <c r="N3" s="12">
        <f>PLA_01_23!$AG14</f>
        <v>0</v>
      </c>
      <c r="O3" s="12">
        <f>PLA_01_23!$AG15</f>
        <v>94.100000000000009</v>
      </c>
      <c r="P3" s="12">
        <f>PLA_01_23!$AG16</f>
        <v>0</v>
      </c>
      <c r="Q3" s="12">
        <f>PLA_01_23!$AG17</f>
        <v>2.2000000000000002</v>
      </c>
      <c r="R3" s="12">
        <f>PLA_01_23!$AG18</f>
        <v>0</v>
      </c>
      <c r="S3" s="12">
        <f>PLA_01_23!$AG19</f>
        <v>0</v>
      </c>
      <c r="T3" s="12">
        <f>PLA_01_23!$AG20</f>
        <v>114.49999999999999</v>
      </c>
      <c r="U3" s="12">
        <f>PLA_01_23!$AG21</f>
        <v>46.900000000000006</v>
      </c>
      <c r="V3" s="12">
        <f>PLA_01_23!$AG22</f>
        <v>7.2</v>
      </c>
      <c r="W3" s="12">
        <f>PLA_01_23!$AG23</f>
        <v>0</v>
      </c>
      <c r="X3" s="12">
        <f>PLA_01_23!$AG24</f>
        <v>95</v>
      </c>
      <c r="Y3" s="12">
        <f>PLA_01_23!$AG25</f>
        <v>0</v>
      </c>
      <c r="Z3" s="12">
        <f>PLA_01_23!$AG26</f>
        <v>0</v>
      </c>
      <c r="AA3" s="12">
        <f>PLA_01_23!$AG27</f>
        <v>0</v>
      </c>
      <c r="AB3" s="12">
        <f>PLA_01_23!$AG28</f>
        <v>0</v>
      </c>
      <c r="AC3" s="12">
        <f>PLA_01_23!$AG29</f>
        <v>0</v>
      </c>
      <c r="AD3" s="12">
        <f>PLA_01_23!$AG30</f>
        <v>0</v>
      </c>
      <c r="AE3" s="12">
        <f>PLA_01_23!$AG31</f>
        <v>539.85</v>
      </c>
      <c r="AF3" s="12">
        <f>PLA_01_23!$AG32</f>
        <v>11.900000000000002</v>
      </c>
      <c r="AG3" s="8">
        <f>SUM(C3:AF3)</f>
        <v>1267.29</v>
      </c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  <c r="JR3" s="2"/>
      <c r="JS3" s="2"/>
      <c r="JT3" s="2"/>
      <c r="JU3" s="2"/>
      <c r="JV3" s="2"/>
      <c r="JW3" s="2"/>
      <c r="JX3" s="2"/>
      <c r="JY3" s="2"/>
      <c r="JZ3" s="2"/>
      <c r="KA3" s="2"/>
      <c r="KB3" s="2"/>
      <c r="KC3" s="2"/>
      <c r="KD3" s="2"/>
      <c r="KE3" s="2"/>
      <c r="KF3" s="2"/>
      <c r="KG3" s="2"/>
      <c r="KH3" s="2"/>
      <c r="KI3" s="2"/>
      <c r="KJ3" s="2"/>
      <c r="KK3" s="2"/>
      <c r="KL3" s="2"/>
      <c r="KM3" s="2"/>
      <c r="KN3" s="2"/>
      <c r="KO3" s="2"/>
      <c r="KP3" s="2"/>
      <c r="KQ3" s="2"/>
      <c r="KR3" s="2"/>
      <c r="KS3" s="2"/>
      <c r="KT3" s="2"/>
      <c r="KU3" s="2"/>
      <c r="KV3" s="2"/>
      <c r="KW3" s="2"/>
      <c r="KX3" s="2"/>
      <c r="KY3" s="2"/>
      <c r="KZ3" s="2"/>
      <c r="LA3" s="2"/>
      <c r="LB3" s="2"/>
      <c r="LC3" s="2"/>
      <c r="LD3" s="2"/>
      <c r="LE3" s="2"/>
      <c r="LF3" s="2"/>
      <c r="LG3" s="2"/>
      <c r="LH3" s="2"/>
      <c r="LI3" s="2"/>
      <c r="LJ3" s="2"/>
      <c r="LK3" s="2"/>
      <c r="LL3" s="2"/>
      <c r="LM3" s="2"/>
      <c r="LN3" s="2"/>
      <c r="LO3" s="2"/>
      <c r="LP3" s="2"/>
      <c r="LQ3" s="2"/>
      <c r="LR3" s="2"/>
      <c r="LS3" s="2"/>
      <c r="LT3" s="2"/>
      <c r="LU3" s="2"/>
      <c r="LV3" s="2"/>
      <c r="LW3" s="2"/>
      <c r="LX3" s="2"/>
      <c r="LY3" s="2"/>
      <c r="LZ3" s="2"/>
      <c r="MA3" s="2"/>
      <c r="MB3" s="2"/>
      <c r="MC3" s="2"/>
      <c r="MD3" s="2"/>
      <c r="ME3" s="2"/>
      <c r="MF3" s="2"/>
      <c r="MG3" s="2"/>
      <c r="MH3" s="2"/>
      <c r="MI3" s="2"/>
      <c r="MJ3" s="2"/>
      <c r="MK3" s="2"/>
      <c r="ML3" s="2"/>
      <c r="MM3" s="2"/>
      <c r="MN3" s="2"/>
      <c r="MO3" s="2"/>
      <c r="MP3" s="2"/>
      <c r="MQ3" s="2"/>
      <c r="MR3" s="2"/>
      <c r="MS3" s="2"/>
      <c r="MT3" s="2"/>
      <c r="MU3" s="2"/>
      <c r="MV3" s="2"/>
      <c r="MW3" s="2"/>
      <c r="MX3" s="2"/>
      <c r="MY3" s="2"/>
      <c r="MZ3" s="2"/>
      <c r="NA3" s="2"/>
      <c r="NB3" s="2"/>
      <c r="NC3" s="2"/>
      <c r="ND3" s="2"/>
      <c r="NE3" s="2"/>
      <c r="NF3" s="2"/>
      <c r="NG3" s="2"/>
      <c r="NH3" s="2"/>
      <c r="NI3" s="2"/>
      <c r="NJ3" s="2"/>
      <c r="NK3" s="2"/>
      <c r="NL3" s="2"/>
      <c r="NM3" s="2"/>
      <c r="NN3" s="2"/>
      <c r="NO3" s="2"/>
      <c r="NP3" s="2"/>
      <c r="NQ3" s="2"/>
      <c r="NR3" s="2"/>
      <c r="NS3" s="2"/>
      <c r="NT3" s="2"/>
      <c r="NU3" s="2"/>
      <c r="NV3" s="2"/>
      <c r="NW3" s="2"/>
      <c r="NX3" s="2"/>
      <c r="NY3" s="2"/>
      <c r="NZ3" s="2"/>
      <c r="OA3" s="2"/>
      <c r="OB3" s="2"/>
      <c r="OC3" s="2"/>
      <c r="OD3" s="2"/>
      <c r="OE3" s="2"/>
      <c r="OF3" s="2"/>
      <c r="OG3" s="2"/>
      <c r="OH3" s="2"/>
      <c r="OI3" s="2"/>
      <c r="OJ3" s="2"/>
      <c r="OK3" s="2"/>
      <c r="OL3" s="2"/>
      <c r="OM3" s="2"/>
      <c r="ON3" s="2"/>
      <c r="OO3" s="2"/>
      <c r="OP3" s="2"/>
      <c r="OQ3" s="2"/>
      <c r="OR3" s="2"/>
      <c r="OS3" s="2"/>
      <c r="OT3" s="2"/>
      <c r="OU3" s="2"/>
      <c r="OV3" s="2"/>
      <c r="OW3" s="2"/>
      <c r="OX3" s="2"/>
      <c r="OY3" s="2"/>
      <c r="OZ3" s="2"/>
      <c r="PA3" s="2"/>
      <c r="PB3" s="2"/>
      <c r="PC3" s="2"/>
      <c r="PD3" s="2"/>
      <c r="PE3" s="2"/>
      <c r="PF3" s="2"/>
      <c r="PG3" s="2"/>
      <c r="PH3" s="2"/>
      <c r="PI3" s="2"/>
      <c r="PJ3" s="2"/>
      <c r="PK3" s="2"/>
      <c r="PL3" s="2"/>
      <c r="PM3" s="2"/>
      <c r="PN3" s="2"/>
      <c r="PO3" s="2"/>
      <c r="PP3" s="2"/>
      <c r="PQ3" s="2"/>
      <c r="PR3" s="2"/>
      <c r="PS3" s="2"/>
      <c r="PT3" s="2"/>
      <c r="PU3" s="2"/>
      <c r="PV3" s="2"/>
      <c r="PW3" s="2"/>
      <c r="PX3" s="2"/>
      <c r="PY3" s="2"/>
      <c r="PZ3" s="2"/>
      <c r="QA3" s="2"/>
      <c r="QB3" s="2"/>
      <c r="QC3" s="2"/>
      <c r="QD3" s="2"/>
      <c r="QE3" s="2"/>
      <c r="QF3" s="2"/>
      <c r="QG3" s="2"/>
      <c r="QH3" s="2"/>
      <c r="QI3" s="2"/>
      <c r="QJ3" s="2"/>
      <c r="QK3" s="2"/>
      <c r="QL3" s="2"/>
      <c r="QM3" s="2"/>
      <c r="QN3" s="2"/>
      <c r="QO3" s="2"/>
      <c r="QP3" s="2"/>
      <c r="QQ3" s="2"/>
      <c r="QR3" s="2"/>
      <c r="QS3" s="2"/>
      <c r="QT3" s="2"/>
      <c r="QU3" s="2"/>
      <c r="QV3" s="2"/>
      <c r="QW3" s="2"/>
      <c r="QX3" s="2"/>
      <c r="QY3" s="2"/>
      <c r="QZ3" s="2"/>
      <c r="RA3" s="2"/>
      <c r="RB3" s="2"/>
      <c r="RC3" s="2"/>
      <c r="RD3" s="2"/>
      <c r="RE3" s="2"/>
      <c r="RF3" s="2"/>
      <c r="RG3" s="2"/>
      <c r="RH3" s="2"/>
      <c r="RI3" s="2"/>
      <c r="RJ3" s="2"/>
      <c r="RK3" s="2"/>
      <c r="RL3" s="2"/>
      <c r="RM3" s="2"/>
      <c r="RN3" s="2"/>
      <c r="RO3" s="2"/>
      <c r="RP3" s="2"/>
      <c r="RQ3" s="2"/>
      <c r="RR3" s="2"/>
      <c r="RS3" s="2"/>
      <c r="RT3" s="2"/>
      <c r="RU3" s="2"/>
      <c r="RV3" s="2"/>
      <c r="RW3" s="2"/>
      <c r="RX3" s="2"/>
      <c r="RY3" s="2"/>
      <c r="RZ3" s="2"/>
      <c r="SA3" s="2"/>
      <c r="SB3" s="2"/>
      <c r="SC3" s="2"/>
      <c r="SD3" s="2"/>
      <c r="SE3" s="2"/>
      <c r="SF3" s="2"/>
      <c r="SG3" s="2"/>
      <c r="SH3" s="2"/>
      <c r="SI3" s="2"/>
      <c r="SJ3" s="2"/>
      <c r="SK3" s="2"/>
      <c r="SL3" s="2"/>
      <c r="SM3" s="2"/>
      <c r="SN3" s="2"/>
      <c r="SO3" s="2"/>
      <c r="SP3" s="2"/>
      <c r="SQ3" s="2"/>
      <c r="SR3" s="2"/>
      <c r="SS3" s="2"/>
      <c r="ST3" s="2"/>
      <c r="SU3" s="2"/>
      <c r="SV3" s="2"/>
      <c r="SW3" s="2"/>
      <c r="SX3" s="2"/>
    </row>
    <row r="4" spans="1:518" x14ac:dyDescent="0.25">
      <c r="A4" s="212"/>
      <c r="B4" s="69" t="s">
        <v>3</v>
      </c>
      <c r="C4" s="12">
        <f>GRI_01_23!AG$3</f>
        <v>54.699999999999996</v>
      </c>
      <c r="D4" s="12">
        <f>GRI_01_23!$AG4</f>
        <v>24.4</v>
      </c>
      <c r="E4" s="12">
        <f>GRI_01_23!$AG5</f>
        <v>59.799999999999983</v>
      </c>
      <c r="F4" s="12">
        <f>GRI_01_23!$AG6</f>
        <v>0</v>
      </c>
      <c r="G4" s="12">
        <f>GRI_01_23!$AG7</f>
        <v>44.29999999999999</v>
      </c>
      <c r="H4" s="12">
        <f>GRI_01_23!$AG8</f>
        <v>203.59999999999997</v>
      </c>
      <c r="I4" s="12">
        <f>GRI_01_23!$AG9</f>
        <v>74.699999999999989</v>
      </c>
      <c r="J4" s="12">
        <f>GRI_01_23!$AG10</f>
        <v>107.21999999999998</v>
      </c>
      <c r="K4" s="12">
        <f>GRI_01_23!$AG11</f>
        <v>9.2999999999999989</v>
      </c>
      <c r="L4" s="12">
        <f>GRI_01_23!$AG12</f>
        <v>69.09999999999998</v>
      </c>
      <c r="M4" s="12">
        <f>GRI_01_23!AG13</f>
        <v>0</v>
      </c>
      <c r="N4" s="12">
        <f>GRI_01_23!$AG14</f>
        <v>0</v>
      </c>
      <c r="O4" s="12">
        <f>GRI_01_23!$AG15</f>
        <v>139.69999999999999</v>
      </c>
      <c r="P4" s="12">
        <f>GRI_01_23!$AG16</f>
        <v>0</v>
      </c>
      <c r="Q4" s="12">
        <f>GRI_01_23!$AG17</f>
        <v>28.600000000000005</v>
      </c>
      <c r="R4" s="12">
        <f>GRI_01_23!$AG18</f>
        <v>154.59999999999994</v>
      </c>
      <c r="S4" s="12">
        <f>GRI_01_23!$AG19</f>
        <v>0</v>
      </c>
      <c r="T4" s="12">
        <f>GRI_01_23!$AG21+GRI_01_23!$AG22</f>
        <v>120.69999999999999</v>
      </c>
      <c r="U4" s="12">
        <f>GRI_01_23!$AG23</f>
        <v>23.799999999999997</v>
      </c>
      <c r="V4" s="12">
        <f>GRI_01_23!$AG24</f>
        <v>27.8</v>
      </c>
      <c r="W4" s="12">
        <f>GRI_01_23!$AG25</f>
        <v>0</v>
      </c>
      <c r="X4" s="12">
        <f>GRI_01_23!$AG26</f>
        <v>182.89999999999998</v>
      </c>
      <c r="Y4" s="12">
        <f>GRI_01_23!$AG27</f>
        <v>0</v>
      </c>
      <c r="Z4" s="12">
        <f>GRI_01_23!$AG28</f>
        <v>25</v>
      </c>
      <c r="AA4" s="12">
        <f>GRI_01_23!$AG29</f>
        <v>40.300000000000004</v>
      </c>
      <c r="AB4" s="12">
        <f>GRI_01_23!$AG30</f>
        <v>0</v>
      </c>
      <c r="AC4" s="12">
        <f>GRI_01_23!$AG31</f>
        <v>319.40000000000003</v>
      </c>
      <c r="AD4" s="12">
        <f>GRI_01_23!$AG32</f>
        <v>0</v>
      </c>
      <c r="AE4" s="12">
        <f>GRI_01_23!$AG33</f>
        <v>681.5</v>
      </c>
      <c r="AF4" s="12">
        <f>GRI_01_23!$AG335</f>
        <v>0</v>
      </c>
      <c r="AG4" s="8">
        <f>SUM(C4:AF4)</f>
        <v>2391.42</v>
      </c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  <c r="FB4" s="2"/>
      <c r="FC4" s="2"/>
      <c r="FD4" s="2"/>
      <c r="FE4" s="2"/>
      <c r="FF4" s="2"/>
      <c r="FG4" s="2"/>
      <c r="FH4" s="2"/>
      <c r="FI4" s="2"/>
      <c r="FJ4" s="2"/>
      <c r="FK4" s="2"/>
      <c r="FL4" s="2"/>
      <c r="FM4" s="2"/>
      <c r="FN4" s="2"/>
      <c r="FO4" s="2"/>
      <c r="FP4" s="2"/>
      <c r="FQ4" s="2"/>
      <c r="FR4" s="2"/>
      <c r="FS4" s="2"/>
      <c r="FT4" s="2"/>
      <c r="FU4" s="2"/>
      <c r="FV4" s="2"/>
      <c r="FW4" s="2"/>
      <c r="FX4" s="2"/>
      <c r="FY4" s="2"/>
      <c r="FZ4" s="2"/>
      <c r="GA4" s="2"/>
      <c r="GB4" s="2"/>
      <c r="GC4" s="2"/>
      <c r="GD4" s="2"/>
      <c r="GE4" s="2"/>
      <c r="GF4" s="2"/>
      <c r="GG4" s="2"/>
      <c r="GH4" s="2"/>
      <c r="GI4" s="2"/>
      <c r="GJ4" s="2"/>
      <c r="GK4" s="2"/>
      <c r="GL4" s="2"/>
      <c r="GM4" s="2"/>
      <c r="GN4" s="2"/>
      <c r="GO4" s="2"/>
      <c r="GP4" s="2"/>
      <c r="GQ4" s="2"/>
      <c r="GR4" s="2"/>
      <c r="GS4" s="2"/>
      <c r="GT4" s="2"/>
      <c r="GU4" s="2"/>
      <c r="GV4" s="2"/>
      <c r="GW4" s="2"/>
      <c r="GX4" s="2"/>
      <c r="GY4" s="2"/>
      <c r="GZ4" s="2"/>
      <c r="HA4" s="2"/>
      <c r="HB4" s="2"/>
      <c r="HC4" s="2"/>
      <c r="HD4" s="2"/>
      <c r="HE4" s="2"/>
      <c r="HF4" s="2"/>
      <c r="HG4" s="2"/>
      <c r="HH4" s="2"/>
      <c r="HI4" s="2"/>
      <c r="HJ4" s="2"/>
      <c r="HK4" s="2"/>
      <c r="HL4" s="2"/>
      <c r="HM4" s="2"/>
      <c r="HN4" s="2"/>
      <c r="HO4" s="2"/>
      <c r="HP4" s="2"/>
      <c r="HQ4" s="2"/>
      <c r="HR4" s="2"/>
      <c r="HS4" s="2"/>
      <c r="HT4" s="2"/>
      <c r="HU4" s="2"/>
      <c r="HV4" s="2"/>
      <c r="HW4" s="2"/>
      <c r="HX4" s="2"/>
      <c r="HY4" s="2"/>
      <c r="HZ4" s="2"/>
      <c r="IA4" s="2"/>
      <c r="IB4" s="2"/>
      <c r="IC4" s="2"/>
      <c r="ID4" s="2"/>
      <c r="IE4" s="2"/>
      <c r="IF4" s="2"/>
      <c r="IG4" s="2"/>
      <c r="IH4" s="2"/>
      <c r="II4" s="2"/>
      <c r="IJ4" s="2"/>
      <c r="IK4" s="2"/>
      <c r="IL4" s="2"/>
      <c r="IM4" s="2"/>
      <c r="IN4" s="2"/>
      <c r="IO4" s="2"/>
      <c r="IP4" s="2"/>
      <c r="IQ4" s="2"/>
      <c r="IR4" s="2"/>
      <c r="IS4" s="2"/>
      <c r="IT4" s="2"/>
      <c r="IU4" s="2"/>
      <c r="IV4" s="2"/>
      <c r="IW4" s="2"/>
      <c r="IX4" s="2"/>
      <c r="IY4" s="2"/>
      <c r="IZ4" s="2"/>
      <c r="JA4" s="2"/>
      <c r="JB4" s="2"/>
      <c r="JC4" s="2"/>
      <c r="JD4" s="2"/>
      <c r="JE4" s="2"/>
      <c r="JF4" s="2"/>
      <c r="JG4" s="2"/>
      <c r="JH4" s="2"/>
      <c r="JI4" s="2"/>
      <c r="JJ4" s="2"/>
      <c r="JK4" s="2"/>
      <c r="JL4" s="2"/>
      <c r="JM4" s="2"/>
      <c r="JN4" s="2"/>
      <c r="JO4" s="2"/>
      <c r="JP4" s="2"/>
      <c r="JQ4" s="2"/>
      <c r="JR4" s="2"/>
      <c r="JS4" s="2"/>
      <c r="JT4" s="2"/>
      <c r="JU4" s="2"/>
      <c r="JV4" s="2"/>
      <c r="JW4" s="2"/>
      <c r="JX4" s="2"/>
      <c r="JY4" s="2"/>
      <c r="JZ4" s="2"/>
      <c r="KA4" s="2"/>
      <c r="KB4" s="2"/>
      <c r="KC4" s="2"/>
      <c r="KD4" s="2"/>
      <c r="KE4" s="2"/>
      <c r="KF4" s="2"/>
      <c r="KG4" s="2"/>
      <c r="KH4" s="2"/>
      <c r="KI4" s="2"/>
      <c r="KJ4" s="2"/>
      <c r="KK4" s="2"/>
      <c r="KL4" s="2"/>
      <c r="KM4" s="2"/>
      <c r="KN4" s="2"/>
      <c r="KO4" s="2"/>
      <c r="KP4" s="2"/>
      <c r="KQ4" s="2"/>
      <c r="KR4" s="2"/>
      <c r="KS4" s="2"/>
      <c r="KT4" s="2"/>
      <c r="KU4" s="2"/>
      <c r="KV4" s="2"/>
      <c r="KW4" s="2"/>
      <c r="KX4" s="2"/>
      <c r="KY4" s="2"/>
      <c r="KZ4" s="2"/>
      <c r="LA4" s="2"/>
      <c r="LB4" s="2"/>
      <c r="LC4" s="2"/>
      <c r="LD4" s="2"/>
      <c r="LE4" s="2"/>
      <c r="LF4" s="2"/>
      <c r="LG4" s="2"/>
      <c r="LH4" s="2"/>
      <c r="LI4" s="2"/>
      <c r="LJ4" s="2"/>
      <c r="LK4" s="2"/>
      <c r="LL4" s="2"/>
      <c r="LM4" s="2"/>
      <c r="LN4" s="2"/>
      <c r="LO4" s="2"/>
      <c r="LP4" s="2"/>
      <c r="LQ4" s="2"/>
      <c r="LR4" s="2"/>
      <c r="LS4" s="2"/>
      <c r="LT4" s="2"/>
      <c r="LU4" s="2"/>
      <c r="LV4" s="2"/>
      <c r="LW4" s="2"/>
      <c r="LX4" s="2"/>
      <c r="LY4" s="2"/>
      <c r="LZ4" s="2"/>
      <c r="MA4" s="2"/>
      <c r="MB4" s="2"/>
      <c r="MC4" s="2"/>
      <c r="MD4" s="2"/>
      <c r="ME4" s="2"/>
      <c r="MF4" s="2"/>
      <c r="MG4" s="2"/>
      <c r="MH4" s="2"/>
      <c r="MI4" s="2"/>
      <c r="MJ4" s="2"/>
      <c r="MK4" s="2"/>
      <c r="ML4" s="2"/>
      <c r="MM4" s="2"/>
      <c r="MN4" s="2"/>
      <c r="MO4" s="2"/>
      <c r="MP4" s="2"/>
      <c r="MQ4" s="2"/>
      <c r="MR4" s="2"/>
      <c r="MS4" s="2"/>
      <c r="MT4" s="2"/>
      <c r="MU4" s="2"/>
      <c r="MV4" s="2"/>
      <c r="MW4" s="2"/>
      <c r="MX4" s="2"/>
      <c r="MY4" s="2"/>
      <c r="MZ4" s="2"/>
      <c r="NA4" s="2"/>
      <c r="NB4" s="2"/>
      <c r="NC4" s="2"/>
      <c r="ND4" s="2"/>
      <c r="NE4" s="2"/>
      <c r="NF4" s="2"/>
      <c r="NG4" s="2"/>
      <c r="NH4" s="2"/>
      <c r="NI4" s="2"/>
      <c r="NJ4" s="2"/>
      <c r="NK4" s="2"/>
      <c r="NL4" s="2"/>
      <c r="NM4" s="2"/>
      <c r="NN4" s="2"/>
      <c r="NO4" s="2"/>
      <c r="NP4" s="2"/>
      <c r="NQ4" s="2"/>
      <c r="NR4" s="2"/>
      <c r="NS4" s="2"/>
      <c r="NT4" s="2"/>
      <c r="NU4" s="2"/>
      <c r="NV4" s="2"/>
      <c r="NW4" s="2"/>
      <c r="NX4" s="2"/>
      <c r="NY4" s="2"/>
      <c r="NZ4" s="2"/>
      <c r="OA4" s="2"/>
      <c r="OB4" s="2"/>
      <c r="OC4" s="2"/>
      <c r="OD4" s="2"/>
      <c r="OE4" s="2"/>
      <c r="OF4" s="2"/>
      <c r="OG4" s="2"/>
      <c r="OH4" s="2"/>
      <c r="OI4" s="2"/>
      <c r="OJ4" s="2"/>
      <c r="OK4" s="2"/>
      <c r="OL4" s="2"/>
      <c r="OM4" s="2"/>
      <c r="ON4" s="2"/>
      <c r="OO4" s="2"/>
      <c r="OP4" s="2"/>
      <c r="OQ4" s="2"/>
      <c r="OR4" s="2"/>
      <c r="OS4" s="2"/>
      <c r="OT4" s="2"/>
      <c r="OU4" s="2"/>
      <c r="OV4" s="2"/>
      <c r="OW4" s="2"/>
      <c r="OX4" s="2"/>
      <c r="OY4" s="2"/>
      <c r="OZ4" s="2"/>
      <c r="PA4" s="2"/>
      <c r="PB4" s="2"/>
      <c r="PC4" s="2"/>
      <c r="PD4" s="2"/>
      <c r="PE4" s="2"/>
      <c r="PF4" s="2"/>
      <c r="PG4" s="2"/>
      <c r="PH4" s="2"/>
      <c r="PI4" s="2"/>
      <c r="PJ4" s="2"/>
      <c r="PK4" s="2"/>
      <c r="PL4" s="2"/>
      <c r="PM4" s="2"/>
      <c r="PN4" s="2"/>
      <c r="PO4" s="2"/>
      <c r="PP4" s="2"/>
      <c r="PQ4" s="2"/>
      <c r="PR4" s="2"/>
      <c r="PS4" s="2"/>
      <c r="PT4" s="2"/>
      <c r="PU4" s="2"/>
      <c r="PV4" s="2"/>
      <c r="PW4" s="2"/>
      <c r="PX4" s="2"/>
      <c r="PY4" s="2"/>
      <c r="PZ4" s="2"/>
      <c r="QA4" s="2"/>
      <c r="QB4" s="2"/>
      <c r="QC4" s="2"/>
      <c r="QD4" s="2"/>
      <c r="QE4" s="2"/>
      <c r="QF4" s="2"/>
      <c r="QG4" s="2"/>
      <c r="QH4" s="2"/>
      <c r="QI4" s="2"/>
      <c r="QJ4" s="2"/>
      <c r="QK4" s="2"/>
      <c r="QL4" s="2"/>
      <c r="QM4" s="2"/>
      <c r="QN4" s="2"/>
      <c r="QO4" s="2"/>
      <c r="QP4" s="2"/>
      <c r="QQ4" s="2"/>
      <c r="QR4" s="2"/>
      <c r="QS4" s="2"/>
      <c r="QT4" s="2"/>
      <c r="QU4" s="2"/>
      <c r="QV4" s="2"/>
      <c r="QW4" s="2"/>
      <c r="QX4" s="2"/>
      <c r="QY4" s="2"/>
      <c r="QZ4" s="2"/>
      <c r="RA4" s="2"/>
      <c r="RB4" s="2"/>
      <c r="RC4" s="2"/>
      <c r="RD4" s="2"/>
      <c r="RE4" s="2"/>
      <c r="RF4" s="2"/>
      <c r="RG4" s="2"/>
      <c r="RH4" s="2"/>
      <c r="RI4" s="2"/>
      <c r="RJ4" s="2"/>
      <c r="RK4" s="2"/>
      <c r="RL4" s="2"/>
      <c r="RM4" s="2"/>
      <c r="RN4" s="2"/>
      <c r="RO4" s="2"/>
      <c r="RP4" s="2"/>
      <c r="RQ4" s="2"/>
      <c r="RR4" s="2"/>
      <c r="RS4" s="2"/>
      <c r="RT4" s="2"/>
      <c r="RU4" s="2"/>
      <c r="RV4" s="2"/>
      <c r="RW4" s="2"/>
      <c r="RX4" s="2"/>
      <c r="RY4" s="2"/>
      <c r="RZ4" s="2"/>
      <c r="SA4" s="2"/>
      <c r="SB4" s="2"/>
      <c r="SC4" s="2"/>
      <c r="SD4" s="2"/>
      <c r="SE4" s="2"/>
      <c r="SF4" s="2"/>
      <c r="SG4" s="2"/>
      <c r="SH4" s="2"/>
      <c r="SI4" s="2"/>
      <c r="SJ4" s="2"/>
      <c r="SK4" s="2"/>
      <c r="SL4" s="2"/>
      <c r="SM4" s="2"/>
      <c r="SN4" s="2"/>
      <c r="SO4" s="2"/>
      <c r="SP4" s="2"/>
      <c r="SQ4" s="2"/>
      <c r="SR4" s="2"/>
      <c r="SS4" s="2"/>
      <c r="ST4" s="2"/>
      <c r="SU4" s="2"/>
      <c r="SV4" s="2"/>
      <c r="SW4" s="2"/>
      <c r="SX4" s="2"/>
    </row>
    <row r="5" spans="1:518" x14ac:dyDescent="0.25">
      <c r="A5" s="212"/>
      <c r="B5" s="69" t="s">
        <v>4</v>
      </c>
      <c r="C5" s="12">
        <f>VER_01_23!AG$3</f>
        <v>0</v>
      </c>
      <c r="D5" s="12">
        <f>VER_01_23!$AG4</f>
        <v>0</v>
      </c>
      <c r="E5" s="12">
        <f>VER_01_23!$AG5</f>
        <v>0</v>
      </c>
      <c r="F5" s="12">
        <f>VER_01_23!$AG6</f>
        <v>139</v>
      </c>
      <c r="G5" s="12">
        <f>VER_01_23!$AG7</f>
        <v>0</v>
      </c>
      <c r="H5" s="12">
        <f>VER_01_23!$AG8</f>
        <v>0</v>
      </c>
      <c r="I5" s="12">
        <f>VER_01_23!$AG9</f>
        <v>0</v>
      </c>
      <c r="J5" s="12">
        <f>VER_01_23!$AG10</f>
        <v>0</v>
      </c>
      <c r="K5" s="12">
        <f>VER_01_23!$AG11</f>
        <v>0</v>
      </c>
      <c r="L5" s="12">
        <f>VER_01_23!$AG12</f>
        <v>0</v>
      </c>
      <c r="M5" s="12">
        <f>VER_01_23!AG13</f>
        <v>0</v>
      </c>
      <c r="N5" s="12">
        <f>VER_01_23!$AG14</f>
        <v>0</v>
      </c>
      <c r="O5" s="12">
        <f>VER_01_23!$AG15</f>
        <v>0</v>
      </c>
      <c r="P5" s="12">
        <f>VER_01_23!$AG16</f>
        <v>216</v>
      </c>
      <c r="Q5" s="12">
        <f>VER_01_23!$AG17</f>
        <v>0</v>
      </c>
      <c r="R5" s="12">
        <f>VER_01_23!$AG18</f>
        <v>0</v>
      </c>
      <c r="S5" s="12">
        <f>VER_01_23!$AG19</f>
        <v>0</v>
      </c>
      <c r="T5" s="12">
        <f>VER_01_23!$AG21</f>
        <v>0</v>
      </c>
      <c r="U5" s="12">
        <f>VER_01_23!$AG23</f>
        <v>0</v>
      </c>
      <c r="V5" s="12">
        <f>VER_01_23!$AG24</f>
        <v>0</v>
      </c>
      <c r="W5" s="12">
        <f>VER_01_23!$AG25</f>
        <v>0</v>
      </c>
      <c r="X5" s="12">
        <f>VER_01_23!$AG26</f>
        <v>0</v>
      </c>
      <c r="Y5" s="12">
        <f>VER_01_23!$AG27</f>
        <v>0</v>
      </c>
      <c r="Z5" s="12">
        <f>VER_01_23!$AG28</f>
        <v>0</v>
      </c>
      <c r="AA5" s="12">
        <f>VER_01_23!$AG29</f>
        <v>0</v>
      </c>
      <c r="AB5" s="12">
        <f>VER_01_23!$AG30</f>
        <v>0</v>
      </c>
      <c r="AC5" s="12">
        <f>VER_01_23!$AG31</f>
        <v>0</v>
      </c>
      <c r="AD5" s="12">
        <f>VER_01_23!$AG32</f>
        <v>266.5</v>
      </c>
      <c r="AE5" s="12">
        <f>VER_01_23!$AG33</f>
        <v>0</v>
      </c>
      <c r="AF5" s="12">
        <f>VER_01_23!$AG34</f>
        <v>0</v>
      </c>
      <c r="AG5" s="8">
        <f>SUM(C5:AF5)</f>
        <v>621.5</v>
      </c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  <c r="RA5" s="2"/>
      <c r="RB5" s="2"/>
      <c r="RC5" s="2"/>
      <c r="RD5" s="2"/>
      <c r="RE5" s="2"/>
      <c r="RF5" s="2"/>
      <c r="RG5" s="2"/>
      <c r="RH5" s="2"/>
      <c r="RI5" s="2"/>
      <c r="RJ5" s="2"/>
      <c r="RK5" s="2"/>
      <c r="RL5" s="2"/>
      <c r="RM5" s="2"/>
      <c r="RN5" s="2"/>
      <c r="RO5" s="2"/>
      <c r="RP5" s="2"/>
      <c r="RQ5" s="2"/>
      <c r="RR5" s="2"/>
      <c r="RS5" s="2"/>
      <c r="RT5" s="2"/>
      <c r="RU5" s="2"/>
      <c r="RV5" s="2"/>
      <c r="RW5" s="2"/>
      <c r="RX5" s="2"/>
      <c r="RY5" s="2"/>
      <c r="RZ5" s="2"/>
      <c r="SA5" s="2"/>
      <c r="SB5" s="2"/>
      <c r="SC5" s="2"/>
      <c r="SD5" s="2"/>
      <c r="SE5" s="2"/>
      <c r="SF5" s="2"/>
      <c r="SG5" s="2"/>
      <c r="SH5" s="2"/>
      <c r="SI5" s="2"/>
      <c r="SJ5" s="2"/>
      <c r="SK5" s="2"/>
      <c r="SL5" s="2"/>
      <c r="SM5" s="2"/>
      <c r="SN5" s="2"/>
      <c r="SO5" s="2"/>
      <c r="SP5" s="2"/>
      <c r="SQ5" s="2"/>
      <c r="SR5" s="2"/>
      <c r="SS5" s="2"/>
      <c r="ST5" s="2"/>
      <c r="SU5" s="2"/>
      <c r="SV5" s="2"/>
      <c r="SW5" s="2"/>
      <c r="SX5" s="2"/>
    </row>
    <row r="6" spans="1:518" x14ac:dyDescent="0.25">
      <c r="A6" s="212"/>
      <c r="B6" s="69" t="s">
        <v>5</v>
      </c>
      <c r="C6" s="12">
        <f>NEG_01_23!AG$3</f>
        <v>93.9</v>
      </c>
      <c r="D6" s="12">
        <f>NEG_01_23!$AG4</f>
        <v>38.499999999999993</v>
      </c>
      <c r="E6" s="12">
        <f>NEG_01_23!$AG5</f>
        <v>96.299999999999983</v>
      </c>
      <c r="F6" s="12">
        <f>NEG_01_23!$AG6</f>
        <v>163.09999999999997</v>
      </c>
      <c r="G6" s="12">
        <f>NEG_01_23!$AG7</f>
        <v>111.90000000000002</v>
      </c>
      <c r="H6" s="12">
        <f>NEG_01_23!$AG8</f>
        <v>264.7</v>
      </c>
      <c r="I6" s="12">
        <f>NEG_01_23!$AG9</f>
        <v>100.99999999999999</v>
      </c>
      <c r="J6" s="12">
        <f>NEG_01_23!$AG10</f>
        <v>224.16000000000003</v>
      </c>
      <c r="K6" s="12">
        <f>NEG_01_23!$AG11</f>
        <v>83.7</v>
      </c>
      <c r="L6" s="12">
        <f>NEG_01_23!$AG12</f>
        <v>288.90000000000003</v>
      </c>
      <c r="M6" s="12">
        <f>NEG_01_23!AG14</f>
        <v>68.02</v>
      </c>
      <c r="N6" s="12">
        <f>NEG_01_23!$AG15</f>
        <v>0</v>
      </c>
      <c r="O6" s="12">
        <f>NEG_01_23!$AG16</f>
        <v>200.00000000000003</v>
      </c>
      <c r="P6" s="12">
        <f>NEG_01_23!$AG17</f>
        <v>0</v>
      </c>
      <c r="Q6" s="12">
        <f>NEG_01_23!$AG18</f>
        <v>68.3</v>
      </c>
      <c r="R6" s="12">
        <f>NEG_01_23!$AG19</f>
        <v>486.39999999999992</v>
      </c>
      <c r="S6" s="12">
        <f>NEG_01_23!$AG20</f>
        <v>0</v>
      </c>
      <c r="T6" s="12">
        <f>NEG_01_23!$AG21</f>
        <v>235.43</v>
      </c>
      <c r="U6" s="12">
        <f>NEG_01_23!$AG22</f>
        <v>92.9</v>
      </c>
      <c r="V6" s="12">
        <f>NEG_01_23!$AG23</f>
        <v>33.9</v>
      </c>
      <c r="W6" s="12">
        <f>NEG_01_23!$AG24</f>
        <v>70.900000000000006</v>
      </c>
      <c r="X6" s="12">
        <f>NEG_01_23!$AG25</f>
        <v>272.60000000000002</v>
      </c>
      <c r="Y6" s="12">
        <f>NEG_01_23!$AG26</f>
        <v>0</v>
      </c>
      <c r="Z6" s="12">
        <f>NEG_01_23!$AG27</f>
        <v>68.199999999999974</v>
      </c>
      <c r="AA6" s="12">
        <f>NEG_01_23!$AG28</f>
        <v>61.9</v>
      </c>
      <c r="AB6" s="12">
        <f>NEG_01_23!$AG29</f>
        <v>0</v>
      </c>
      <c r="AC6" s="12">
        <f>NEG_01_23!$AG30</f>
        <v>457.50000000000011</v>
      </c>
      <c r="AD6" s="12">
        <f>NEG_01_23!$AG31</f>
        <v>0</v>
      </c>
      <c r="AE6" s="12">
        <f>NEG_01_23!$AG32</f>
        <v>968.72</v>
      </c>
      <c r="AF6" s="12">
        <f>NEG_01_23!$AG33</f>
        <v>41.4</v>
      </c>
      <c r="AG6" s="8">
        <f>SUM(C6:AF6)</f>
        <v>4592.33</v>
      </c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  <c r="RA6" s="2"/>
      <c r="RB6" s="2"/>
      <c r="RC6" s="2"/>
      <c r="RD6" s="2"/>
      <c r="RE6" s="2"/>
      <c r="RF6" s="2"/>
      <c r="RG6" s="2"/>
      <c r="RH6" s="2"/>
      <c r="RI6" s="2"/>
      <c r="RJ6" s="2"/>
      <c r="RK6" s="2"/>
      <c r="RL6" s="2"/>
      <c r="RM6" s="2"/>
      <c r="RN6" s="2"/>
      <c r="RO6" s="2"/>
      <c r="RP6" s="2"/>
      <c r="RQ6" s="2"/>
      <c r="RR6" s="2"/>
      <c r="RS6" s="2"/>
      <c r="RT6" s="2"/>
      <c r="RU6" s="2"/>
      <c r="RV6" s="2"/>
      <c r="RW6" s="2"/>
      <c r="RX6" s="2"/>
      <c r="RY6" s="2"/>
      <c r="RZ6" s="2"/>
      <c r="SA6" s="2"/>
      <c r="SB6" s="2"/>
      <c r="SC6" s="2"/>
      <c r="SD6" s="2"/>
      <c r="SE6" s="2"/>
      <c r="SF6" s="2"/>
      <c r="SG6" s="2"/>
      <c r="SH6" s="2"/>
      <c r="SI6" s="2"/>
      <c r="SJ6" s="2"/>
      <c r="SK6" s="2"/>
      <c r="SL6" s="2"/>
      <c r="SM6" s="2"/>
      <c r="SN6" s="2"/>
      <c r="SO6" s="2"/>
      <c r="SP6" s="2"/>
      <c r="SQ6" s="2"/>
      <c r="SR6" s="2"/>
      <c r="SS6" s="2"/>
      <c r="ST6" s="2"/>
      <c r="SU6" s="2"/>
      <c r="SV6" s="2"/>
      <c r="SW6" s="2"/>
      <c r="SX6" s="2"/>
    </row>
    <row r="7" spans="1:518" x14ac:dyDescent="0.25">
      <c r="A7" s="212"/>
      <c r="B7" s="69" t="s">
        <v>6</v>
      </c>
      <c r="C7" s="12"/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8">
        <f>SUM(C7:AE7)</f>
        <v>0</v>
      </c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</row>
    <row r="8" spans="1:518" s="4" customFormat="1" x14ac:dyDescent="0.25">
      <c r="A8" s="207" t="s">
        <v>97</v>
      </c>
      <c r="B8" s="208"/>
      <c r="C8" s="64">
        <f>SUM(C2:C7)</f>
        <v>237</v>
      </c>
      <c r="D8" s="64">
        <f t="shared" ref="D8:AF8" si="0">SUM(D2:D7)</f>
        <v>62.899999999999991</v>
      </c>
      <c r="E8" s="64">
        <f t="shared" si="0"/>
        <v>205.99999999999994</v>
      </c>
      <c r="F8" s="64">
        <f t="shared" si="0"/>
        <v>302.09999999999997</v>
      </c>
      <c r="G8" s="64">
        <f t="shared" si="0"/>
        <v>156.20000000000002</v>
      </c>
      <c r="H8" s="64">
        <f t="shared" si="0"/>
        <v>614.39999999999986</v>
      </c>
      <c r="I8" s="64">
        <f t="shared" si="0"/>
        <v>175.7</v>
      </c>
      <c r="J8" s="64">
        <f t="shared" si="0"/>
        <v>659.7299999999999</v>
      </c>
      <c r="K8" s="64">
        <f t="shared" si="0"/>
        <v>123.2</v>
      </c>
      <c r="L8" s="64">
        <f t="shared" si="0"/>
        <v>435.8</v>
      </c>
      <c r="M8" s="64">
        <f t="shared" si="0"/>
        <v>68.02</v>
      </c>
      <c r="N8" s="64">
        <f t="shared" si="0"/>
        <v>0</v>
      </c>
      <c r="O8" s="64">
        <f t="shared" si="0"/>
        <v>433.80000000000007</v>
      </c>
      <c r="P8" s="64">
        <f t="shared" si="0"/>
        <v>216</v>
      </c>
      <c r="Q8" s="64">
        <f t="shared" si="0"/>
        <v>101.80000000000001</v>
      </c>
      <c r="R8" s="64">
        <f t="shared" si="0"/>
        <v>699.29999999999984</v>
      </c>
      <c r="S8" s="64">
        <f t="shared" si="0"/>
        <v>0</v>
      </c>
      <c r="T8" s="64">
        <f t="shared" si="0"/>
        <v>518.43000000000006</v>
      </c>
      <c r="U8" s="64">
        <f t="shared" si="0"/>
        <v>169.9</v>
      </c>
      <c r="V8" s="64">
        <f t="shared" si="0"/>
        <v>73.800000000000011</v>
      </c>
      <c r="W8" s="64">
        <f t="shared" si="0"/>
        <v>70.900000000000006</v>
      </c>
      <c r="X8" s="64">
        <f t="shared" si="0"/>
        <v>603.70000000000005</v>
      </c>
      <c r="Y8" s="64">
        <f t="shared" si="0"/>
        <v>0</v>
      </c>
      <c r="Z8" s="64">
        <f t="shared" si="0"/>
        <v>104.99999999999997</v>
      </c>
      <c r="AA8" s="64">
        <f t="shared" si="0"/>
        <v>148</v>
      </c>
      <c r="AB8" s="64">
        <f t="shared" si="0"/>
        <v>0</v>
      </c>
      <c r="AC8" s="64">
        <f t="shared" si="0"/>
        <v>790.10000000000014</v>
      </c>
      <c r="AD8" s="64">
        <f t="shared" si="0"/>
        <v>266.5</v>
      </c>
      <c r="AE8" s="64">
        <f t="shared" si="0"/>
        <v>2319.0699999999997</v>
      </c>
      <c r="AF8" s="64">
        <f t="shared" si="0"/>
        <v>72.599999999999994</v>
      </c>
      <c r="AG8" s="8">
        <f t="shared" ref="AG8:AG36" si="1">SUM(C8:AF8)</f>
        <v>9629.9499999999989</v>
      </c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</row>
    <row r="9" spans="1:518" x14ac:dyDescent="0.25">
      <c r="A9" s="212" t="s">
        <v>7</v>
      </c>
      <c r="B9" s="69" t="s">
        <v>8</v>
      </c>
      <c r="C9" s="12">
        <f>'PAP_02_23  '!AG3</f>
        <v>179.89999999999998</v>
      </c>
      <c r="D9" s="12">
        <f>'PAP_02_23  '!$AG$4</f>
        <v>69.500000000000014</v>
      </c>
      <c r="E9" s="12">
        <f>'PAP_02_23  '!$AG$5</f>
        <v>56.8</v>
      </c>
      <c r="F9" s="12">
        <f>'PAP_02_23  '!$AG$6</f>
        <v>0</v>
      </c>
      <c r="G9" s="12">
        <f>'PAP_02_23  '!$AG$7</f>
        <v>0</v>
      </c>
      <c r="H9" s="12">
        <f>'PAP_02_23  '!$AG$8</f>
        <v>44.2</v>
      </c>
      <c r="I9" s="12">
        <f>'PAP_02_23  '!$AG$9</f>
        <v>0</v>
      </c>
      <c r="J9" s="12">
        <f>'PAP_02_23  '!$AG$10</f>
        <v>0</v>
      </c>
      <c r="K9" s="12">
        <f>'PAP_02_23  '!$AG$11</f>
        <v>25.900000000000002</v>
      </c>
      <c r="L9" s="12">
        <f>'PAP_02_23  '!$AG$13</f>
        <v>16.400000000000002</v>
      </c>
      <c r="M9" s="12">
        <f>'PAP_02_23  '!$AG$14</f>
        <v>0</v>
      </c>
      <c r="N9" s="12">
        <f>'PAP_02_23  '!$AG$15</f>
        <v>16.05</v>
      </c>
      <c r="O9" s="12">
        <f>'PAP_02_23  '!$AG$16</f>
        <v>0</v>
      </c>
      <c r="P9" s="12">
        <f>'PAP_02_23  '!$AG$17</f>
        <v>0</v>
      </c>
      <c r="Q9" s="12">
        <f>'PAP_02_23  '!$AG$18</f>
        <v>13.4</v>
      </c>
      <c r="R9" s="12">
        <f>'PAP_02_23  '!$AG$19</f>
        <v>0</v>
      </c>
      <c r="S9" s="12">
        <f>'PAP_02_23  '!$AG$20</f>
        <v>0</v>
      </c>
      <c r="T9" s="12">
        <f>'PAP_02_23  '!$AG$21</f>
        <v>64.599999999999994</v>
      </c>
      <c r="U9" s="12">
        <f>'PAP_02_23  '!$AG$22</f>
        <v>4.4000000000000004</v>
      </c>
      <c r="V9" s="12">
        <f>'PAP_02_23  '!$AG$23</f>
        <v>8</v>
      </c>
      <c r="W9" s="12">
        <f>'PAP_02_23  '!$AG$24</f>
        <v>0</v>
      </c>
      <c r="X9" s="12">
        <f>'PAP_02_23  '!$AG$25</f>
        <v>32.999999999999993</v>
      </c>
      <c r="Y9" s="12">
        <f>'PAP_02_23  '!$AG$26</f>
        <v>0</v>
      </c>
      <c r="Z9" s="12">
        <f>'PAP_02_23  '!$AG$27</f>
        <v>22.099999999999998</v>
      </c>
      <c r="AA9" s="12">
        <f>'PAP_02_23  '!$AG$28</f>
        <v>11.500000000000002</v>
      </c>
      <c r="AB9" s="12">
        <f>'PAP_02_23  '!$AG$29</f>
        <v>2.9000000000000004</v>
      </c>
      <c r="AC9" s="12">
        <f>'PAP_02_23  '!$AG$30</f>
        <v>44.8</v>
      </c>
      <c r="AD9" s="12">
        <f>'PAP_02_23  '!$AG$31</f>
        <v>0</v>
      </c>
      <c r="AE9" s="12">
        <f>'PAP_02_23  '!$AG$32</f>
        <v>84.250000000000014</v>
      </c>
      <c r="AF9" s="12">
        <f>'PAP_02_23  '!$AG$33</f>
        <v>17.899999999999995</v>
      </c>
      <c r="AG9" s="8">
        <f t="shared" si="1"/>
        <v>715.5999999999998</v>
      </c>
      <c r="AH9" s="2"/>
      <c r="AI9" s="2">
        <f>+AG9+AG10+AG11</f>
        <v>2989.56</v>
      </c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</row>
    <row r="10" spans="1:518" x14ac:dyDescent="0.25">
      <c r="A10" s="212"/>
      <c r="B10" s="69" t="s">
        <v>9</v>
      </c>
      <c r="C10" s="12">
        <f>PLA_02_23!$AG$3</f>
        <v>0</v>
      </c>
      <c r="D10" s="12">
        <f>PLA_02_23!$AG$4</f>
        <v>0</v>
      </c>
      <c r="E10" s="12">
        <f>PLA_02_23!$AG$5</f>
        <v>5.0000000000000009</v>
      </c>
      <c r="F10" s="12">
        <f>PLA_02_23!$AG$6</f>
        <v>0</v>
      </c>
      <c r="G10" s="12">
        <f>PLA_02_23!$AG$7</f>
        <v>0</v>
      </c>
      <c r="H10" s="12">
        <f>PLA_02_23!$AG$8</f>
        <v>157.74</v>
      </c>
      <c r="I10" s="12">
        <f>PLA_02_23!$AG$9</f>
        <v>0</v>
      </c>
      <c r="J10" s="12">
        <f>PLA_02_23!$AG$10</f>
        <v>177.62</v>
      </c>
      <c r="K10" s="12">
        <f>PLA_02_23!$AG$11</f>
        <v>0</v>
      </c>
      <c r="L10" s="12">
        <f>PLA_02_23!$AG$12</f>
        <v>36.200000000000003</v>
      </c>
      <c r="M10" s="12">
        <f>PLA_02_23!$AG$13</f>
        <v>0</v>
      </c>
      <c r="N10" s="12">
        <f>PLA_02_23!$AG$14</f>
        <v>17.599999999999998</v>
      </c>
      <c r="O10" s="12">
        <f>PLA_02_23!$AG$15</f>
        <v>0</v>
      </c>
      <c r="P10" s="12">
        <f>PLA_02_23!$AG$16</f>
        <v>0</v>
      </c>
      <c r="Q10" s="12">
        <f>PLA_02_23!$AG$17</f>
        <v>1.6</v>
      </c>
      <c r="R10" s="12">
        <f>PLA_02_23!$AG$18</f>
        <v>0</v>
      </c>
      <c r="S10" s="12">
        <f>PLA_02_23!$AG$19</f>
        <v>0</v>
      </c>
      <c r="T10" s="12">
        <f>PLA_02_23!$AG$20</f>
        <v>75.499999999999986</v>
      </c>
      <c r="U10" s="12">
        <f>PLA_02_23!$AG$21</f>
        <v>15.800000000000002</v>
      </c>
      <c r="V10" s="12">
        <f>PLA_02_23!$AG$22</f>
        <v>1</v>
      </c>
      <c r="W10" s="12">
        <f>PLA_02_23!$AG$23</f>
        <v>0</v>
      </c>
      <c r="X10" s="12">
        <f>PLA_02_23!$AG$24</f>
        <v>0</v>
      </c>
      <c r="Y10" s="12">
        <f>PLA_02_23!$AG$25</f>
        <v>0</v>
      </c>
      <c r="Z10" s="12">
        <f>PLA_02_23!$AG$26</f>
        <v>0</v>
      </c>
      <c r="AA10" s="12">
        <f>PLA_02_23!$AG$27</f>
        <v>0</v>
      </c>
      <c r="AB10" s="12">
        <f>PLA_02_23!$AG$28</f>
        <v>0</v>
      </c>
      <c r="AC10" s="12">
        <f>PLA_02_23!$AG$29</f>
        <v>107.49999999999999</v>
      </c>
      <c r="AD10" s="12">
        <f>PLA_02_23!$AG$30</f>
        <v>0</v>
      </c>
      <c r="AE10" s="12">
        <f>PLA_02_23!$AG$31</f>
        <v>77.849999999999994</v>
      </c>
      <c r="AF10" s="12">
        <f>PLA_02_23!$AG$32</f>
        <v>14.299999999999999</v>
      </c>
      <c r="AG10" s="8">
        <f t="shared" si="1"/>
        <v>687.71</v>
      </c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</row>
    <row r="11" spans="1:518" x14ac:dyDescent="0.25">
      <c r="A11" s="212"/>
      <c r="B11" s="69" t="s">
        <v>10</v>
      </c>
      <c r="C11" s="12">
        <f>GRI_02_23!$AG$3</f>
        <v>105.19999999999999</v>
      </c>
      <c r="D11" s="12">
        <f>GRI_02_23!$AG$4</f>
        <v>33.4</v>
      </c>
      <c r="E11" s="12">
        <f>GRI_02_23!$AG$5</f>
        <v>84.499999999999986</v>
      </c>
      <c r="F11" s="12">
        <f>GRI_02_23!$AG$6</f>
        <v>0</v>
      </c>
      <c r="G11" s="12">
        <f>GRI_02_23!$AG$7</f>
        <v>43.6</v>
      </c>
      <c r="H11" s="12">
        <f>GRI_02_23!$AG$8</f>
        <v>105.90000000000002</v>
      </c>
      <c r="I11" s="12">
        <f>GRI_02_23!$AG$9</f>
        <v>0</v>
      </c>
      <c r="J11" s="12">
        <f>GRI_02_23!$AG$10</f>
        <v>222.47000000000003</v>
      </c>
      <c r="K11" s="12">
        <f>GRI_02_23!$AG$11</f>
        <v>7.0999999999999988</v>
      </c>
      <c r="L11" s="12">
        <f>GRI_02_23!$AG$12</f>
        <v>51.199999999999996</v>
      </c>
      <c r="M11" s="12">
        <f>GRI_02_23!$AG$13</f>
        <v>18.200000000000003</v>
      </c>
      <c r="N11" s="12">
        <f>GRI_02_23!$AG$14</f>
        <v>49.649999999999991</v>
      </c>
      <c r="O11" s="12">
        <f>GRI_02_23!$AG$15</f>
        <v>0</v>
      </c>
      <c r="P11" s="12">
        <f>GRI_02_23!$AG$16</f>
        <v>0</v>
      </c>
      <c r="Q11" s="12">
        <f>GRI_02_23!$AG$17</f>
        <v>22.700000000000003</v>
      </c>
      <c r="R11" s="12">
        <f>GRI_02_23!$AG$18</f>
        <v>0</v>
      </c>
      <c r="S11" s="12">
        <f>GRI_02_23!$AG$19</f>
        <v>63.300000000000011</v>
      </c>
      <c r="T11" s="12">
        <f>GRI_02_23!$AG$20</f>
        <v>0</v>
      </c>
      <c r="U11" s="12">
        <f>GRI_02_23!$AG$21</f>
        <v>44.8</v>
      </c>
      <c r="V11" s="12">
        <f>GRI_02_23!$AG$22</f>
        <v>31.300000000000004</v>
      </c>
      <c r="W11" s="12">
        <f>GRI_02_23!$AG$23</f>
        <v>40.1</v>
      </c>
      <c r="X11" s="12">
        <f>GRI_02_23!$AG$24</f>
        <v>21.799999999999994</v>
      </c>
      <c r="Y11" s="12">
        <f>GRI_02_23!$AG$25</f>
        <v>0</v>
      </c>
      <c r="Z11" s="12">
        <f>GRI_02_23!$AG$26</f>
        <v>142.70000000000002</v>
      </c>
      <c r="AA11" s="12">
        <f>GRI_02_23!$AG$27</f>
        <v>0</v>
      </c>
      <c r="AB11" s="12">
        <f>GRI_02_23!$AG$28</f>
        <v>30.1</v>
      </c>
      <c r="AC11" s="12">
        <f>GRI_02_23!$AG$29</f>
        <v>39.099999999999994</v>
      </c>
      <c r="AD11" s="12">
        <f>GRI_02_23!$AG$30</f>
        <v>26.650000000000002</v>
      </c>
      <c r="AE11" s="12">
        <f>GRI_02_23!$AG$31</f>
        <v>402.48000000000013</v>
      </c>
      <c r="AF11" s="12">
        <f>GRI_02_23!$AG$32</f>
        <v>0</v>
      </c>
      <c r="AG11" s="8">
        <f t="shared" si="1"/>
        <v>1586.25</v>
      </c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</row>
    <row r="12" spans="1:518" x14ac:dyDescent="0.25">
      <c r="A12" s="212"/>
      <c r="B12" s="69" t="s">
        <v>11</v>
      </c>
      <c r="C12" s="12">
        <f>'VER_02_23 '!$AG$3</f>
        <v>0</v>
      </c>
      <c r="D12" s="12">
        <f>'VER_02_23 '!$AG$4</f>
        <v>0</v>
      </c>
      <c r="E12" s="12">
        <f>'VER_02_23 '!$AG$5</f>
        <v>0</v>
      </c>
      <c r="F12" s="12">
        <f>'VER_02_23 '!$AG$6</f>
        <v>150</v>
      </c>
      <c r="G12" s="12">
        <f>'VER_02_23 '!$AG$7</f>
        <v>0</v>
      </c>
      <c r="H12" s="12">
        <f>'VER_02_23 '!$AG$8</f>
        <v>0</v>
      </c>
      <c r="I12" s="12">
        <f>'VER_02_23 '!$AG$9</f>
        <v>0</v>
      </c>
      <c r="J12" s="12">
        <f>'VER_02_23 '!$AG$10</f>
        <v>0</v>
      </c>
      <c r="K12" s="12">
        <f>'VER_02_23 '!$AG$11</f>
        <v>0</v>
      </c>
      <c r="L12" s="12">
        <f>'VER_02_23 '!$AG$12</f>
        <v>0</v>
      </c>
      <c r="M12" s="12">
        <f>'VER_02_23 '!$AG$13</f>
        <v>0</v>
      </c>
      <c r="N12" s="12">
        <f>'VER_02_23 '!$AG$14</f>
        <v>0</v>
      </c>
      <c r="O12" s="12">
        <f>'VER_02_23 '!$AG$15</f>
        <v>0</v>
      </c>
      <c r="P12" s="12">
        <f>'VER_02_23 '!$AG$16</f>
        <v>219.00000000000003</v>
      </c>
      <c r="Q12" s="12">
        <f>'VER_02_23 '!$AG$17</f>
        <v>0</v>
      </c>
      <c r="R12" s="12">
        <f>'VER_02_23 '!$AG$18</f>
        <v>0</v>
      </c>
      <c r="S12" s="12">
        <f>'VER_02_23 '!$AG$19</f>
        <v>0</v>
      </c>
      <c r="T12" s="12">
        <f>'VER_02_23 '!$AG$20</f>
        <v>0</v>
      </c>
      <c r="U12" s="12">
        <f>'VER_02_23 '!$AG$21</f>
        <v>0</v>
      </c>
      <c r="V12" s="12">
        <f>'VER_02_23 '!$AG$22</f>
        <v>0</v>
      </c>
      <c r="W12" s="12">
        <f>'VER_02_23 '!$AG$23</f>
        <v>0</v>
      </c>
      <c r="X12" s="12">
        <f>'VER_02_23 '!$AG$24</f>
        <v>0</v>
      </c>
      <c r="Y12" s="12">
        <f>'VER_02_23 '!$AG$25</f>
        <v>0</v>
      </c>
      <c r="Z12" s="12">
        <f>'VER_02_23 '!$AG$26</f>
        <v>0</v>
      </c>
      <c r="AA12" s="12">
        <f>'VER_02_23 '!$AG$27</f>
        <v>0</v>
      </c>
      <c r="AB12" s="12">
        <f>'VER_02_23 '!$AG$28</f>
        <v>0</v>
      </c>
      <c r="AC12" s="12">
        <f>'VER_02_23 '!$AG$29</f>
        <v>0</v>
      </c>
      <c r="AD12" s="12">
        <f>'VER_02_23 '!$AG$30</f>
        <v>0</v>
      </c>
      <c r="AE12" s="12">
        <f>'VER_02_23 '!$AG$31</f>
        <v>0</v>
      </c>
      <c r="AF12" s="12">
        <f>'VER_02_23 '!$AG$32</f>
        <v>231.70000000000002</v>
      </c>
      <c r="AG12" s="8">
        <f t="shared" si="1"/>
        <v>600.70000000000005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</row>
    <row r="13" spans="1:518" x14ac:dyDescent="0.25">
      <c r="A13" s="212"/>
      <c r="B13" s="69" t="s">
        <v>12</v>
      </c>
      <c r="C13" s="12">
        <f>NEG_02_23!AG$3</f>
        <v>275.5</v>
      </c>
      <c r="D13" s="170">
        <f>NEG_02_23!AG$4</f>
        <v>86.8</v>
      </c>
      <c r="E13" s="12">
        <f>NEG_02_23!AG$5</f>
        <v>89.600000000000009</v>
      </c>
      <c r="F13" s="12">
        <f>NEG_02_23!AG$6</f>
        <v>0</v>
      </c>
      <c r="G13" s="12">
        <f>NEG_02_23!AG$7</f>
        <v>102.00000000000001</v>
      </c>
      <c r="H13" s="12">
        <f>NEG_02_23!AG$8</f>
        <v>196.09999999999997</v>
      </c>
      <c r="I13" s="12">
        <f>NEG_02_23!AG$9</f>
        <v>0</v>
      </c>
      <c r="J13" s="12">
        <f>NEG_02_23!AG$10</f>
        <v>385.25</v>
      </c>
      <c r="K13" s="12">
        <f>NEG_02_23!AG$11</f>
        <v>66.199999999999989</v>
      </c>
      <c r="L13" s="12">
        <f>NEG_02_23!AG$12</f>
        <v>207.50000000000003</v>
      </c>
      <c r="M13" s="12">
        <f>NEG_02_23!AG$13</f>
        <v>66.799999999999983</v>
      </c>
      <c r="N13" s="12">
        <f>NEG_02_23!AR$3</f>
        <v>0</v>
      </c>
      <c r="O13" s="12">
        <f>NEG_02_23!AG$16</f>
        <v>0</v>
      </c>
      <c r="P13" s="12">
        <f>NEG_02_23!AG$17</f>
        <v>0</v>
      </c>
      <c r="Q13" s="12">
        <f>NEG_02_23!AG$18</f>
        <v>60.7</v>
      </c>
      <c r="R13" s="12">
        <f>NEG_02_23!AG$19</f>
        <v>0</v>
      </c>
      <c r="S13" s="12">
        <f>NEG_02_23!AG$20</f>
        <v>395.09999999999997</v>
      </c>
      <c r="T13" s="12">
        <f>NEG_02_23!AG$21</f>
        <v>227.4</v>
      </c>
      <c r="U13" s="12">
        <f>NEG_02_23!AG$22</f>
        <v>103.45</v>
      </c>
      <c r="V13" s="12">
        <f>NEG_02_23!AG$23</f>
        <v>45.4</v>
      </c>
      <c r="W13" s="12">
        <f>NEG_02_23!AG$24</f>
        <v>40.600000000000009</v>
      </c>
      <c r="X13" s="12">
        <f>NEG_02_23!AG$25</f>
        <v>229.29999999999998</v>
      </c>
      <c r="Y13" s="12">
        <f>NEG_02_23!AG$26</f>
        <v>0</v>
      </c>
      <c r="Z13" s="12">
        <f>NEG_02_23!AG$27</f>
        <v>65.499999999999986</v>
      </c>
      <c r="AA13" s="12">
        <f>NEG_02_23!AG$28</f>
        <v>58.000000000000007</v>
      </c>
      <c r="AB13" s="12">
        <f>NEG_02_23!AG$29</f>
        <v>47.249999999999986</v>
      </c>
      <c r="AC13" s="12">
        <f>NEG_02_23!AG$30</f>
        <v>599.09999999999991</v>
      </c>
      <c r="AD13" s="12">
        <f>NEG_02_23!AG$31</f>
        <v>0</v>
      </c>
      <c r="AE13" s="12">
        <f>NEG_02_23!AG$32</f>
        <v>695.13000000000011</v>
      </c>
      <c r="AF13" s="12">
        <f>NEG_02_23!AG$33</f>
        <v>41.999999999999993</v>
      </c>
      <c r="AG13" s="8">
        <f t="shared" si="1"/>
        <v>4084.68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</row>
    <row r="14" spans="1:518" x14ac:dyDescent="0.25">
      <c r="A14" s="212"/>
      <c r="B14" s="69" t="s">
        <v>13</v>
      </c>
      <c r="C14" s="12"/>
      <c r="D14" s="3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9"/>
      <c r="Z14" s="9"/>
      <c r="AA14" s="9"/>
      <c r="AB14" s="9"/>
      <c r="AC14" s="9"/>
      <c r="AD14" s="9"/>
      <c r="AE14" s="9"/>
      <c r="AF14" s="9"/>
      <c r="AG14" s="8">
        <f t="shared" si="1"/>
        <v>0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</row>
    <row r="15" spans="1:518" s="4" customFormat="1" x14ac:dyDescent="0.25">
      <c r="A15" s="207" t="s">
        <v>97</v>
      </c>
      <c r="B15" s="208"/>
      <c r="C15" s="64">
        <f>SUM(C9:C14)</f>
        <v>560.59999999999991</v>
      </c>
      <c r="D15" s="64">
        <f t="shared" ref="D15:AF15" si="2">SUM(D9:D14)</f>
        <v>189.7</v>
      </c>
      <c r="E15" s="64">
        <f t="shared" si="2"/>
        <v>235.89999999999998</v>
      </c>
      <c r="F15" s="64">
        <f t="shared" si="2"/>
        <v>150</v>
      </c>
      <c r="G15" s="64">
        <f t="shared" si="2"/>
        <v>145.60000000000002</v>
      </c>
      <c r="H15" s="64">
        <f t="shared" si="2"/>
        <v>503.94</v>
      </c>
      <c r="I15" s="64">
        <f t="shared" si="2"/>
        <v>0</v>
      </c>
      <c r="J15" s="64">
        <f t="shared" si="2"/>
        <v>785.34</v>
      </c>
      <c r="K15" s="64">
        <f t="shared" si="2"/>
        <v>99.199999999999989</v>
      </c>
      <c r="L15" s="64">
        <f t="shared" si="2"/>
        <v>311.30000000000007</v>
      </c>
      <c r="M15" s="64">
        <f t="shared" si="2"/>
        <v>84.999999999999986</v>
      </c>
      <c r="N15" s="64">
        <f t="shared" si="2"/>
        <v>83.299999999999983</v>
      </c>
      <c r="O15" s="64">
        <f t="shared" si="2"/>
        <v>0</v>
      </c>
      <c r="P15" s="64">
        <f t="shared" si="2"/>
        <v>219.00000000000003</v>
      </c>
      <c r="Q15" s="64">
        <f t="shared" si="2"/>
        <v>98.4</v>
      </c>
      <c r="R15" s="64">
        <f t="shared" si="2"/>
        <v>0</v>
      </c>
      <c r="S15" s="64">
        <f t="shared" si="2"/>
        <v>458.4</v>
      </c>
      <c r="T15" s="64">
        <f t="shared" si="2"/>
        <v>367.5</v>
      </c>
      <c r="U15" s="64">
        <f t="shared" si="2"/>
        <v>168.45</v>
      </c>
      <c r="V15" s="64">
        <f t="shared" si="2"/>
        <v>85.7</v>
      </c>
      <c r="W15" s="64">
        <f t="shared" si="2"/>
        <v>80.700000000000017</v>
      </c>
      <c r="X15" s="64">
        <f t="shared" si="2"/>
        <v>284.09999999999997</v>
      </c>
      <c r="Y15" s="64">
        <f t="shared" si="2"/>
        <v>0</v>
      </c>
      <c r="Z15" s="64">
        <f t="shared" si="2"/>
        <v>230.3</v>
      </c>
      <c r="AA15" s="64">
        <f t="shared" si="2"/>
        <v>69.500000000000014</v>
      </c>
      <c r="AB15" s="64">
        <f t="shared" si="2"/>
        <v>80.249999999999986</v>
      </c>
      <c r="AC15" s="64">
        <f t="shared" si="2"/>
        <v>790.49999999999989</v>
      </c>
      <c r="AD15" s="64">
        <f t="shared" si="2"/>
        <v>26.650000000000002</v>
      </c>
      <c r="AE15" s="64">
        <f t="shared" si="2"/>
        <v>1259.7100000000003</v>
      </c>
      <c r="AF15" s="64">
        <f t="shared" si="2"/>
        <v>305.90000000000003</v>
      </c>
      <c r="AG15" s="8">
        <f t="shared" si="1"/>
        <v>7674.94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</row>
    <row r="16" spans="1:518" x14ac:dyDescent="0.25">
      <c r="A16" s="212" t="s">
        <v>14</v>
      </c>
      <c r="B16" s="69" t="s">
        <v>15</v>
      </c>
      <c r="C16" s="12">
        <f>'PAP_03_23  '!$AG$3</f>
        <v>101.7</v>
      </c>
      <c r="D16" s="12">
        <f>'PAP_03_23  '!$AG$4</f>
        <v>0</v>
      </c>
      <c r="E16" s="12">
        <f>'PAP_03_23  '!$AG$5</f>
        <v>70.3</v>
      </c>
      <c r="F16" s="12">
        <f>'PAP_03_23  '!$AG$6</f>
        <v>0</v>
      </c>
      <c r="G16" s="12">
        <f>'PAP_03_23  '!$AG$7</f>
        <v>0</v>
      </c>
      <c r="H16" s="12">
        <f>'PAP_03_23  '!$AG$8</f>
        <v>57.7</v>
      </c>
      <c r="I16" s="12">
        <f>'PAP_03_23  '!$AG$9</f>
        <v>0</v>
      </c>
      <c r="J16" s="12">
        <f>'PAP_03_23  '!$AG$10</f>
        <v>142.31100000000001</v>
      </c>
      <c r="K16" s="12">
        <f>'PAP_03_23  '!$AG$11</f>
        <v>7.3</v>
      </c>
      <c r="L16" s="12">
        <f>'PAP_03_23  '!$AG$12</f>
        <v>12.2</v>
      </c>
      <c r="M16" s="12">
        <f>'PAP_03_23  '!$AG$13</f>
        <v>0</v>
      </c>
      <c r="N16" s="12">
        <f>'PAP_03_23  '!$AG$14</f>
        <v>9.6</v>
      </c>
      <c r="O16" s="12">
        <f>'PAP_03_23  '!$AG$15</f>
        <v>0</v>
      </c>
      <c r="P16" s="12">
        <f>'PAP_03_23  '!$AG$16</f>
        <v>0</v>
      </c>
      <c r="Q16" s="12">
        <f>'PAP_03_23  '!$AG$17</f>
        <v>2</v>
      </c>
      <c r="R16" s="12">
        <f>'PAP_03_23  '!$AG$18</f>
        <v>0</v>
      </c>
      <c r="S16" s="12">
        <f>'PAP_03_23  '!$AG$19</f>
        <v>0</v>
      </c>
      <c r="T16" s="12">
        <f>'PAP_03_23  '!$AG$20</f>
        <v>29.7</v>
      </c>
      <c r="U16" s="12">
        <f>'PAP_03_23  '!$AG$21</f>
        <v>7.6</v>
      </c>
      <c r="V16" s="12">
        <f>'PAP_03_23  '!$AG$22</f>
        <v>18</v>
      </c>
      <c r="W16" s="12">
        <f>'PAP_03_23  '!$AG$23</f>
        <v>0</v>
      </c>
      <c r="X16" s="12">
        <f>'PAP_03_23  '!$AG$24</f>
        <v>42.2</v>
      </c>
      <c r="Y16" s="12">
        <f>'PAP_03_23  '!$AG$25</f>
        <v>0</v>
      </c>
      <c r="Z16" s="12">
        <f>'PAP_03_23  '!$AG$26</f>
        <v>25.400000000000002</v>
      </c>
      <c r="AA16" s="12">
        <f>'PAP_03_23  '!$AG$27</f>
        <v>31.000000000000007</v>
      </c>
      <c r="AB16" s="12">
        <f>'PAP_03_23  '!$AG$28</f>
        <v>3.2000000000000006</v>
      </c>
      <c r="AC16" s="12">
        <f>'PAP_03_23  '!$AG$29</f>
        <v>25.6</v>
      </c>
      <c r="AD16" s="12">
        <f>'PAP_03_23  '!$AG$30</f>
        <v>0</v>
      </c>
      <c r="AE16" s="12">
        <f>'PAP_03_23  '!$AG$31</f>
        <v>83.1</v>
      </c>
      <c r="AF16" s="12">
        <f>'PAP_03_23  '!$AG$32</f>
        <v>0</v>
      </c>
      <c r="AG16" s="8">
        <f t="shared" si="1"/>
        <v>668.91100000000006</v>
      </c>
      <c r="AH16" s="2"/>
      <c r="AI16" s="2">
        <f>+AG16+AG17+AG18</f>
        <v>4327.5309999999999</v>
      </c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</row>
    <row r="17" spans="1:518" x14ac:dyDescent="0.25">
      <c r="A17" s="212"/>
      <c r="B17" s="69" t="s">
        <v>16</v>
      </c>
      <c r="C17" s="12">
        <f>'PLA_03_23  '!$AG$3</f>
        <v>57.24</v>
      </c>
      <c r="D17" s="12">
        <f>'PLA_03_23  '!$AG$4</f>
        <v>0</v>
      </c>
      <c r="E17" s="12">
        <f>'PLA_03_23  '!$AG$5</f>
        <v>0</v>
      </c>
      <c r="F17" s="12">
        <f>'PLA_03_23  '!$AG$6</f>
        <v>0</v>
      </c>
      <c r="G17" s="12">
        <f>'PLA_03_23  '!$AG$7</f>
        <v>0</v>
      </c>
      <c r="H17" s="12">
        <f>'PLA_03_23  '!$AG$8</f>
        <v>23</v>
      </c>
      <c r="I17" s="12">
        <f>'PLA_03_23  '!$AG$9</f>
        <v>0</v>
      </c>
      <c r="J17" s="12">
        <f>'PLA_03_23  '!$AG$10</f>
        <v>247.80000000000004</v>
      </c>
      <c r="K17" s="12">
        <f>'PLA_03_23  '!$AG$11</f>
        <v>0</v>
      </c>
      <c r="L17" s="12">
        <f>'PLA_03_23  '!$AG$12</f>
        <v>49.499999999999986</v>
      </c>
      <c r="M17" s="12">
        <f>'PLA_03_23  '!$AG$13</f>
        <v>0</v>
      </c>
      <c r="N17" s="12">
        <f>'PLA_03_23  '!$AG$14</f>
        <v>62.1</v>
      </c>
      <c r="O17" s="12">
        <f>'PLA_03_23  '!$AG$15</f>
        <v>0</v>
      </c>
      <c r="P17" s="12">
        <f>'PLA_03_23  '!$AG$16</f>
        <v>0</v>
      </c>
      <c r="Q17" s="12">
        <f>'PLA_03_23  '!$AG$17</f>
        <v>3</v>
      </c>
      <c r="R17" s="12">
        <f>'PLA_03_23  '!$AG$18</f>
        <v>0</v>
      </c>
      <c r="S17" s="12">
        <f>'PLA_03_23  '!$AG$19</f>
        <v>0</v>
      </c>
      <c r="T17" s="12">
        <f>'PLA_03_23  '!$AG$20</f>
        <v>116.4</v>
      </c>
      <c r="U17" s="12">
        <f>'PLA_03_23  '!$AG$21</f>
        <v>11.7</v>
      </c>
      <c r="V17" s="12">
        <f>'PLA_03_23  '!$AG$22</f>
        <v>11.1</v>
      </c>
      <c r="W17" s="12">
        <f>'PLA_03_23  '!$AG$23</f>
        <v>0</v>
      </c>
      <c r="X17" s="12">
        <f>'PLA_03_23  '!$AG$24</f>
        <v>86.4</v>
      </c>
      <c r="Y17" s="12">
        <f>'PLA_03_23  '!$AG$25</f>
        <v>0</v>
      </c>
      <c r="Z17" s="12">
        <f>'PLA_03_23  '!$AG$26</f>
        <v>0</v>
      </c>
      <c r="AA17" s="12">
        <f>'PLA_03_23  '!$AG$27</f>
        <v>0</v>
      </c>
      <c r="AB17" s="12">
        <f>'PLA_03_23  '!$AG$28</f>
        <v>0</v>
      </c>
      <c r="AC17" s="12">
        <f>'PLA_03_23  '!$AG$29</f>
        <v>70.899999999999991</v>
      </c>
      <c r="AD17" s="12">
        <f>'PLA_03_23  '!$AG$30</f>
        <v>0</v>
      </c>
      <c r="AE17" s="12">
        <f>'PLA_03_23  '!$AG$31</f>
        <v>591.52</v>
      </c>
      <c r="AF17" s="12">
        <f>'PLA_03_23  '!$AG$32</f>
        <v>0</v>
      </c>
      <c r="AG17" s="8">
        <f t="shared" si="1"/>
        <v>1330.66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</row>
    <row r="18" spans="1:518" x14ac:dyDescent="0.25">
      <c r="A18" s="212"/>
      <c r="B18" s="69" t="s">
        <v>17</v>
      </c>
      <c r="C18" s="12">
        <f>GRI_03_23!$AG$3</f>
        <v>0</v>
      </c>
      <c r="D18" s="12">
        <f>GRI_03_23!$AG$4</f>
        <v>107.4</v>
      </c>
      <c r="E18" s="12">
        <f>GRI_03_23!$AG$5</f>
        <v>87.5</v>
      </c>
      <c r="F18" s="12">
        <f>GRI_03_23!$AG$6</f>
        <v>0</v>
      </c>
      <c r="G18" s="12">
        <f>GRI_03_23!$AG$7</f>
        <v>46.5</v>
      </c>
      <c r="H18" s="12">
        <f>GRI_03_23!$AG$8</f>
        <v>133.70000000000002</v>
      </c>
      <c r="I18" s="12">
        <f>GRI_03_23!$AG$9</f>
        <v>119.5</v>
      </c>
      <c r="J18" s="12">
        <f>GRI_03_23!$AG$10</f>
        <v>242.01</v>
      </c>
      <c r="K18" s="12">
        <f>GRI_03_23!$AG$11</f>
        <v>6.9999999999999991</v>
      </c>
      <c r="L18" s="12">
        <f>GRI_03_23!$AG$13</f>
        <v>50</v>
      </c>
      <c r="M18" s="12">
        <f>GRI_03_23!$AG$15</f>
        <v>17.7</v>
      </c>
      <c r="N18" s="12">
        <f>GRI_03_23!$AG$16</f>
        <v>0</v>
      </c>
      <c r="O18" s="12">
        <f>GRI_03_23!$AG$17</f>
        <v>0</v>
      </c>
      <c r="P18" s="12">
        <f>GRI_03_23!$AG$18</f>
        <v>0</v>
      </c>
      <c r="Q18" s="12">
        <f>GRI_03_23!$AG$19</f>
        <v>31.499999999999993</v>
      </c>
      <c r="R18" s="12">
        <f>GRI_03_23!$AG$20</f>
        <v>84.399999999999977</v>
      </c>
      <c r="S18" s="12">
        <f>GRI_03_23!$AG$21</f>
        <v>0</v>
      </c>
      <c r="T18" s="12">
        <f>GRI_03_23!$AG$22</f>
        <v>136.10000000000002</v>
      </c>
      <c r="U18" s="12">
        <f>GRI_03_23!$AG$23</f>
        <v>68.200000000000017</v>
      </c>
      <c r="V18" s="12">
        <f>GRI_03_23!$AG$24</f>
        <v>26.000000000000004</v>
      </c>
      <c r="W18" s="12">
        <f>GRI_03_23!$AG$25</f>
        <v>0</v>
      </c>
      <c r="X18" s="12">
        <f>GRI_03_23!$AG$26</f>
        <v>202.90000000000003</v>
      </c>
      <c r="Y18" s="12">
        <f>GRI_03_23!$AG$27</f>
        <v>0</v>
      </c>
      <c r="Z18" s="12">
        <f>GRI_03_23!$AG$28</f>
        <v>36.700000000000003</v>
      </c>
      <c r="AA18" s="12">
        <f>GRI_03_23!$AG$29</f>
        <v>0</v>
      </c>
      <c r="AB18" s="12">
        <f>GRI_03_23!$AG$30</f>
        <v>37.299999999999997</v>
      </c>
      <c r="AC18" s="12">
        <f>GRI_03_23!$AG$31</f>
        <v>381.09999999999997</v>
      </c>
      <c r="AD18" s="12">
        <f>GRI_03_23!$AG$32</f>
        <v>0</v>
      </c>
      <c r="AE18" s="12">
        <f>GRI_03_23!$AG$33</f>
        <v>493.34999999999997</v>
      </c>
      <c r="AF18" s="12">
        <f>GRI_03_23!$AG$34</f>
        <v>19.100000000000005</v>
      </c>
      <c r="AG18" s="8">
        <f t="shared" si="1"/>
        <v>2327.96</v>
      </c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</row>
    <row r="19" spans="1:518" x14ac:dyDescent="0.25">
      <c r="A19" s="212"/>
      <c r="B19" s="69" t="s">
        <v>18</v>
      </c>
      <c r="C19" s="12">
        <f>'VER_03_23 '!$AG$3</f>
        <v>0</v>
      </c>
      <c r="D19" s="12">
        <f>'VER_03_23 '!$AG$4</f>
        <v>0</v>
      </c>
      <c r="E19" s="12">
        <f>'VER_03_23 '!$AG$5</f>
        <v>0</v>
      </c>
      <c r="F19" s="12">
        <f>'VER_03_23 '!$AG$6</f>
        <v>156.5</v>
      </c>
      <c r="G19" s="12">
        <f>'VER_03_23 '!$AG$7</f>
        <v>0</v>
      </c>
      <c r="H19" s="12">
        <f>'VER_03_23 '!$AG$8</f>
        <v>0</v>
      </c>
      <c r="I19" s="12">
        <f>'VER_03_23 '!$AG$9</f>
        <v>0</v>
      </c>
      <c r="J19" s="12">
        <f>'VER_03_23 '!$AG$10</f>
        <v>0</v>
      </c>
      <c r="K19" s="12">
        <f>'VER_03_23 '!$AG$11</f>
        <v>0</v>
      </c>
      <c r="L19" s="12">
        <f>'VER_03_23 '!$AG$12</f>
        <v>0</v>
      </c>
      <c r="M19" s="12">
        <f>'VER_03_23 '!$AG$13</f>
        <v>0</v>
      </c>
      <c r="N19" s="12">
        <f>'VER_03_23 '!$AG$14</f>
        <v>0</v>
      </c>
      <c r="O19" s="12">
        <f>'VER_03_23 '!$AG$15</f>
        <v>0</v>
      </c>
      <c r="P19" s="12">
        <f>'VER_03_23 '!$AG$16</f>
        <v>213.90000000000006</v>
      </c>
      <c r="Q19" s="12">
        <f>'VER_03_23 '!$AG$17</f>
        <v>0</v>
      </c>
      <c r="R19" s="12">
        <f>'VER_03_23 '!$AG$18</f>
        <v>0</v>
      </c>
      <c r="S19" s="12">
        <f>'VER_03_23 '!$AG$19</f>
        <v>0</v>
      </c>
      <c r="T19" s="12">
        <f>'VER_03_23 '!$AG$21+'VER_03_23 '!$AG$22</f>
        <v>0</v>
      </c>
      <c r="U19" s="12">
        <f>'VER_03_23 '!$AG$23</f>
        <v>0</v>
      </c>
      <c r="V19" s="12">
        <f>'VER_03_23 '!$AG$24</f>
        <v>0</v>
      </c>
      <c r="W19" s="12">
        <f>'VER_03_23 '!$AG$25</f>
        <v>0</v>
      </c>
      <c r="X19" s="12">
        <f>'VER_03_23 '!$AG$26</f>
        <v>0</v>
      </c>
      <c r="Y19" s="12">
        <f>'VER_03_23 '!$AG$27</f>
        <v>0</v>
      </c>
      <c r="Z19" s="12">
        <f>'VER_03_23 '!$AG$28</f>
        <v>0</v>
      </c>
      <c r="AA19" s="12">
        <f>'VER_03_23 '!$AG$29</f>
        <v>0</v>
      </c>
      <c r="AB19" s="12">
        <f>'VER_03_23 '!$AG$30</f>
        <v>0</v>
      </c>
      <c r="AC19" s="12">
        <f>'VER_03_23 '!$AG$31</f>
        <v>0</v>
      </c>
      <c r="AD19" s="12">
        <f>'VER_03_23 '!$AG$32</f>
        <v>240.7</v>
      </c>
      <c r="AE19" s="12">
        <f>'VER_03_23 '!$AG$33</f>
        <v>0</v>
      </c>
      <c r="AF19" s="12">
        <f>'VER_03_23 '!$AG$34</f>
        <v>0</v>
      </c>
      <c r="AG19" s="8">
        <f t="shared" si="1"/>
        <v>611.10000000000014</v>
      </c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</row>
    <row r="20" spans="1:518" x14ac:dyDescent="0.25">
      <c r="A20" s="212"/>
      <c r="B20" s="69" t="s">
        <v>19</v>
      </c>
      <c r="C20" s="12">
        <f>NEG_03_23!AG$3</f>
        <v>0</v>
      </c>
      <c r="D20" s="12">
        <f>NEG_03_23!AG$4</f>
        <v>218.1</v>
      </c>
      <c r="E20" s="12">
        <f>NEG_03_23!AG$5</f>
        <v>105.80000000000001</v>
      </c>
      <c r="F20" s="12">
        <f>NEG_03_23!AG$6</f>
        <v>0</v>
      </c>
      <c r="G20" s="12">
        <f>NEG_03_23!AG$7</f>
        <v>105.20000000000002</v>
      </c>
      <c r="H20" s="12">
        <f>NEG_03_23!AG$8</f>
        <v>281.10000000000008</v>
      </c>
      <c r="I20" s="12">
        <f>NEG_03_23!AG$9</f>
        <v>167.40000000000006</v>
      </c>
      <c r="J20" s="12">
        <f>NEG_03_23!AG$10</f>
        <v>506.19</v>
      </c>
      <c r="K20" s="12">
        <f>NEG_03_23!AG$11</f>
        <v>80.300000000000011</v>
      </c>
      <c r="L20" s="12">
        <f>NEG_03_23!AG$12</f>
        <v>265.39999999999998</v>
      </c>
      <c r="M20" s="12">
        <f>NEG_03_23!AG$13</f>
        <v>70.2</v>
      </c>
      <c r="N20" s="12">
        <f>NEG_03_23!AG$14</f>
        <v>0</v>
      </c>
      <c r="O20" s="12">
        <f>NEG_03_23!AG$15</f>
        <v>0</v>
      </c>
      <c r="P20" s="12">
        <f>NEG_03_23!AG$16</f>
        <v>0</v>
      </c>
      <c r="Q20" s="12">
        <f>NEG_03_23!AG$17</f>
        <v>66.690000000000026</v>
      </c>
      <c r="R20" s="12">
        <f>NEG_03_23!AG$18</f>
        <v>0</v>
      </c>
      <c r="S20" s="12">
        <f>NEG_03_23!AG$19</f>
        <v>0</v>
      </c>
      <c r="T20" s="12">
        <f>NEG_03_23!AG$20</f>
        <v>251.40000000000003</v>
      </c>
      <c r="U20" s="12">
        <f>NEG_03_23!AG$21</f>
        <v>227.15</v>
      </c>
      <c r="V20" s="12">
        <f>NEG_03_23!AG$22</f>
        <v>61.400000000000006</v>
      </c>
      <c r="W20" s="12">
        <f>NEG_03_23!AG$23</f>
        <v>48.61</v>
      </c>
      <c r="X20" s="12">
        <f>NEG_03_23!AG$24</f>
        <v>220.59999999999994</v>
      </c>
      <c r="Y20" s="12">
        <f>NEG_03_23!AG$25</f>
        <v>0</v>
      </c>
      <c r="Z20" s="12">
        <f>NEG_03_23!AG$26</f>
        <v>21.9</v>
      </c>
      <c r="AA20" s="12">
        <f>NEG_03_23!AG$27</f>
        <v>0</v>
      </c>
      <c r="AB20" s="12">
        <f>NEG_03_23!AG$28</f>
        <v>59.55</v>
      </c>
      <c r="AC20" s="12">
        <f>NEG_03_23!AG$29</f>
        <v>598.89999999999986</v>
      </c>
      <c r="AD20" s="12">
        <f>NEG_03_23!AG$30</f>
        <v>0</v>
      </c>
      <c r="AE20" s="12">
        <f>NEG_03_23!AG$31</f>
        <v>817.46</v>
      </c>
      <c r="AF20" s="12">
        <f>NEG_03_23!AG$32</f>
        <v>36.300000000000004</v>
      </c>
      <c r="AG20" s="8">
        <f t="shared" si="1"/>
        <v>4209.6500000000005</v>
      </c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</row>
    <row r="21" spans="1:518" x14ac:dyDescent="0.25">
      <c r="A21" s="212"/>
      <c r="B21" s="69" t="s">
        <v>20</v>
      </c>
      <c r="C21" s="12"/>
      <c r="D21" s="3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9"/>
      <c r="Z21" s="9"/>
      <c r="AA21" s="9"/>
      <c r="AB21" s="9"/>
      <c r="AC21" s="9"/>
      <c r="AD21" s="9"/>
      <c r="AE21" s="9"/>
      <c r="AF21" s="9"/>
      <c r="AG21" s="8">
        <f t="shared" si="1"/>
        <v>0</v>
      </c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</row>
    <row r="22" spans="1:518" s="4" customFormat="1" x14ac:dyDescent="0.25">
      <c r="A22" s="207" t="s">
        <v>97</v>
      </c>
      <c r="B22" s="208"/>
      <c r="C22" s="64">
        <f>SUM(C16:C21)</f>
        <v>158.94</v>
      </c>
      <c r="D22" s="64">
        <f t="shared" ref="D22:AF22" si="3">SUM(D16:D21)</f>
        <v>325.5</v>
      </c>
      <c r="E22" s="64">
        <f t="shared" si="3"/>
        <v>263.60000000000002</v>
      </c>
      <c r="F22" s="64">
        <f t="shared" si="3"/>
        <v>156.5</v>
      </c>
      <c r="G22" s="64">
        <f t="shared" si="3"/>
        <v>151.70000000000002</v>
      </c>
      <c r="H22" s="64">
        <f t="shared" si="3"/>
        <v>495.50000000000011</v>
      </c>
      <c r="I22" s="64">
        <f t="shared" si="3"/>
        <v>286.90000000000009</v>
      </c>
      <c r="J22" s="64">
        <f t="shared" si="3"/>
        <v>1138.3110000000001</v>
      </c>
      <c r="K22" s="64">
        <f t="shared" si="3"/>
        <v>94.600000000000009</v>
      </c>
      <c r="L22" s="64">
        <f t="shared" si="3"/>
        <v>377.09999999999997</v>
      </c>
      <c r="M22" s="64">
        <f t="shared" si="3"/>
        <v>87.9</v>
      </c>
      <c r="N22" s="64">
        <f t="shared" si="3"/>
        <v>71.7</v>
      </c>
      <c r="O22" s="64">
        <f t="shared" si="3"/>
        <v>0</v>
      </c>
      <c r="P22" s="64">
        <f t="shared" si="3"/>
        <v>213.90000000000006</v>
      </c>
      <c r="Q22" s="64">
        <f t="shared" si="3"/>
        <v>103.19000000000003</v>
      </c>
      <c r="R22" s="64">
        <f t="shared" si="3"/>
        <v>84.399999999999977</v>
      </c>
      <c r="S22" s="64">
        <f t="shared" si="3"/>
        <v>0</v>
      </c>
      <c r="T22" s="64">
        <f t="shared" si="3"/>
        <v>533.60000000000014</v>
      </c>
      <c r="U22" s="64">
        <f t="shared" si="3"/>
        <v>314.65000000000003</v>
      </c>
      <c r="V22" s="64">
        <f t="shared" si="3"/>
        <v>116.50000000000001</v>
      </c>
      <c r="W22" s="64">
        <f t="shared" si="3"/>
        <v>48.61</v>
      </c>
      <c r="X22" s="64">
        <f t="shared" si="3"/>
        <v>552.1</v>
      </c>
      <c r="Y22" s="64">
        <f t="shared" si="3"/>
        <v>0</v>
      </c>
      <c r="Z22" s="64">
        <f t="shared" si="3"/>
        <v>84</v>
      </c>
      <c r="AA22" s="64">
        <f t="shared" si="3"/>
        <v>31.000000000000007</v>
      </c>
      <c r="AB22" s="64">
        <f t="shared" si="3"/>
        <v>100.05</v>
      </c>
      <c r="AC22" s="64">
        <f t="shared" si="3"/>
        <v>1076.4999999999998</v>
      </c>
      <c r="AD22" s="64">
        <f t="shared" si="3"/>
        <v>240.7</v>
      </c>
      <c r="AE22" s="64">
        <f t="shared" si="3"/>
        <v>1985.43</v>
      </c>
      <c r="AF22" s="64">
        <f t="shared" si="3"/>
        <v>55.400000000000006</v>
      </c>
      <c r="AG22" s="8">
        <f t="shared" si="1"/>
        <v>9148.280999999999</v>
      </c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</row>
    <row r="23" spans="1:518" x14ac:dyDescent="0.25">
      <c r="A23" s="213" t="s">
        <v>21</v>
      </c>
      <c r="B23" s="69" t="s">
        <v>22</v>
      </c>
      <c r="C23" s="12">
        <f>PAP_04_23!$AG$3</f>
        <v>101.2</v>
      </c>
      <c r="D23" s="12">
        <f>PAP_04_23!$AG$4</f>
        <v>83</v>
      </c>
      <c r="E23" s="12">
        <f>PAP_04_23!$AG$5</f>
        <v>28</v>
      </c>
      <c r="F23" s="12">
        <f>PAP_04_23!$AG$6</f>
        <v>0</v>
      </c>
      <c r="G23" s="12">
        <f>PAP_04_23!$AG$7</f>
        <v>0</v>
      </c>
      <c r="H23" s="12">
        <f>PAP_04_23!$AG$8</f>
        <v>32.999999999999993</v>
      </c>
      <c r="I23" s="12">
        <f>PAP_04_23!$AG$10</f>
        <v>0</v>
      </c>
      <c r="J23" s="12">
        <f>PAP_04_23!$AG$11</f>
        <v>184.19999999999996</v>
      </c>
      <c r="K23" s="12">
        <f>PAP_04_23!$AG$12</f>
        <v>8.5</v>
      </c>
      <c r="L23" s="12">
        <f>PAP_04_23!$AG$13</f>
        <v>12.4</v>
      </c>
      <c r="M23" s="12">
        <f>PAP_04_23!$AG$14</f>
        <v>0</v>
      </c>
      <c r="N23" s="12">
        <f>PAP_04_23!$AG$15</f>
        <v>24.55</v>
      </c>
      <c r="O23" s="12">
        <f>PAP_04_23!$AG$16</f>
        <v>0</v>
      </c>
      <c r="P23" s="12">
        <f>PAP_04_23!$AG$17</f>
        <v>0</v>
      </c>
      <c r="Q23" s="12">
        <f>PAP_04_23!$AG$18</f>
        <v>4.5</v>
      </c>
      <c r="R23" s="12">
        <f>PAP_04_23!$AG$19</f>
        <v>0</v>
      </c>
      <c r="S23" s="12">
        <f>PAP_04_23!$AG$20</f>
        <v>0</v>
      </c>
      <c r="T23" s="12">
        <f>PAP_04_23!$AG$22</f>
        <v>26</v>
      </c>
      <c r="U23" s="12">
        <f>PAP_04_23!$AG$23</f>
        <v>11.47</v>
      </c>
      <c r="V23" s="12">
        <f>PAP_04_23!$AG$24</f>
        <v>24.3</v>
      </c>
      <c r="W23" s="12">
        <f>PAP_04_23!$AG$25</f>
        <v>0</v>
      </c>
      <c r="X23" s="12">
        <f>PAP_04_23!$AG$26</f>
        <v>75.599999999999994</v>
      </c>
      <c r="Y23" s="12">
        <f>PAP_04_23!$AG$27</f>
        <v>0</v>
      </c>
      <c r="Z23" s="12">
        <f>PAP_04_23!$AG$28</f>
        <v>0</v>
      </c>
      <c r="AA23" s="12">
        <f>PAP_04_23!$AG$29</f>
        <v>10.100000000000001</v>
      </c>
      <c r="AB23" s="12">
        <f>PAP_04_23!$AG$30</f>
        <v>8.1000000000000014</v>
      </c>
      <c r="AC23" s="12">
        <f>PAP_04_23!$AG$31</f>
        <v>0</v>
      </c>
      <c r="AD23" s="12">
        <f>PAP_04_23!$AG$32</f>
        <v>0</v>
      </c>
      <c r="AE23" s="12">
        <f>PAP_04_23!$AG$33</f>
        <v>0</v>
      </c>
      <c r="AF23" s="12">
        <f>PAP_04_23!$AG$34</f>
        <v>0</v>
      </c>
      <c r="AG23" s="8">
        <f t="shared" si="1"/>
        <v>634.91999999999996</v>
      </c>
      <c r="AH23" s="2"/>
      <c r="AI23" s="2">
        <f>+AG23+AG24+AG25</f>
        <v>1140.8199999999997</v>
      </c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</row>
    <row r="24" spans="1:518" x14ac:dyDescent="0.25">
      <c r="A24" s="213"/>
      <c r="B24" s="69" t="s">
        <v>23</v>
      </c>
      <c r="C24" s="12">
        <f>PLA_04_23!$AG$3</f>
        <v>0</v>
      </c>
      <c r="D24" s="12">
        <f>PLA_04_23!$AG$4</f>
        <v>0</v>
      </c>
      <c r="E24" s="12">
        <f>PLA_04_23!$AG$5</f>
        <v>0</v>
      </c>
      <c r="F24" s="12">
        <f>PLA_04_23!$AG$6</f>
        <v>0</v>
      </c>
      <c r="G24" s="12">
        <f>PLA_04_23!$AG$7</f>
        <v>0</v>
      </c>
      <c r="H24" s="12">
        <f>PLA_04_23!$AG$8</f>
        <v>65.899999999999991</v>
      </c>
      <c r="I24" s="12">
        <f>PLA_04_23!$AG$9</f>
        <v>0</v>
      </c>
      <c r="J24" s="12">
        <f>PLA_04_23!$AG$10</f>
        <v>213.79999999999995</v>
      </c>
      <c r="K24" s="12">
        <f>PLA_04_23!$AG$11</f>
        <v>0</v>
      </c>
      <c r="L24" s="12">
        <f>PLA_04_23!$AG$12</f>
        <v>38.800000000000004</v>
      </c>
      <c r="M24" s="12">
        <f>PLA_04_23!$AG$13</f>
        <v>0</v>
      </c>
      <c r="N24" s="12">
        <f>PLA_04_23!$AG$14</f>
        <v>13.400000000000002</v>
      </c>
      <c r="O24" s="12">
        <f>PLA_04_23!$AG$15</f>
        <v>0</v>
      </c>
      <c r="P24" s="12">
        <f>PLA_04_23!$AG$16</f>
        <v>0</v>
      </c>
      <c r="Q24" s="12">
        <f>PLA_04_23!$AG$17</f>
        <v>4.2</v>
      </c>
      <c r="R24" s="12">
        <f>PLA_04_23!$AG$18</f>
        <v>0</v>
      </c>
      <c r="S24" s="12">
        <f>PLA_04_23!$AG$19</f>
        <v>0</v>
      </c>
      <c r="T24" s="12">
        <f>PLA_04_23!$AG$21</f>
        <v>65.899999999999991</v>
      </c>
      <c r="U24" s="12">
        <f>PLA_04_23!$AG$22</f>
        <v>17.899999999999999</v>
      </c>
      <c r="V24" s="12">
        <f>PLA_04_23!$AG$23</f>
        <v>12.100000000000001</v>
      </c>
      <c r="W24" s="12">
        <f>PLA_04_23!$AG$24</f>
        <v>0</v>
      </c>
      <c r="X24" s="12">
        <f>PLA_04_23!$AG$25</f>
        <v>73.899999999999991</v>
      </c>
      <c r="Y24" s="12">
        <f>PLA_04_23!$AG$26</f>
        <v>0</v>
      </c>
      <c r="Z24" s="12">
        <f>PLA_04_23!$AG$27</f>
        <v>0</v>
      </c>
      <c r="AA24" s="12">
        <f>PLA_04_23!$AG$28</f>
        <v>0</v>
      </c>
      <c r="AB24" s="12">
        <f>PLA_04_23!$AG$29</f>
        <v>0</v>
      </c>
      <c r="AC24" s="12">
        <f>PLA_04_23!$AG$30</f>
        <v>0</v>
      </c>
      <c r="AD24" s="12">
        <f>PLA_04_23!$AG$31</f>
        <v>0</v>
      </c>
      <c r="AE24" s="12">
        <f>PLA_04_23!$AG$32</f>
        <v>0</v>
      </c>
      <c r="AF24" s="12">
        <f>PLA_04_23!$AG$33</f>
        <v>0</v>
      </c>
      <c r="AG24" s="8">
        <f t="shared" si="1"/>
        <v>505.89999999999986</v>
      </c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</row>
    <row r="25" spans="1:518" x14ac:dyDescent="0.25">
      <c r="A25" s="213"/>
      <c r="B25" s="69" t="s">
        <v>24</v>
      </c>
      <c r="C25" s="12">
        <f>'GRI_04_23 '!$AG$3</f>
        <v>0</v>
      </c>
      <c r="D25" s="12">
        <f>'GRI_04_23 '!$AG$4</f>
        <v>0</v>
      </c>
      <c r="E25" s="12">
        <f>'GRI_04_23 '!$AG$5</f>
        <v>0</v>
      </c>
      <c r="F25" s="12">
        <f>'GRI_04_23 '!$AG$6</f>
        <v>0</v>
      </c>
      <c r="G25" s="12">
        <f>'GRI_04_23 '!$AG$7</f>
        <v>0</v>
      </c>
      <c r="H25" s="12">
        <f>'GRI_04_23 '!$AG$8</f>
        <v>0</v>
      </c>
      <c r="I25" s="12">
        <f>'GRI_04_23 '!$AG$9</f>
        <v>0</v>
      </c>
      <c r="J25" s="12">
        <f>'GRI_04_23 '!$AG$10</f>
        <v>0</v>
      </c>
      <c r="K25" s="12">
        <f>'GRI_04_23 '!$AG$11</f>
        <v>0</v>
      </c>
      <c r="L25" s="12">
        <f>'GRI_04_23 '!$AG$13</f>
        <v>0</v>
      </c>
      <c r="M25" s="12">
        <f>'GRI_04_23 '!$AG$15</f>
        <v>0</v>
      </c>
      <c r="N25" s="12">
        <f>'GRI_04_23 '!$AG$16</f>
        <v>0</v>
      </c>
      <c r="O25" s="12">
        <f>'GRI_04_23 '!$AG$17</f>
        <v>0</v>
      </c>
      <c r="P25" s="12">
        <f>'GRI_04_23 '!$AG$18</f>
        <v>0</v>
      </c>
      <c r="Q25" s="12">
        <f>'GRI_04_23 '!$AG$19</f>
        <v>0</v>
      </c>
      <c r="R25" s="12">
        <f>'GRI_04_23 '!$AG$20</f>
        <v>0</v>
      </c>
      <c r="S25" s="12">
        <f>'GRI_04_23 '!$AG$21</f>
        <v>0</v>
      </c>
      <c r="T25" s="12">
        <f>'GRI_04_23 '!$AG$22</f>
        <v>0</v>
      </c>
      <c r="U25" s="12">
        <f>'GRI_04_23 '!$AG$23</f>
        <v>0</v>
      </c>
      <c r="V25" s="12">
        <f>'GRI_04_23 '!$AG$24</f>
        <v>0</v>
      </c>
      <c r="W25" s="12">
        <f>'GRI_04_23 '!$AG$25</f>
        <v>0</v>
      </c>
      <c r="X25" s="12">
        <f>'GRI_04_23 '!$AG$26</f>
        <v>0</v>
      </c>
      <c r="Y25" s="12">
        <f>'GRI_04_23 '!$AG$27</f>
        <v>0</v>
      </c>
      <c r="Z25" s="12">
        <f>'GRI_04_23 '!$AG$28</f>
        <v>0</v>
      </c>
      <c r="AA25" s="12">
        <f>'GRI_04_23 '!$AG$29</f>
        <v>0</v>
      </c>
      <c r="AB25" s="12">
        <f>'GRI_04_23 '!$AG$30</f>
        <v>0</v>
      </c>
      <c r="AC25" s="12">
        <f>'GRI_04_23 '!$AG$31</f>
        <v>0</v>
      </c>
      <c r="AD25" s="12">
        <f>'GRI_04_23 '!$AG$32</f>
        <v>0</v>
      </c>
      <c r="AE25" s="12">
        <f>'GRI_04_23 '!$AG$33</f>
        <v>0</v>
      </c>
      <c r="AF25" s="12">
        <f>'GRI_04_23 '!$AG$34</f>
        <v>0</v>
      </c>
      <c r="AG25" s="8">
        <f t="shared" si="1"/>
        <v>0</v>
      </c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</row>
    <row r="26" spans="1:518" x14ac:dyDescent="0.25">
      <c r="A26" s="213"/>
      <c r="B26" s="69" t="s">
        <v>25</v>
      </c>
      <c r="C26" s="12">
        <f>VER_04_23!$AG$3</f>
        <v>0</v>
      </c>
      <c r="D26" s="12">
        <f>VER_04_23!$AG$4</f>
        <v>0</v>
      </c>
      <c r="E26" s="12">
        <f>VER_04_23!$AG$5</f>
        <v>0</v>
      </c>
      <c r="F26" s="12">
        <f>VER_04_23!$AG$6</f>
        <v>0</v>
      </c>
      <c r="G26" s="12">
        <f>VER_04_23!$AG$7</f>
        <v>0</v>
      </c>
      <c r="H26" s="12">
        <f>VER_04_23!$AG$8</f>
        <v>0</v>
      </c>
      <c r="I26" s="12">
        <f>VER_04_23!$AG$9</f>
        <v>0</v>
      </c>
      <c r="J26" s="12">
        <f>VER_04_23!$AG$10</f>
        <v>0</v>
      </c>
      <c r="K26" s="12">
        <f>VER_04_23!$AG$11</f>
        <v>0</v>
      </c>
      <c r="L26" s="12">
        <f>VER_04_23!$AG$12</f>
        <v>0</v>
      </c>
      <c r="M26" s="12">
        <f>VER_04_23!$AG$13</f>
        <v>0</v>
      </c>
      <c r="N26" s="12">
        <f>VER_04_23!$AG$14</f>
        <v>0</v>
      </c>
      <c r="O26" s="12">
        <f>VER_04_23!$AG$15</f>
        <v>0</v>
      </c>
      <c r="P26" s="12">
        <f>VER_04_23!$AG$16</f>
        <v>0</v>
      </c>
      <c r="Q26" s="12">
        <f>VER_04_23!$AG$17</f>
        <v>0</v>
      </c>
      <c r="R26" s="12">
        <f>VER_04_23!$AG$18</f>
        <v>0</v>
      </c>
      <c r="S26" s="12">
        <f>VER_04_23!$AG$19</f>
        <v>0</v>
      </c>
      <c r="T26" s="12">
        <f>VER_04_23!$AG$21+VER_04_23!$AG$22</f>
        <v>0</v>
      </c>
      <c r="U26" s="12">
        <f>VER_04_23!$AG$23</f>
        <v>0</v>
      </c>
      <c r="V26" s="12">
        <f>VER_04_23!$AG$24</f>
        <v>0</v>
      </c>
      <c r="W26" s="12">
        <f>VER_04_23!$AG$25</f>
        <v>0</v>
      </c>
      <c r="X26" s="12">
        <f>VER_04_23!$AG$26</f>
        <v>0</v>
      </c>
      <c r="Y26" s="12">
        <f>VER_04_23!$AG$27</f>
        <v>0</v>
      </c>
      <c r="Z26" s="12">
        <f>VER_04_23!$AG$28</f>
        <v>0</v>
      </c>
      <c r="AA26" s="12">
        <f>VER_04_23!$AG$29</f>
        <v>0</v>
      </c>
      <c r="AB26" s="12">
        <f>VER_04_23!$AG$30</f>
        <v>0</v>
      </c>
      <c r="AC26" s="12">
        <f>VER_04_23!$AG$31</f>
        <v>0</v>
      </c>
      <c r="AD26" s="12">
        <v>0</v>
      </c>
      <c r="AE26" s="12">
        <f>VER_04_23!$AG$33</f>
        <v>0</v>
      </c>
      <c r="AF26" s="12">
        <f>VER_04_23!$AG$34</f>
        <v>0</v>
      </c>
      <c r="AG26" s="8">
        <f t="shared" si="1"/>
        <v>0</v>
      </c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</row>
    <row r="27" spans="1:518" x14ac:dyDescent="0.25">
      <c r="A27" s="213"/>
      <c r="B27" s="69" t="s">
        <v>26</v>
      </c>
      <c r="C27" s="12">
        <f>NEG_04_23!AG$3</f>
        <v>92.199999999999989</v>
      </c>
      <c r="D27" s="12">
        <f>NEG_04_23!AG$4</f>
        <v>126.6</v>
      </c>
      <c r="E27" s="12">
        <f>NEG_04_23!AG$5</f>
        <v>82.5</v>
      </c>
      <c r="F27" s="12">
        <f>NEG_04_23!AG$6</f>
        <v>0</v>
      </c>
      <c r="G27" s="12">
        <f>NEG_04_23!AG$7</f>
        <v>92.100000000000009</v>
      </c>
      <c r="H27" s="12">
        <f>NEG_04_23!AG$8</f>
        <v>225.8</v>
      </c>
      <c r="I27" s="12">
        <f>NEG_04_23!AG$10</f>
        <v>0</v>
      </c>
      <c r="J27" s="12">
        <f>NEG_04_23!AG$11</f>
        <v>403</v>
      </c>
      <c r="K27" s="12">
        <f>NEG_04_23!AG$12</f>
        <v>56.7</v>
      </c>
      <c r="L27" s="12">
        <f>NEG_04_23!AG$13</f>
        <v>0</v>
      </c>
      <c r="M27" s="12">
        <f>NEG_04_23!AG$14</f>
        <v>65.400000000000006</v>
      </c>
      <c r="N27" s="12">
        <f>NEG_04_23!AG$15</f>
        <v>188</v>
      </c>
      <c r="O27" s="12">
        <f>NEG_04_23!AG$16</f>
        <v>0</v>
      </c>
      <c r="P27" s="12">
        <f>NEG_04_23!AG$17</f>
        <v>0</v>
      </c>
      <c r="Q27" s="12">
        <f>NEG_04_23!AG$18</f>
        <v>0</v>
      </c>
      <c r="R27" s="12">
        <f>NEG_04_23!AG$19</f>
        <v>0</v>
      </c>
      <c r="S27" s="12">
        <f>NEG_04_23!AG$20</f>
        <v>0</v>
      </c>
      <c r="T27" s="12">
        <f>NEG_04_23!AG$22</f>
        <v>164.90000000000003</v>
      </c>
      <c r="U27" s="12">
        <f>NEG_04_23!AG$23</f>
        <v>196.29999999999998</v>
      </c>
      <c r="V27" s="12">
        <f>NEG_04_23!AG$24</f>
        <v>0</v>
      </c>
      <c r="W27" s="12">
        <f>NEG_04_23!AG$25</f>
        <v>8</v>
      </c>
      <c r="X27" s="12">
        <f>NEG_04_23!AG$26</f>
        <v>170.6</v>
      </c>
      <c r="Y27" s="12">
        <f>NEG_04_23!AG$27</f>
        <v>0</v>
      </c>
      <c r="Z27" s="12">
        <f>NEG_04_23!AG$28</f>
        <v>0</v>
      </c>
      <c r="AA27" s="12">
        <f>NEG_04_23!AG$29</f>
        <v>0</v>
      </c>
      <c r="AB27" s="12">
        <f>NEG_04_23!AG$30</f>
        <v>75.7</v>
      </c>
      <c r="AC27" s="12">
        <f>NEG_04_23!AG$31</f>
        <v>0</v>
      </c>
      <c r="AD27" s="12">
        <f>VER_04_23!AG$30</f>
        <v>0</v>
      </c>
      <c r="AE27" s="12">
        <f>NEG_04_23!AG$33</f>
        <v>0</v>
      </c>
      <c r="AF27" s="12">
        <f>NEG_04_23!AG$34</f>
        <v>0</v>
      </c>
      <c r="AG27" s="8">
        <f t="shared" si="1"/>
        <v>1947.8000000000002</v>
      </c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</row>
    <row r="28" spans="1:518" x14ac:dyDescent="0.25">
      <c r="A28" s="213"/>
      <c r="B28" s="69" t="s">
        <v>27</v>
      </c>
      <c r="C28" s="12"/>
      <c r="D28" s="7"/>
      <c r="E28" s="7"/>
      <c r="F28" s="7"/>
      <c r="G28" s="7"/>
      <c r="H28" s="7"/>
      <c r="I28" s="7"/>
      <c r="J28" s="127"/>
      <c r="K28" s="7"/>
      <c r="L28" s="7"/>
      <c r="M28" s="7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9"/>
      <c r="Z28" s="9"/>
      <c r="AA28" s="9"/>
      <c r="AB28" s="9"/>
      <c r="AC28" s="9"/>
      <c r="AD28" s="9"/>
      <c r="AE28" s="9"/>
      <c r="AF28" s="9"/>
      <c r="AG28" s="8">
        <f t="shared" si="1"/>
        <v>0</v>
      </c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</row>
    <row r="29" spans="1:518" s="4" customFormat="1" x14ac:dyDescent="0.25">
      <c r="A29" s="207" t="s">
        <v>97</v>
      </c>
      <c r="B29" s="208"/>
      <c r="C29" s="64">
        <f>SUM(C23:C28)</f>
        <v>193.39999999999998</v>
      </c>
      <c r="D29" s="8">
        <f>SUM(D23:D28)</f>
        <v>209.6</v>
      </c>
      <c r="E29" s="8">
        <f t="shared" ref="E29" si="4">SUM(E23:E28)</f>
        <v>110.5</v>
      </c>
      <c r="F29" s="8">
        <f t="shared" ref="F29" si="5">SUM(F23:F28)</f>
        <v>0</v>
      </c>
      <c r="G29" s="8">
        <f t="shared" ref="G29" si="6">SUM(G23:G28)</f>
        <v>92.100000000000009</v>
      </c>
      <c r="H29" s="8">
        <f t="shared" ref="H29" si="7">SUM(H23:H28)</f>
        <v>324.7</v>
      </c>
      <c r="I29" s="8">
        <f t="shared" ref="I29" si="8">SUM(I23:I28)</f>
        <v>0</v>
      </c>
      <c r="J29" s="8">
        <f t="shared" ref="J29" si="9">SUM(J23:J28)</f>
        <v>800.99999999999989</v>
      </c>
      <c r="K29" s="8">
        <f t="shared" ref="K29" si="10">SUM(K23:K28)</f>
        <v>65.2</v>
      </c>
      <c r="L29" s="8">
        <f t="shared" ref="L29" si="11">SUM(L23:L28)</f>
        <v>51.2</v>
      </c>
      <c r="M29" s="8">
        <f t="shared" ref="M29" si="12">SUM(M23:M28)</f>
        <v>65.400000000000006</v>
      </c>
      <c r="N29" s="8">
        <f t="shared" ref="N29" si="13">SUM(N23:N28)</f>
        <v>225.95</v>
      </c>
      <c r="O29" s="8">
        <f t="shared" ref="O29" si="14">SUM(O23:O28)</f>
        <v>0</v>
      </c>
      <c r="P29" s="8">
        <f t="shared" ref="P29" si="15">SUM(P23:P28)</f>
        <v>0</v>
      </c>
      <c r="Q29" s="8">
        <f t="shared" ref="Q29" si="16">SUM(Q23:Q28)</f>
        <v>8.6999999999999993</v>
      </c>
      <c r="R29" s="8">
        <f t="shared" ref="R29" si="17">SUM(R23:R28)</f>
        <v>0</v>
      </c>
      <c r="S29" s="8">
        <f t="shared" ref="S29" si="18">SUM(S23:S28)</f>
        <v>0</v>
      </c>
      <c r="T29" s="8">
        <f t="shared" ref="T29" si="19">SUM(T23:T28)</f>
        <v>256.8</v>
      </c>
      <c r="U29" s="8">
        <f t="shared" ref="U29" si="20">SUM(U23:U28)</f>
        <v>225.67</v>
      </c>
      <c r="V29" s="8">
        <f t="shared" ref="V29" si="21">SUM(V23:V28)</f>
        <v>36.400000000000006</v>
      </c>
      <c r="W29" s="8">
        <f t="shared" ref="W29" si="22">SUM(W23:W28)</f>
        <v>8</v>
      </c>
      <c r="X29" s="8">
        <f t="shared" ref="X29" si="23">SUM(X23:X28)</f>
        <v>320.10000000000002</v>
      </c>
      <c r="Y29" s="8">
        <f t="shared" ref="Y29" si="24">SUM(Y23:Y28)</f>
        <v>0</v>
      </c>
      <c r="Z29" s="8">
        <f t="shared" ref="Z29:AF29" si="25">SUM(Z23:Z28)</f>
        <v>0</v>
      </c>
      <c r="AA29" s="8">
        <f t="shared" si="25"/>
        <v>10.100000000000001</v>
      </c>
      <c r="AB29" s="8">
        <f t="shared" si="25"/>
        <v>83.800000000000011</v>
      </c>
      <c r="AC29" s="8">
        <f t="shared" si="25"/>
        <v>0</v>
      </c>
      <c r="AD29" s="8">
        <f t="shared" si="25"/>
        <v>0</v>
      </c>
      <c r="AE29" s="8">
        <f t="shared" si="25"/>
        <v>0</v>
      </c>
      <c r="AF29" s="8">
        <f t="shared" si="25"/>
        <v>0</v>
      </c>
      <c r="AG29" s="8">
        <f t="shared" si="1"/>
        <v>3088.62</v>
      </c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</row>
    <row r="30" spans="1:518" x14ac:dyDescent="0.25">
      <c r="A30" s="209" t="s">
        <v>28</v>
      </c>
      <c r="B30" s="69" t="s">
        <v>29</v>
      </c>
      <c r="C30" s="12">
        <f>'PAP_05-23'!$AG$3</f>
        <v>0</v>
      </c>
      <c r="D30" s="12">
        <f>'PAP_05-23'!$AG$4</f>
        <v>0</v>
      </c>
      <c r="E30" s="12">
        <f>'PAP_05-23'!$AG$5</f>
        <v>18.3</v>
      </c>
      <c r="F30" s="12">
        <f>'PAP_05-23'!$AG$6</f>
        <v>0</v>
      </c>
      <c r="G30" s="12">
        <f>'PAP_05-23'!$AG$7</f>
        <v>0</v>
      </c>
      <c r="H30" s="12">
        <f>'PAP_05-23'!$AG$8</f>
        <v>47.899999999999984</v>
      </c>
      <c r="I30" s="12">
        <f>'PAP_05-23'!$AG$9</f>
        <v>35.200000000000003</v>
      </c>
      <c r="J30" s="12">
        <f>'PAP_05-23'!$AG$10</f>
        <v>95.960000000000008</v>
      </c>
      <c r="K30" s="12">
        <f>'PAP_05-23'!$AG$11</f>
        <v>0</v>
      </c>
      <c r="L30" s="12">
        <f>'PAP_05-23'!$AG$12</f>
        <v>9.6999999999999993</v>
      </c>
      <c r="M30" s="12">
        <f>'PAP_05-23'!$AG$13</f>
        <v>0</v>
      </c>
      <c r="N30" s="12">
        <f>'PAP_05-23'!$AG$14</f>
        <v>0</v>
      </c>
      <c r="O30" s="12">
        <f>'PAP_05-23'!$AG$15</f>
        <v>0</v>
      </c>
      <c r="P30" s="12">
        <f>'PAP_05-23'!$AG$16</f>
        <v>0</v>
      </c>
      <c r="Q30" s="12">
        <f>'PAP_05-23'!$AG$17</f>
        <v>8.9</v>
      </c>
      <c r="R30" s="12">
        <f>'PAP_05-23'!$AG$18</f>
        <v>0</v>
      </c>
      <c r="S30" s="12">
        <f>'PAP_05-23'!$AG$19</f>
        <v>0</v>
      </c>
      <c r="T30" s="12">
        <f>'PAP_05-23'!$AG$20</f>
        <v>43.899999999999991</v>
      </c>
      <c r="U30" s="12">
        <f>'PAP_05-23'!$AG$21</f>
        <v>59.2</v>
      </c>
      <c r="V30" s="12">
        <f>'PAP_05-23'!$AG$22</f>
        <v>15.8</v>
      </c>
      <c r="W30" s="12">
        <f>'PAP_05-23'!$AG$23</f>
        <v>0</v>
      </c>
      <c r="X30" s="12">
        <f>'PAP_05-23'!$AG$24</f>
        <v>55.499999999999993</v>
      </c>
      <c r="Y30" s="12">
        <f>'PAP_05-23'!$AG$25</f>
        <v>17.100000000000005</v>
      </c>
      <c r="Z30" s="12">
        <f>'PAP_05-23'!$AG$26</f>
        <v>15.100000000000001</v>
      </c>
      <c r="AA30" s="12">
        <f>'PAP_05-23'!$AG$27</f>
        <v>0</v>
      </c>
      <c r="AB30" s="12">
        <f>'PAP_05-23'!$AG$28</f>
        <v>17.149999999999999</v>
      </c>
      <c r="AC30" s="12">
        <f>'PAP_05-23'!$AG$29</f>
        <v>6.1</v>
      </c>
      <c r="AD30" s="12">
        <f>'PAP_05-23'!$AG$30</f>
        <v>0</v>
      </c>
      <c r="AE30" s="12">
        <f>'PAP_05-23'!$AG$31</f>
        <v>87.75</v>
      </c>
      <c r="AF30" s="12">
        <f>'PAP_05-23'!$AG$32</f>
        <v>0</v>
      </c>
      <c r="AG30" s="8">
        <f t="shared" si="1"/>
        <v>533.56000000000006</v>
      </c>
      <c r="AH30" s="2"/>
      <c r="AI30" s="2">
        <f>+AG30+AG31+AG32</f>
        <v>4209.7849999999999</v>
      </c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</row>
    <row r="31" spans="1:518" x14ac:dyDescent="0.25">
      <c r="A31" s="209"/>
      <c r="B31" s="69" t="s">
        <v>30</v>
      </c>
      <c r="C31" s="12">
        <f>PLA_05_23!$AG$3</f>
        <v>0</v>
      </c>
      <c r="D31" s="12">
        <f>PLA_05_23!$AG$4</f>
        <v>0</v>
      </c>
      <c r="E31" s="12">
        <f>PLA_05_23!$AG$5</f>
        <v>0</v>
      </c>
      <c r="F31" s="12">
        <f>PLA_05_23!$AG$6</f>
        <v>0</v>
      </c>
      <c r="G31" s="12">
        <f>PLA_05_23!$AG$7</f>
        <v>0</v>
      </c>
      <c r="H31" s="12">
        <f>PLA_05_23!$AG$8</f>
        <v>18.899999999999999</v>
      </c>
      <c r="I31" s="12">
        <f>PLA_05_23!$AG$9</f>
        <v>524.88000000000011</v>
      </c>
      <c r="J31" s="12">
        <f>PLA_05_23!$AG$10</f>
        <v>0</v>
      </c>
      <c r="K31" s="12">
        <f>PLA_05_23!$AG$11</f>
        <v>0</v>
      </c>
      <c r="L31" s="12">
        <f>PLA_05_23!$AG$12</f>
        <v>36.5</v>
      </c>
      <c r="M31" s="12">
        <f>PLA_05_23!$AG$13</f>
        <v>0</v>
      </c>
      <c r="N31" s="12">
        <f>PLA_05_23!$AG$14</f>
        <v>72.3</v>
      </c>
      <c r="O31" s="12">
        <f>PLA_05_23!$AG$15</f>
        <v>0</v>
      </c>
      <c r="P31" s="12">
        <f>PLA_05_23!$AG$16</f>
        <v>0</v>
      </c>
      <c r="Q31" s="12">
        <f>PLA_05_23!$AG$17</f>
        <v>3.9</v>
      </c>
      <c r="R31" s="12">
        <f>PLA_05_23!$AG$18</f>
        <v>0</v>
      </c>
      <c r="S31" s="12">
        <f>PLA_05_23!$AG$19</f>
        <v>0</v>
      </c>
      <c r="T31" s="12">
        <f>PLA_05_23!$AG$20</f>
        <v>127.8</v>
      </c>
      <c r="U31" s="12">
        <f>PLA_05_23!$AG$21</f>
        <v>0</v>
      </c>
      <c r="V31" s="12">
        <f>PLA_05_23!$AG$22</f>
        <v>1.9000000000000004</v>
      </c>
      <c r="W31" s="12">
        <f>PLA_05_23!$AG$23</f>
        <v>0</v>
      </c>
      <c r="X31" s="12">
        <f>PLA_05_23!$AG$24</f>
        <v>0</v>
      </c>
      <c r="Y31" s="12">
        <f>PLA_05_23!$AG$25</f>
        <v>13.599999999999998</v>
      </c>
      <c r="Z31" s="12">
        <f>PLA_05_23!$AG$26</f>
        <v>0</v>
      </c>
      <c r="AA31" s="12">
        <f>PLA_05_23!$AG$27</f>
        <v>0</v>
      </c>
      <c r="AB31" s="12">
        <f>PLA_05_23!$AG$28</f>
        <v>26.900000000000006</v>
      </c>
      <c r="AC31" s="12">
        <f>PLA_05_23!$AG$29</f>
        <v>85.100000000000009</v>
      </c>
      <c r="AD31" s="12">
        <f>PLA_05_23!$AG$30</f>
        <v>34.599999999999994</v>
      </c>
      <c r="AE31" s="12">
        <f>PLA_05_23!$AG$31</f>
        <v>703.80999999999983</v>
      </c>
      <c r="AF31" s="12">
        <f>PLA_05_23!$AG$32</f>
        <v>0</v>
      </c>
      <c r="AG31" s="8">
        <f t="shared" si="1"/>
        <v>1650.1899999999998</v>
      </c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</row>
    <row r="32" spans="1:518" x14ac:dyDescent="0.25">
      <c r="A32" s="209"/>
      <c r="B32" s="69" t="s">
        <v>31</v>
      </c>
      <c r="C32" s="12">
        <f>GRI_05_23!$AG$3</f>
        <v>24.3</v>
      </c>
      <c r="D32" s="12">
        <f>GRI_05_23!$AG$4</f>
        <v>0</v>
      </c>
      <c r="E32" s="12">
        <f>GRI_05_23!$AG$5</f>
        <v>76</v>
      </c>
      <c r="F32" s="12">
        <f>GRI_05_23!$AG$6</f>
        <v>67.8</v>
      </c>
      <c r="G32" s="12">
        <f>GRI_05_23!$AF$7</f>
        <v>1</v>
      </c>
      <c r="H32" s="12">
        <f>GRI_05_23!$AG$8</f>
        <v>61.599999999999994</v>
      </c>
      <c r="I32" s="12">
        <f>GRI_05_23!$AG$9</f>
        <v>45.8</v>
      </c>
      <c r="J32" s="12">
        <f>GRI_05_23!$AG$11</f>
        <v>143.66</v>
      </c>
      <c r="K32" s="12">
        <f>GRI_05_23!$AG$12</f>
        <v>0</v>
      </c>
      <c r="L32" s="12">
        <f>GRI_05_23!$AG$14</f>
        <v>51.499999999999993</v>
      </c>
      <c r="M32" s="12">
        <f>GRI_05_23!$AG$16</f>
        <v>0</v>
      </c>
      <c r="N32" s="12">
        <f>GRI_05_23!$AG$17</f>
        <v>130.80000000000001</v>
      </c>
      <c r="O32" s="12">
        <f>GRI_05_23!$AG$18</f>
        <v>0</v>
      </c>
      <c r="P32" s="12">
        <f>GRI_05_23!$AG$19</f>
        <v>0</v>
      </c>
      <c r="Q32" s="12">
        <f>GRI_05_23!$AG$20</f>
        <v>26.999999999999996</v>
      </c>
      <c r="R32" s="12">
        <f>GRI_05_23!$AG$21</f>
        <v>0</v>
      </c>
      <c r="S32" s="12">
        <f>GRI_05_23!$AG$22</f>
        <v>0</v>
      </c>
      <c r="T32" s="12">
        <f>GRI_05_23!$AG$23+GRI_05_23!$AG$24</f>
        <v>141.1</v>
      </c>
      <c r="U32" s="12">
        <f>GRI_05_23!$AG$25</f>
        <v>105.3</v>
      </c>
      <c r="V32" s="12">
        <f>GRI_05_23!$AG$26</f>
        <v>30.9</v>
      </c>
      <c r="W32" s="12">
        <f>GRI_05_23!$AG$27</f>
        <v>0</v>
      </c>
      <c r="X32" s="12">
        <f>GRI_05_23!$AG$28</f>
        <v>131.60000000000002</v>
      </c>
      <c r="Y32" s="12">
        <f>GRI_05_23!$AG$29</f>
        <v>46.7</v>
      </c>
      <c r="Z32" s="12">
        <f>GRI_05_23!$AG$30</f>
        <v>42.999999999999993</v>
      </c>
      <c r="AA32" s="12">
        <f>GRI_05_23!$AG$31</f>
        <v>0</v>
      </c>
      <c r="AB32" s="12">
        <f>GRI_05_23!$AG$32</f>
        <v>71.2</v>
      </c>
      <c r="AC32" s="12">
        <f>GRI_05_23!$AG$34</f>
        <v>23.3</v>
      </c>
      <c r="AD32" s="12">
        <f>GRI_05_23!$AG$35</f>
        <v>0</v>
      </c>
      <c r="AE32" s="12">
        <f>GRI_05_23!$AG$36</f>
        <v>790.375</v>
      </c>
      <c r="AF32" s="12">
        <f>GRI_05_23!$AG$37</f>
        <v>13.1</v>
      </c>
      <c r="AG32" s="8">
        <f t="shared" si="1"/>
        <v>2026.0350000000001</v>
      </c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</row>
    <row r="33" spans="1:518" x14ac:dyDescent="0.25">
      <c r="A33" s="209"/>
      <c r="B33" s="69" t="s">
        <v>32</v>
      </c>
      <c r="C33" s="12">
        <f>'VER_05_23 '!$AG$3</f>
        <v>0</v>
      </c>
      <c r="D33" s="12">
        <f>'VER_05_23 '!$AG$4</f>
        <v>0</v>
      </c>
      <c r="E33" s="12">
        <f>'VER_05_23 '!$AG$5</f>
        <v>0</v>
      </c>
      <c r="F33" s="12">
        <f>'VER_05_23 '!$AG$6</f>
        <v>77.3</v>
      </c>
      <c r="G33" s="12">
        <f>'VER_05_23 '!$AG$7</f>
        <v>0</v>
      </c>
      <c r="H33" s="12">
        <f>'VER_05_23 '!$AG$8</f>
        <v>0</v>
      </c>
      <c r="I33" s="12">
        <f>'VER_05_23 '!$AG$9</f>
        <v>0</v>
      </c>
      <c r="J33" s="12">
        <f>'VER_05_23 '!$AG$10</f>
        <v>0</v>
      </c>
      <c r="K33" s="12">
        <f>'VER_05_23 '!$AG$11</f>
        <v>0</v>
      </c>
      <c r="L33" s="12">
        <f>'VER_05_23 '!$AG$12</f>
        <v>0</v>
      </c>
      <c r="M33" s="12">
        <f>'VER_05_23 '!$AG$13</f>
        <v>0</v>
      </c>
      <c r="N33" s="12">
        <f>'VER_05_23 '!$AG$14</f>
        <v>0</v>
      </c>
      <c r="O33" s="12">
        <f>'VER_05_23 '!$AG$15</f>
        <v>0</v>
      </c>
      <c r="P33" s="12">
        <f>'VER_05_23 '!$AG$16</f>
        <v>0</v>
      </c>
      <c r="Q33" s="12">
        <f>'VER_05_23 '!$AG$17</f>
        <v>0</v>
      </c>
      <c r="R33" s="12">
        <f>'VER_05_23 '!$AG$18</f>
        <v>0</v>
      </c>
      <c r="S33" s="12">
        <f>'VER_05_23 '!$AG$19</f>
        <v>0</v>
      </c>
      <c r="T33" s="12">
        <f>'VER_05_23 '!$AG$21+'VER_05_23 '!$AG$22</f>
        <v>0</v>
      </c>
      <c r="U33" s="12">
        <f>'VER_05_23 '!$AG$23</f>
        <v>0</v>
      </c>
      <c r="V33" s="12">
        <f>'VER_05_23 '!$AG$24</f>
        <v>0</v>
      </c>
      <c r="W33" s="12">
        <f>'VER_05_23 '!$AG$25</f>
        <v>0</v>
      </c>
      <c r="X33" s="12">
        <f>'VER_05_23 '!$AG$26</f>
        <v>0</v>
      </c>
      <c r="Y33" s="12">
        <f>'VER_05_23 '!$AG$27</f>
        <v>0</v>
      </c>
      <c r="Z33" s="12">
        <f>'VER_05_23 '!$AG$28</f>
        <v>0</v>
      </c>
      <c r="AA33" s="12">
        <f>'VER_05_23 '!$AG$29</f>
        <v>0</v>
      </c>
      <c r="AB33" s="12">
        <f>'VER_05_23 '!$AG$30</f>
        <v>0</v>
      </c>
      <c r="AC33" s="12">
        <f>'VER_05_23 '!$AG$31</f>
        <v>0</v>
      </c>
      <c r="AD33" s="12">
        <f>'VER_05_23 '!$AG$32</f>
        <v>503.03999999999996</v>
      </c>
      <c r="AE33" s="12">
        <f>'VER_05_23 '!$AG$33</f>
        <v>0</v>
      </c>
      <c r="AF33" s="12">
        <f>'VER_05_23 '!$AG$34</f>
        <v>0</v>
      </c>
      <c r="AG33" s="8">
        <f t="shared" si="1"/>
        <v>580.33999999999992</v>
      </c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</row>
    <row r="34" spans="1:518" x14ac:dyDescent="0.25">
      <c r="A34" s="209"/>
      <c r="B34" s="69" t="s">
        <v>33</v>
      </c>
      <c r="C34" s="12">
        <f>NEG_05_23!AG$3</f>
        <v>26.3</v>
      </c>
      <c r="D34" s="12">
        <f>NEG_05_23!AG$4</f>
        <v>0</v>
      </c>
      <c r="E34" s="12">
        <f>NEG_05_23!AG$5</f>
        <v>92.199999999999989</v>
      </c>
      <c r="F34" s="12">
        <f>NEG_05_23!AG$6</f>
        <v>163.09999999999997</v>
      </c>
      <c r="G34" s="12">
        <f>NEG_05_23!AG$7</f>
        <v>87.700000000000017</v>
      </c>
      <c r="H34" s="12">
        <f>NEG_05_23!AG$8</f>
        <v>209.20000000000005</v>
      </c>
      <c r="I34" s="12">
        <f>NEG_05_23!AG$9</f>
        <v>184.40000000000003</v>
      </c>
      <c r="J34" s="12">
        <f>NEG_05_23!AG$10</f>
        <v>18.100000000000001</v>
      </c>
      <c r="K34" s="12">
        <f>NEG_05_23!AG$11</f>
        <v>305.22999999999996</v>
      </c>
      <c r="L34" s="12">
        <f>NEG_05_23!AG$12</f>
        <v>0</v>
      </c>
      <c r="M34" s="12">
        <f>NEG_05_23!AG$13</f>
        <v>226.1</v>
      </c>
      <c r="N34" s="12">
        <f>NEG_05_23!AG$14</f>
        <v>69.2</v>
      </c>
      <c r="O34" s="12">
        <f>NEG_05_23!AG$15</f>
        <v>146.70000000000005</v>
      </c>
      <c r="P34" s="12">
        <f>NEG_05_23!AG$16</f>
        <v>0</v>
      </c>
      <c r="Q34" s="12">
        <f>NEG_05_23!AG$17</f>
        <v>0</v>
      </c>
      <c r="R34" s="12">
        <f>NEG_05_23!AG$18</f>
        <v>70.199999999999989</v>
      </c>
      <c r="S34" s="12">
        <f>NEG_05_23!AG$19</f>
        <v>0</v>
      </c>
      <c r="T34" s="12">
        <f>NEG_05_23!AG$20</f>
        <v>0</v>
      </c>
      <c r="U34" s="12">
        <f>NEG_05_23!AG$22</f>
        <v>158.89999999999998</v>
      </c>
      <c r="V34" s="12">
        <f>NEG_05_23!AG$23</f>
        <v>180.6</v>
      </c>
      <c r="W34" s="12">
        <f>NEG_05_23!AG$24</f>
        <v>69.759999999999977</v>
      </c>
      <c r="X34" s="12">
        <f>NEG_05_23!AG$25</f>
        <v>2</v>
      </c>
      <c r="Y34" s="12">
        <f>NEG_05_23!AG$26</f>
        <v>192.60000000000002</v>
      </c>
      <c r="Z34" s="12">
        <f>NEG_05_23!AG$27</f>
        <v>88.399999999999991</v>
      </c>
      <c r="AA34" s="12">
        <f>NEG_05_23!AG$28</f>
        <v>74.5</v>
      </c>
      <c r="AB34" s="12">
        <f>NEG_05_23!AG$29</f>
        <v>0</v>
      </c>
      <c r="AC34" s="12">
        <f>NEG_05_23!AG$30</f>
        <v>102.99999999999999</v>
      </c>
      <c r="AD34" s="12">
        <f>NEG_05_23!AG$32</f>
        <v>0</v>
      </c>
      <c r="AE34" s="12">
        <f>NEG_05_23!AG$33</f>
        <v>187</v>
      </c>
      <c r="AF34" s="12">
        <f>NEG_05_23!AG$34</f>
        <v>1123.2399999999998</v>
      </c>
      <c r="AG34" s="8">
        <f t="shared" si="1"/>
        <v>3778.43</v>
      </c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</row>
    <row r="35" spans="1:518" x14ac:dyDescent="0.25">
      <c r="A35" s="209"/>
      <c r="B35" s="69" t="s">
        <v>34</v>
      </c>
      <c r="C35" s="12"/>
      <c r="D35" s="3"/>
      <c r="E35" s="7"/>
      <c r="F35" s="7"/>
      <c r="G35" s="7"/>
      <c r="H35" s="7"/>
      <c r="I35" s="7"/>
      <c r="J35" s="12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9"/>
      <c r="Z35" s="9"/>
      <c r="AA35" s="9"/>
      <c r="AB35" s="9"/>
      <c r="AC35" s="9"/>
      <c r="AD35" s="9"/>
      <c r="AE35" s="9"/>
      <c r="AF35" s="9"/>
      <c r="AG35" s="8">
        <f t="shared" si="1"/>
        <v>0</v>
      </c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</row>
    <row r="36" spans="1:518" s="4" customFormat="1" x14ac:dyDescent="0.25">
      <c r="A36" s="207" t="s">
        <v>97</v>
      </c>
      <c r="B36" s="208"/>
      <c r="C36" s="64">
        <f>SUM(C30:C35)</f>
        <v>50.6</v>
      </c>
      <c r="D36" s="8">
        <f>SUM(D30:D35)</f>
        <v>0</v>
      </c>
      <c r="E36" s="8">
        <f t="shared" ref="E36" si="26">SUM(E30:E35)</f>
        <v>186.5</v>
      </c>
      <c r="F36" s="8">
        <f t="shared" ref="F36" si="27">SUM(F30:F35)</f>
        <v>308.19999999999993</v>
      </c>
      <c r="G36" s="8">
        <f t="shared" ref="G36" si="28">SUM(G30:G35)</f>
        <v>88.700000000000017</v>
      </c>
      <c r="H36" s="8">
        <f t="shared" ref="H36" si="29">SUM(H30:H35)</f>
        <v>337.6</v>
      </c>
      <c r="I36" s="8">
        <f t="shared" ref="I36" si="30">SUM(I30:I35)</f>
        <v>790.2800000000002</v>
      </c>
      <c r="J36" s="8">
        <f t="shared" ref="J36" si="31">SUM(J30:J35)</f>
        <v>257.72000000000003</v>
      </c>
      <c r="K36" s="8">
        <f t="shared" ref="K36" si="32">SUM(K30:K35)</f>
        <v>305.22999999999996</v>
      </c>
      <c r="L36" s="8">
        <f t="shared" ref="L36" si="33">SUM(L30:L35)</f>
        <v>97.699999999999989</v>
      </c>
      <c r="M36" s="8">
        <f t="shared" ref="M36" si="34">SUM(M30:M35)</f>
        <v>226.1</v>
      </c>
      <c r="N36" s="8">
        <f t="shared" ref="N36" si="35">SUM(N30:N35)</f>
        <v>272.3</v>
      </c>
      <c r="O36" s="8">
        <f t="shared" ref="O36" si="36">SUM(O30:O35)</f>
        <v>146.70000000000005</v>
      </c>
      <c r="P36" s="8">
        <f t="shared" ref="P36" si="37">SUM(P30:P35)</f>
        <v>0</v>
      </c>
      <c r="Q36" s="8">
        <f t="shared" ref="Q36" si="38">SUM(Q30:Q35)</f>
        <v>39.799999999999997</v>
      </c>
      <c r="R36" s="8">
        <f t="shared" ref="R36" si="39">SUM(R30:R35)</f>
        <v>70.199999999999989</v>
      </c>
      <c r="S36" s="8">
        <f t="shared" ref="S36" si="40">SUM(S30:S35)</f>
        <v>0</v>
      </c>
      <c r="T36" s="8">
        <f t="shared" ref="T36" si="41">SUM(T30:T35)</f>
        <v>312.79999999999995</v>
      </c>
      <c r="U36" s="8">
        <f t="shared" ref="U36" si="42">SUM(U30:U35)</f>
        <v>323.39999999999998</v>
      </c>
      <c r="V36" s="8">
        <f t="shared" ref="V36" si="43">SUM(V30:V35)</f>
        <v>229.2</v>
      </c>
      <c r="W36" s="8">
        <f t="shared" ref="W36" si="44">SUM(W30:W35)</f>
        <v>69.759999999999977</v>
      </c>
      <c r="X36" s="8">
        <f t="shared" ref="X36" si="45">SUM(X30:X35)</f>
        <v>189.10000000000002</v>
      </c>
      <c r="Y36" s="8">
        <f t="shared" ref="Y36" si="46">SUM(Y30:Y35)</f>
        <v>270</v>
      </c>
      <c r="Z36" s="8">
        <f t="shared" ref="Z36:AF36" si="47">SUM(Z30:Z35)</f>
        <v>146.5</v>
      </c>
      <c r="AA36" s="8">
        <f t="shared" si="47"/>
        <v>74.5</v>
      </c>
      <c r="AB36" s="8">
        <f t="shared" si="47"/>
        <v>115.25</v>
      </c>
      <c r="AC36" s="8">
        <f t="shared" si="47"/>
        <v>217.5</v>
      </c>
      <c r="AD36" s="8">
        <f t="shared" si="47"/>
        <v>537.64</v>
      </c>
      <c r="AE36" s="8">
        <f t="shared" si="47"/>
        <v>1768.9349999999999</v>
      </c>
      <c r="AF36" s="8">
        <f t="shared" si="47"/>
        <v>1136.3399999999997</v>
      </c>
      <c r="AG36" s="8">
        <f t="shared" si="1"/>
        <v>8568.5550000000003</v>
      </c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</row>
    <row r="37" spans="1:518" x14ac:dyDescent="0.25">
      <c r="A37" s="210" t="s">
        <v>35</v>
      </c>
      <c r="B37" s="69" t="s">
        <v>36</v>
      </c>
      <c r="C37" s="12">
        <f>PAP_06_23!$AG$3</f>
        <v>0</v>
      </c>
      <c r="D37" s="12">
        <f>PAP_06_23!$AG$4</f>
        <v>0</v>
      </c>
      <c r="E37" s="12">
        <f>PAP_06_23!$AG$5</f>
        <v>0</v>
      </c>
      <c r="F37" s="12">
        <f>PAP_06_23!$AG$6</f>
        <v>0</v>
      </c>
      <c r="G37" s="12">
        <f>PAP_06_23!$AG$7</f>
        <v>0</v>
      </c>
      <c r="H37" s="12">
        <f>PAP_06_23!$AG$8</f>
        <v>0</v>
      </c>
      <c r="I37" s="12">
        <f>PAP_06_23!$AG$9</f>
        <v>0</v>
      </c>
      <c r="J37" s="12">
        <f>PAP_06_23!$AG$10</f>
        <v>0</v>
      </c>
      <c r="K37" s="12">
        <f>PAP_06_23!$AG$11</f>
        <v>0</v>
      </c>
      <c r="L37" s="12">
        <f>PAP_06_23!$AG$12</f>
        <v>0</v>
      </c>
      <c r="M37" s="12">
        <f>PAP_06_23!$AG$13</f>
        <v>0</v>
      </c>
      <c r="N37" s="12">
        <f>PAP_06_23!$AG$14</f>
        <v>0</v>
      </c>
      <c r="O37" s="12">
        <f>PAP_06_23!$AG$15</f>
        <v>0</v>
      </c>
      <c r="P37" s="12">
        <f>PAP_06_23!$AG$16</f>
        <v>0</v>
      </c>
      <c r="Q37" s="12">
        <f>PAP_06_23!$AG$17</f>
        <v>0</v>
      </c>
      <c r="R37" s="12">
        <f>PAP_06_23!$AG$18</f>
        <v>0</v>
      </c>
      <c r="S37" s="12">
        <f>PAP_06_23!$AG$19</f>
        <v>0</v>
      </c>
      <c r="T37" s="12">
        <f>PAP_06_23!$AG$20</f>
        <v>0</v>
      </c>
      <c r="U37" s="12">
        <f>PAP_06_23!$AG$21</f>
        <v>0</v>
      </c>
      <c r="V37" s="12">
        <f>PAP_06_23!$AG$22</f>
        <v>0</v>
      </c>
      <c r="W37" s="12">
        <f>PAP_06_23!$AG$23</f>
        <v>0</v>
      </c>
      <c r="X37" s="12">
        <f>PAP_06_23!$AG$24</f>
        <v>0</v>
      </c>
      <c r="Y37" s="12">
        <f>PAP_06_23!$AG$25</f>
        <v>0</v>
      </c>
      <c r="Z37" s="12">
        <f>PAP_06_23!$AG$26</f>
        <v>0</v>
      </c>
      <c r="AA37" s="12">
        <f>PAP_06_23!$AG$27</f>
        <v>0</v>
      </c>
      <c r="AB37" s="12">
        <f>PAP_06_23!$AG$28</f>
        <v>0</v>
      </c>
      <c r="AC37" s="12">
        <f>PAP_06_23!$AG$29</f>
        <v>0</v>
      </c>
      <c r="AD37" s="12">
        <f>PAP_06_23!$AG$30</f>
        <v>0</v>
      </c>
      <c r="AE37" s="12">
        <f>PAP_06_23!$AG$31</f>
        <v>0</v>
      </c>
      <c r="AF37" s="12">
        <f>PAP_06_23!$AG$32</f>
        <v>0</v>
      </c>
      <c r="AG37" s="8">
        <f t="shared" ref="AG37:AG49" si="48">SUM(C37:AE37)</f>
        <v>0</v>
      </c>
      <c r="AH37" s="2"/>
      <c r="AI37" s="2">
        <f>+AG37+AG38+AG39</f>
        <v>76</v>
      </c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</row>
    <row r="38" spans="1:518" x14ac:dyDescent="0.25">
      <c r="A38" s="210"/>
      <c r="B38" s="69" t="s">
        <v>37</v>
      </c>
      <c r="C38" s="12">
        <f>'PLA_06_23 '!$AG$3</f>
        <v>0</v>
      </c>
      <c r="D38" s="162">
        <f>'PLA_06_23 '!$AG$4</f>
        <v>0</v>
      </c>
      <c r="E38" s="161">
        <f>'PLA_06_23 '!$AG$5</f>
        <v>0</v>
      </c>
      <c r="F38" s="162">
        <f>'PLA_06_23 '!$AG$6</f>
        <v>0</v>
      </c>
      <c r="G38" s="162">
        <f>'PLA_06_23 '!$AG$7</f>
        <v>0</v>
      </c>
      <c r="H38" s="161">
        <f>'PLA_06_23 '!$AG$8</f>
        <v>0</v>
      </c>
      <c r="I38" s="161">
        <f>'PLA_06_23 '!$AG$9</f>
        <v>0</v>
      </c>
      <c r="J38" s="161">
        <f>'PLA_06_23 '!$AG$10</f>
        <v>0</v>
      </c>
      <c r="K38" s="162">
        <f>'PLA_06_23 '!$AG$11</f>
        <v>0</v>
      </c>
      <c r="L38" s="161">
        <f>'PLA_06_23 '!$AG$12</f>
        <v>0</v>
      </c>
      <c r="M38" s="161">
        <f>'PLA_06_23 '!$AG$13</f>
        <v>0</v>
      </c>
      <c r="N38" s="161">
        <f>'PLA_06_23 '!$AG$14</f>
        <v>0</v>
      </c>
      <c r="O38" s="161">
        <f>'PLA_06_23 '!$AG$15</f>
        <v>0</v>
      </c>
      <c r="P38" s="161">
        <f>'PLA_06_23 '!$AG$16</f>
        <v>0</v>
      </c>
      <c r="Q38" s="161">
        <f>'PLA_06_23 '!$AG$17</f>
        <v>0</v>
      </c>
      <c r="R38" s="162">
        <f>'PLA_06_23 '!$AG$18</f>
        <v>0</v>
      </c>
      <c r="S38" s="162">
        <f>'PLA_06_23 '!$AG$19</f>
        <v>0</v>
      </c>
      <c r="T38" s="161">
        <f>'PLA_06_23 '!$AG$20</f>
        <v>0</v>
      </c>
      <c r="U38" s="161">
        <f>'PLA_06_23 '!$AG$21</f>
        <v>0</v>
      </c>
      <c r="V38" s="161">
        <f>'PLA_06_23 '!$AG$22</f>
        <v>0</v>
      </c>
      <c r="W38" s="162">
        <f>'PLA_06_23 '!$AG$23</f>
        <v>0</v>
      </c>
      <c r="X38" s="162">
        <f>'PLA_06_23 '!$AG$24</f>
        <v>0</v>
      </c>
      <c r="Y38" s="162">
        <f>'PLA_06_23 '!$AG$25</f>
        <v>0</v>
      </c>
      <c r="Z38" s="161">
        <f>'PLA_06_23 '!$AG$26</f>
        <v>0</v>
      </c>
      <c r="AA38" s="162">
        <f>'PLA_06_23 '!$AG$27</f>
        <v>0</v>
      </c>
      <c r="AB38" s="162">
        <f>'PLA_06_23 '!$AG$28</f>
        <v>0</v>
      </c>
      <c r="AC38" s="161">
        <f>'PLA_06_23 '!$AG$29</f>
        <v>0</v>
      </c>
      <c r="AD38" s="161">
        <f>'PLA_06_23 '!$AG$30</f>
        <v>0</v>
      </c>
      <c r="AE38" s="162">
        <f>'PLA_06_23 '!$AG$31</f>
        <v>0</v>
      </c>
      <c r="AF38" s="162">
        <f>'PLA_06_23 '!$AG$32</f>
        <v>0</v>
      </c>
      <c r="AG38" s="8">
        <f t="shared" si="48"/>
        <v>0</v>
      </c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</row>
    <row r="39" spans="1:518" x14ac:dyDescent="0.25">
      <c r="A39" s="210"/>
      <c r="B39" s="69" t="s">
        <v>38</v>
      </c>
      <c r="C39" s="12">
        <f>'GRI_06_23 '!$AG$3</f>
        <v>0</v>
      </c>
      <c r="D39" s="12">
        <f>'GRI_06_23 '!$AG$4</f>
        <v>0</v>
      </c>
      <c r="E39" s="12">
        <f>'GRI_06_23 '!$AG$5</f>
        <v>76</v>
      </c>
      <c r="F39" s="12">
        <f>'GRI_06_23 '!$AG$6</f>
        <v>0</v>
      </c>
      <c r="G39" s="12">
        <f>'GRI_06_23 '!$AG$7</f>
        <v>0</v>
      </c>
      <c r="H39" s="12">
        <f>'GRI_06_23 '!$AG$8</f>
        <v>0</v>
      </c>
      <c r="I39" s="12">
        <f>'GRI_06_23 '!$AG$9</f>
        <v>0</v>
      </c>
      <c r="J39" s="12">
        <f>'GRI_06_23 '!$AG$10</f>
        <v>0</v>
      </c>
      <c r="K39" s="12">
        <f>'GRI_06_23 '!$AG$11</f>
        <v>0</v>
      </c>
      <c r="L39" s="12">
        <f>'GRI_06_23 '!$AG$13</f>
        <v>0</v>
      </c>
      <c r="M39" s="163">
        <f>'GRI_06_23 '!$AG$15</f>
        <v>0</v>
      </c>
      <c r="N39" s="12">
        <f>'GRI_06_23 '!$AG$16</f>
        <v>0</v>
      </c>
      <c r="O39" s="12">
        <f>'GRI_06_23 '!$AG$17</f>
        <v>0</v>
      </c>
      <c r="P39" s="12">
        <f>'GRI_06_23 '!$AG$18</f>
        <v>0</v>
      </c>
      <c r="Q39" s="12">
        <f>'GRI_06_23 '!$AG$19</f>
        <v>0</v>
      </c>
      <c r="R39" s="12">
        <f>'GRI_06_23 '!$AG$20</f>
        <v>0</v>
      </c>
      <c r="S39" s="12">
        <f>'GRI_06_23 '!$AG$21</f>
        <v>0</v>
      </c>
      <c r="T39" s="12">
        <f>'GRI_06_23 '!$AG$22</f>
        <v>0</v>
      </c>
      <c r="U39" s="12">
        <f>'GRI_06_23 '!$AG$23</f>
        <v>0</v>
      </c>
      <c r="V39" s="12">
        <f>'GRI_06_23 '!$AG$24</f>
        <v>0</v>
      </c>
      <c r="W39" s="12">
        <f>'GRI_06_23 '!$AG$25</f>
        <v>0</v>
      </c>
      <c r="X39" s="12">
        <f>'GRI_06_23 '!$AG$26</f>
        <v>0</v>
      </c>
      <c r="Y39" s="12">
        <f>'GRI_06_23 '!$AG$27</f>
        <v>0</v>
      </c>
      <c r="Z39" s="12">
        <f>'GRI_06_23 '!$AG$28</f>
        <v>0</v>
      </c>
      <c r="AA39" s="163">
        <f>'GRI_06_23 '!$AG$29</f>
        <v>0</v>
      </c>
      <c r="AB39" s="12">
        <f>'GRI_06_23 '!$AG$30</f>
        <v>0</v>
      </c>
      <c r="AC39" s="12">
        <f>'GRI_06_23 '!$AG$31</f>
        <v>0</v>
      </c>
      <c r="AD39" s="12">
        <f>'GRI_06_23 '!$AG$32</f>
        <v>0</v>
      </c>
      <c r="AE39" s="12">
        <f>'GRI_06_23 '!$AG$33</f>
        <v>0</v>
      </c>
      <c r="AF39" s="12">
        <f>'GRI_06_23 '!$AG$34</f>
        <v>0</v>
      </c>
      <c r="AG39" s="8">
        <f t="shared" si="48"/>
        <v>76</v>
      </c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</row>
    <row r="40" spans="1:518" x14ac:dyDescent="0.25">
      <c r="A40" s="210"/>
      <c r="B40" s="69" t="s">
        <v>39</v>
      </c>
      <c r="C40" s="12">
        <f>'VER_06_23 '!AG3</f>
        <v>0</v>
      </c>
      <c r="D40" s="12">
        <f>'VER_06_23 '!$AG$4</f>
        <v>0</v>
      </c>
      <c r="E40" s="12">
        <f>'VER_06_23 '!$AG$5</f>
        <v>0</v>
      </c>
      <c r="F40" s="12">
        <f>'VER_06_23 '!$AG$6</f>
        <v>0</v>
      </c>
      <c r="G40" s="12">
        <f>'VER_06_23 '!$AG$7</f>
        <v>0</v>
      </c>
      <c r="H40" s="12">
        <f>'VER_06_23 '!$AG$8</f>
        <v>0</v>
      </c>
      <c r="I40" s="12">
        <f>'VER_06_23 '!$AG$9</f>
        <v>0</v>
      </c>
      <c r="J40" s="12">
        <f>'VER_06_23 '!$AG$10</f>
        <v>0</v>
      </c>
      <c r="K40" s="12">
        <f>'VER_06_23 '!$AG$11</f>
        <v>0</v>
      </c>
      <c r="L40" s="12">
        <f>'VER_06_23 '!$AG$12</f>
        <v>0</v>
      </c>
      <c r="M40" s="12">
        <f>'VER_06_23 '!$AG$13</f>
        <v>0</v>
      </c>
      <c r="N40" s="12">
        <f>'VER_06_23 '!$AG$14</f>
        <v>0</v>
      </c>
      <c r="O40" s="12">
        <f>'VER_06_23 '!$AG$15</f>
        <v>0</v>
      </c>
      <c r="P40" s="12">
        <f>'VER_06_23 '!$AG$16</f>
        <v>0</v>
      </c>
      <c r="Q40" s="12">
        <f>'VER_06_23 '!$AG$17</f>
        <v>0</v>
      </c>
      <c r="R40" s="12">
        <f>'VER_06_23 '!$AG$18</f>
        <v>0</v>
      </c>
      <c r="S40" s="12">
        <f>'VER_06_23 '!$AG$19</f>
        <v>0</v>
      </c>
      <c r="T40" s="12">
        <f>'VER_06_23 '!$AG$21</f>
        <v>0</v>
      </c>
      <c r="U40" s="12">
        <f>'VER_06_23 '!$AG$22</f>
        <v>0</v>
      </c>
      <c r="V40" s="12">
        <f>'VER_06_23 '!$AG$23</f>
        <v>0</v>
      </c>
      <c r="W40" s="12">
        <f>'VER_06_23 '!$AG$24</f>
        <v>0</v>
      </c>
      <c r="X40" s="12">
        <f>'VER_06_23 '!$AG$25</f>
        <v>0</v>
      </c>
      <c r="Y40" s="12">
        <f>'VER_06_23 '!$AG$26</f>
        <v>0</v>
      </c>
      <c r="Z40" s="12">
        <f>'VER_06_23 '!$AG$27</f>
        <v>0</v>
      </c>
      <c r="AA40" s="12">
        <f>'VER_06_23 '!$AG$28</f>
        <v>0</v>
      </c>
      <c r="AB40" s="12">
        <f>'VER_06_23 '!$AG$29</f>
        <v>0</v>
      </c>
      <c r="AC40" s="12">
        <f>'VER_06_23 '!$AG$30</f>
        <v>0</v>
      </c>
      <c r="AD40" s="12">
        <f>'VER_06_23 '!$AG$31</f>
        <v>0</v>
      </c>
      <c r="AE40" s="12">
        <f>'VER_06_23 '!$AG$32</f>
        <v>0</v>
      </c>
      <c r="AF40" s="12">
        <f>'VER_06_23 '!$AG$33</f>
        <v>0</v>
      </c>
      <c r="AG40" s="8">
        <f t="shared" si="48"/>
        <v>0</v>
      </c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</row>
    <row r="41" spans="1:518" x14ac:dyDescent="0.25">
      <c r="A41" s="210"/>
      <c r="B41" s="69" t="s">
        <v>40</v>
      </c>
      <c r="C41" s="12">
        <f>NEG_06_23!AG$3</f>
        <v>0</v>
      </c>
      <c r="D41" s="12">
        <f>NEG_06_23!AG$4</f>
        <v>0</v>
      </c>
      <c r="E41" s="12">
        <f>NEG_06_23!AG$5</f>
        <v>0</v>
      </c>
      <c r="F41" s="12">
        <f>NEG_06_23!AG$6</f>
        <v>0</v>
      </c>
      <c r="G41" s="12">
        <f>NEG_06_23!AG$7</f>
        <v>0</v>
      </c>
      <c r="H41" s="12">
        <f>NEG_06_23!AG$8</f>
        <v>0</v>
      </c>
      <c r="I41" s="12">
        <f>NEG_06_23!AG$9</f>
        <v>0</v>
      </c>
      <c r="J41" s="12">
        <f>NEG_06_23!AG$10</f>
        <v>0</v>
      </c>
      <c r="K41" s="12">
        <f>NEG_06_23!AG$11</f>
        <v>0</v>
      </c>
      <c r="L41" s="12">
        <f>NEG_06_23!AG$12</f>
        <v>0</v>
      </c>
      <c r="M41" s="12">
        <f>NEG_06_23!AG$13</f>
        <v>0</v>
      </c>
      <c r="N41" s="12">
        <f>NEG_06_23!AG$14</f>
        <v>0</v>
      </c>
      <c r="O41" s="12">
        <f>NEG_06_23!AG$15</f>
        <v>0</v>
      </c>
      <c r="P41" s="12">
        <f>NEG_06_23!AG$16</f>
        <v>0</v>
      </c>
      <c r="Q41" s="12">
        <f>NEG_06_23!AG$17</f>
        <v>0</v>
      </c>
      <c r="R41" s="12">
        <f>NEG_06_23!AG$18</f>
        <v>0</v>
      </c>
      <c r="S41" s="12">
        <f>NEG_06_23!AG$19</f>
        <v>0</v>
      </c>
      <c r="T41" s="12">
        <f>NEG_06_23!AG$20</f>
        <v>0</v>
      </c>
      <c r="U41" s="12">
        <f>NEG_06_23!AG$21</f>
        <v>0</v>
      </c>
      <c r="V41" s="12">
        <f>NEG_06_23!AG$22</f>
        <v>0</v>
      </c>
      <c r="W41" s="12">
        <f>NEG_06_23!AG$23</f>
        <v>0</v>
      </c>
      <c r="X41" s="12">
        <f>NEG_06_23!AG$24</f>
        <v>0</v>
      </c>
      <c r="Y41" s="12">
        <f>NEG_06_23!AG$25</f>
        <v>0</v>
      </c>
      <c r="Z41" s="12">
        <f>NEG_06_23!AG$26</f>
        <v>0</v>
      </c>
      <c r="AA41" s="12">
        <f>NEG_06_23!AG$27</f>
        <v>0</v>
      </c>
      <c r="AB41" s="12">
        <f>NEG_06_23!AG$28</f>
        <v>0</v>
      </c>
      <c r="AC41" s="12">
        <f>NEG_06_23!AG$29</f>
        <v>0</v>
      </c>
      <c r="AD41" s="12">
        <f>NEG_06_23!AG$30</f>
        <v>0</v>
      </c>
      <c r="AE41" s="12">
        <f>NEG_06_23!AG$31</f>
        <v>0</v>
      </c>
      <c r="AF41" s="12">
        <f>NEG_06_23!AG$32</f>
        <v>0</v>
      </c>
      <c r="AG41" s="8">
        <f t="shared" si="48"/>
        <v>0</v>
      </c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</row>
    <row r="42" spans="1:518" x14ac:dyDescent="0.25">
      <c r="A42" s="210"/>
      <c r="B42" s="69" t="s">
        <v>41</v>
      </c>
      <c r="C42" s="12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9"/>
      <c r="Z42" s="9"/>
      <c r="AA42" s="9"/>
      <c r="AB42" s="9"/>
      <c r="AC42" s="9"/>
      <c r="AD42" s="9"/>
      <c r="AE42" s="9"/>
      <c r="AF42" s="9"/>
      <c r="AG42" s="8">
        <f t="shared" si="48"/>
        <v>0</v>
      </c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</row>
    <row r="43" spans="1:518" s="4" customFormat="1" x14ac:dyDescent="0.25">
      <c r="A43" s="207" t="s">
        <v>97</v>
      </c>
      <c r="B43" s="208"/>
      <c r="C43" s="64">
        <f>SUM(C37:C42)</f>
        <v>0</v>
      </c>
      <c r="D43" s="8">
        <f>SUM(D37:D42)</f>
        <v>0</v>
      </c>
      <c r="E43" s="8">
        <f t="shared" ref="E43:AF43" si="49">SUM(E37:E42)</f>
        <v>76</v>
      </c>
      <c r="F43" s="8">
        <f t="shared" si="49"/>
        <v>0</v>
      </c>
      <c r="G43" s="8">
        <f t="shared" si="49"/>
        <v>0</v>
      </c>
      <c r="H43" s="8">
        <f t="shared" si="49"/>
        <v>0</v>
      </c>
      <c r="I43" s="8">
        <f t="shared" si="49"/>
        <v>0</v>
      </c>
      <c r="J43" s="8">
        <f t="shared" si="49"/>
        <v>0</v>
      </c>
      <c r="K43" s="8">
        <f t="shared" si="49"/>
        <v>0</v>
      </c>
      <c r="L43" s="8">
        <f t="shared" si="49"/>
        <v>0</v>
      </c>
      <c r="M43" s="8">
        <f t="shared" si="49"/>
        <v>0</v>
      </c>
      <c r="N43" s="8">
        <f t="shared" si="49"/>
        <v>0</v>
      </c>
      <c r="O43" s="8">
        <f t="shared" si="49"/>
        <v>0</v>
      </c>
      <c r="P43" s="8">
        <f t="shared" si="49"/>
        <v>0</v>
      </c>
      <c r="Q43" s="8">
        <f t="shared" si="49"/>
        <v>0</v>
      </c>
      <c r="R43" s="8">
        <f t="shared" si="49"/>
        <v>0</v>
      </c>
      <c r="S43" s="8">
        <f t="shared" si="49"/>
        <v>0</v>
      </c>
      <c r="T43" s="8">
        <f t="shared" si="49"/>
        <v>0</v>
      </c>
      <c r="U43" s="8">
        <f t="shared" si="49"/>
        <v>0</v>
      </c>
      <c r="V43" s="8">
        <f t="shared" si="49"/>
        <v>0</v>
      </c>
      <c r="W43" s="8">
        <f t="shared" si="49"/>
        <v>0</v>
      </c>
      <c r="X43" s="8">
        <f t="shared" si="49"/>
        <v>0</v>
      </c>
      <c r="Y43" s="8">
        <f t="shared" si="49"/>
        <v>0</v>
      </c>
      <c r="Z43" s="8">
        <f t="shared" si="49"/>
        <v>0</v>
      </c>
      <c r="AA43" s="8">
        <f t="shared" si="49"/>
        <v>0</v>
      </c>
      <c r="AB43" s="8">
        <f t="shared" si="49"/>
        <v>0</v>
      </c>
      <c r="AC43" s="8">
        <f t="shared" si="49"/>
        <v>0</v>
      </c>
      <c r="AD43" s="8">
        <f t="shared" si="49"/>
        <v>0</v>
      </c>
      <c r="AE43" s="8">
        <f t="shared" si="49"/>
        <v>0</v>
      </c>
      <c r="AF43" s="8">
        <f t="shared" si="49"/>
        <v>0</v>
      </c>
      <c r="AG43" s="8">
        <f t="shared" si="48"/>
        <v>76</v>
      </c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</row>
    <row r="44" spans="1:518" x14ac:dyDescent="0.25">
      <c r="A44" s="210" t="s">
        <v>42</v>
      </c>
      <c r="B44" s="69" t="s">
        <v>43</v>
      </c>
      <c r="C44" s="12">
        <f>PAP_07_23!AG3</f>
        <v>0</v>
      </c>
      <c r="D44" s="12">
        <f>PAP_07_23!AG4</f>
        <v>0</v>
      </c>
      <c r="E44" s="12">
        <f>PAP_07_23!AG5</f>
        <v>0</v>
      </c>
      <c r="F44" s="12">
        <f>PAP_07_23!AG6</f>
        <v>0</v>
      </c>
      <c r="G44" s="12">
        <f>PAP_07_23!AG7</f>
        <v>0</v>
      </c>
      <c r="H44" s="12">
        <f>PAP_07_23!AG8</f>
        <v>0</v>
      </c>
      <c r="I44" s="12">
        <f>PAP_07_23!AG9</f>
        <v>0</v>
      </c>
      <c r="J44" s="12">
        <f>PAP_07_23!AG10</f>
        <v>0</v>
      </c>
      <c r="K44" s="12">
        <f>PAP_07_23!AG11</f>
        <v>0</v>
      </c>
      <c r="L44" s="12">
        <f>PAP_07_23!AG12</f>
        <v>0</v>
      </c>
      <c r="M44" s="12">
        <f>PAP_07_23!AG13</f>
        <v>0</v>
      </c>
      <c r="N44" s="12">
        <f>PAP_07_23!AG14</f>
        <v>0</v>
      </c>
      <c r="O44" s="12">
        <f>PAP_07_23!AG15</f>
        <v>0</v>
      </c>
      <c r="P44" s="12">
        <f>PAP_07_23!AG16</f>
        <v>0</v>
      </c>
      <c r="Q44" s="12">
        <f>PAP_07_23!AG17</f>
        <v>0</v>
      </c>
      <c r="R44" s="12">
        <f>PAP_07_23!AG18</f>
        <v>0</v>
      </c>
      <c r="S44" s="12">
        <f>PAP_07_23!AG19</f>
        <v>0</v>
      </c>
      <c r="T44" s="12">
        <f>PAP_07_23!AG20</f>
        <v>0</v>
      </c>
      <c r="U44" s="12">
        <f>PAP_07_23!AG21</f>
        <v>0</v>
      </c>
      <c r="V44" s="12">
        <f>PAP_07_23!AG22</f>
        <v>0</v>
      </c>
      <c r="W44" s="12">
        <f>PAP_07_23!AG23</f>
        <v>0</v>
      </c>
      <c r="X44" s="12">
        <f>PAP_07_23!AG24</f>
        <v>0</v>
      </c>
      <c r="Y44" s="12">
        <f>PAP_07_23!AG25</f>
        <v>0</v>
      </c>
      <c r="Z44" s="12">
        <f>PAP_07_23!AG26</f>
        <v>0</v>
      </c>
      <c r="AA44" s="12">
        <f>PAP_07_23!AG27</f>
        <v>0</v>
      </c>
      <c r="AB44" s="12">
        <f>PAP_07_23!AG28</f>
        <v>0</v>
      </c>
      <c r="AC44" s="12">
        <f>PAP_07_23!AG29</f>
        <v>0</v>
      </c>
      <c r="AD44" s="12">
        <f>PAP_07_23!AG30</f>
        <v>0</v>
      </c>
      <c r="AE44" s="12">
        <f>PAP_07_23!AG31</f>
        <v>0</v>
      </c>
      <c r="AF44" s="12">
        <f>PAP_07_23!AG32</f>
        <v>0</v>
      </c>
      <c r="AG44" s="8">
        <f>SUM(C44:AF44)</f>
        <v>0</v>
      </c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</row>
    <row r="45" spans="1:518" x14ac:dyDescent="0.25">
      <c r="A45" s="210"/>
      <c r="B45" s="69" t="s">
        <v>44</v>
      </c>
      <c r="C45" s="12">
        <f>'PLA_07_23 '!$AG$3</f>
        <v>0</v>
      </c>
      <c r="D45" s="12">
        <f>'PLA_07_23 '!AG$4</f>
        <v>0</v>
      </c>
      <c r="E45" s="161">
        <f>'PLA_07_23 '!$AG$5</f>
        <v>0</v>
      </c>
      <c r="F45" s="12">
        <f>'PLA_07_23 '!AG$6</f>
        <v>0</v>
      </c>
      <c r="G45" s="12">
        <f>'PLA_07_23 '!AG7</f>
        <v>0</v>
      </c>
      <c r="H45" s="12">
        <f>'PLA_07_23 '!AG8</f>
        <v>0</v>
      </c>
      <c r="I45" s="12">
        <f>'PLA_07_23 '!AG9</f>
        <v>0</v>
      </c>
      <c r="J45" s="12">
        <f>'PLA_07_23 '!AG10</f>
        <v>0</v>
      </c>
      <c r="K45" s="12">
        <f>'PLA_07_23 '!AG10</f>
        <v>0</v>
      </c>
      <c r="L45" s="12">
        <f>'PLA_07_23 '!AG11</f>
        <v>0</v>
      </c>
      <c r="M45" s="12">
        <f>'PLA_07_23 '!AG12</f>
        <v>0</v>
      </c>
      <c r="N45" s="12">
        <f>'PLA_07_23 '!AG13</f>
        <v>0</v>
      </c>
      <c r="O45" s="12">
        <f>'PLA_07_23 '!AG14</f>
        <v>0</v>
      </c>
      <c r="P45" s="12">
        <f>'PLA_07_23 '!AG15</f>
        <v>0</v>
      </c>
      <c r="Q45" s="12">
        <f>'PLA_07_23 '!AG16</f>
        <v>0</v>
      </c>
      <c r="R45" s="12">
        <f>'PLA_07_23 '!AG17</f>
        <v>0</v>
      </c>
      <c r="S45" s="12">
        <f>'PLA_07_23 '!AG18</f>
        <v>0</v>
      </c>
      <c r="T45" s="12">
        <f>'PLA_07_23 '!AG19</f>
        <v>0</v>
      </c>
      <c r="U45" s="12">
        <f>'PLA_07_23 '!AG20</f>
        <v>0</v>
      </c>
      <c r="V45" s="12">
        <f>'PLA_07_23 '!AG21</f>
        <v>0</v>
      </c>
      <c r="W45" s="12">
        <f>'PLA_07_23 '!AG22</f>
        <v>0</v>
      </c>
      <c r="X45" s="12">
        <f>'PLA_07_23 '!AG23</f>
        <v>0</v>
      </c>
      <c r="Y45" s="12">
        <f>'PLA_07_23 '!AG24</f>
        <v>0</v>
      </c>
      <c r="Z45" s="12">
        <f>'PLA_07_23 '!AG25</f>
        <v>0</v>
      </c>
      <c r="AA45" s="12">
        <f>'PLA_07_23 '!AG26</f>
        <v>0</v>
      </c>
      <c r="AB45" s="12">
        <f>'PLA_07_23 '!AG27</f>
        <v>0</v>
      </c>
      <c r="AC45" s="12">
        <f>'PLA_07_23 '!AG$28</f>
        <v>0</v>
      </c>
      <c r="AD45" s="12">
        <f>'PLA_07_23 '!AG$29</f>
        <v>0</v>
      </c>
      <c r="AE45" s="12">
        <f>'PLA_07_23 '!AG$30</f>
        <v>0</v>
      </c>
      <c r="AF45" s="12">
        <f>'PLA_07_23 '!AG31</f>
        <v>0</v>
      </c>
      <c r="AG45" s="8">
        <f>SUM(C45:AF45)</f>
        <v>0</v>
      </c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</row>
    <row r="46" spans="1:518" x14ac:dyDescent="0.25">
      <c r="A46" s="210"/>
      <c r="B46" s="69" t="s">
        <v>45</v>
      </c>
      <c r="C46" s="12">
        <f>'GRI_07_23 '!AG3</f>
        <v>0</v>
      </c>
      <c r="D46" s="170">
        <f>'GRI_07_23 '!AG4</f>
        <v>0</v>
      </c>
      <c r="E46" s="12">
        <f>'GRI_07_23 '!AG5</f>
        <v>0</v>
      </c>
      <c r="F46" s="12">
        <f>'GRI_07_23 '!AG6</f>
        <v>0</v>
      </c>
      <c r="G46" s="12">
        <f>'GRI_07_23 '!AG7</f>
        <v>0</v>
      </c>
      <c r="H46" s="12">
        <f>'GRI_07_23 '!AG8</f>
        <v>0</v>
      </c>
      <c r="I46" s="12">
        <f>'GRI_07_23 '!AG9</f>
        <v>0</v>
      </c>
      <c r="J46" s="12">
        <f>'GRI_07_23 '!AG10</f>
        <v>0</v>
      </c>
      <c r="K46" s="12">
        <f>'GRI_07_23 '!AG11</f>
        <v>0</v>
      </c>
      <c r="L46" s="12">
        <f>'GRI_07_23 '!AG12</f>
        <v>0</v>
      </c>
      <c r="M46" s="12">
        <f>'GRI_07_23 '!AG14</f>
        <v>0</v>
      </c>
      <c r="N46" s="12">
        <f>'GRI_07_23 '!AG15</f>
        <v>0</v>
      </c>
      <c r="O46" s="12">
        <f>'GRI_07_23 '!AG16</f>
        <v>0</v>
      </c>
      <c r="P46" s="12">
        <f>'GRI_07_23 '!AG17</f>
        <v>0</v>
      </c>
      <c r="Q46" s="12">
        <f>'GRI_07_23 '!AG18</f>
        <v>0</v>
      </c>
      <c r="R46" s="12">
        <f>'GRI_07_23 '!AG19</f>
        <v>0</v>
      </c>
      <c r="S46" s="12">
        <f>'GRI_07_23 '!AG20</f>
        <v>0</v>
      </c>
      <c r="T46" s="12">
        <f>'GRI_07_23 '!AG21</f>
        <v>0</v>
      </c>
      <c r="U46" s="12">
        <f>'GRI_07_23 '!AG22</f>
        <v>0</v>
      </c>
      <c r="V46" s="12">
        <f>'GRI_07_23 '!AG23</f>
        <v>0</v>
      </c>
      <c r="W46" s="12">
        <f>'GRI_07_23 '!AG24</f>
        <v>0</v>
      </c>
      <c r="X46" s="12">
        <f>'GRI_07_23 '!AG25</f>
        <v>0</v>
      </c>
      <c r="Y46" s="12">
        <f>'GRI_07_23 '!AG26</f>
        <v>0</v>
      </c>
      <c r="Z46" s="12">
        <f>'GRI_07_23 '!AG27</f>
        <v>0</v>
      </c>
      <c r="AA46" s="12">
        <f>'GRI_07_23 '!AG28</f>
        <v>0</v>
      </c>
      <c r="AB46" s="12">
        <f>'GRI_07_23 '!AG29</f>
        <v>0</v>
      </c>
      <c r="AC46" s="12">
        <f>'GRI_07_23 '!AG30</f>
        <v>0</v>
      </c>
      <c r="AD46" s="12">
        <f>'GRI_07_23 '!AG31</f>
        <v>0</v>
      </c>
      <c r="AE46" s="12">
        <f>'GRI_07_23 '!AG32</f>
        <v>0</v>
      </c>
      <c r="AF46" s="12">
        <f>'GRI_07_23 '!AG33</f>
        <v>0</v>
      </c>
      <c r="AG46" s="8">
        <f t="shared" si="48"/>
        <v>0</v>
      </c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  <c r="FK46" s="2"/>
      <c r="FL46" s="2"/>
      <c r="FM46" s="2"/>
      <c r="FN46" s="2"/>
      <c r="FO46" s="2"/>
      <c r="FP46" s="2"/>
      <c r="FQ46" s="2"/>
      <c r="FR46" s="2"/>
      <c r="FS46" s="2"/>
      <c r="FT46" s="2"/>
      <c r="FU46" s="2"/>
      <c r="FV46" s="2"/>
      <c r="FW46" s="2"/>
      <c r="FX46" s="2"/>
      <c r="FY46" s="2"/>
      <c r="FZ46" s="2"/>
      <c r="GA46" s="2"/>
      <c r="GB46" s="2"/>
      <c r="GC46" s="2"/>
      <c r="GD46" s="2"/>
      <c r="GE46" s="2"/>
      <c r="GF46" s="2"/>
      <c r="GG46" s="2"/>
      <c r="GH46" s="2"/>
      <c r="GI46" s="2"/>
      <c r="GJ46" s="2"/>
      <c r="GK46" s="2"/>
      <c r="GL46" s="2"/>
      <c r="GM46" s="2"/>
      <c r="GN46" s="2"/>
      <c r="GO46" s="2"/>
      <c r="GP46" s="2"/>
      <c r="GQ46" s="2"/>
      <c r="GR46" s="2"/>
      <c r="GS46" s="2"/>
      <c r="GT46" s="2"/>
      <c r="GU46" s="2"/>
      <c r="GV46" s="2"/>
      <c r="GW46" s="2"/>
      <c r="GX46" s="2"/>
      <c r="GY46" s="2"/>
      <c r="GZ46" s="2"/>
      <c r="HA46" s="2"/>
      <c r="HB46" s="2"/>
      <c r="HC46" s="2"/>
      <c r="HD46" s="2"/>
      <c r="HE46" s="2"/>
      <c r="HF46" s="2"/>
      <c r="HG46" s="2"/>
      <c r="HH46" s="2"/>
      <c r="HI46" s="2"/>
      <c r="HJ46" s="2"/>
      <c r="HK46" s="2"/>
      <c r="HL46" s="2"/>
      <c r="HM46" s="2"/>
      <c r="HN46" s="2"/>
      <c r="HO46" s="2"/>
      <c r="HP46" s="2"/>
      <c r="HQ46" s="2"/>
      <c r="HR46" s="2"/>
      <c r="HS46" s="2"/>
      <c r="HT46" s="2"/>
      <c r="HU46" s="2"/>
      <c r="HV46" s="2"/>
      <c r="HW46" s="2"/>
      <c r="HX46" s="2"/>
      <c r="HY46" s="2"/>
      <c r="HZ46" s="2"/>
      <c r="IA46" s="2"/>
      <c r="IB46" s="2"/>
      <c r="IC46" s="2"/>
      <c r="ID46" s="2"/>
      <c r="IE46" s="2"/>
      <c r="IF46" s="2"/>
      <c r="IG46" s="2"/>
      <c r="IH46" s="2"/>
      <c r="II46" s="2"/>
      <c r="IJ46" s="2"/>
      <c r="IK46" s="2"/>
      <c r="IL46" s="2"/>
      <c r="IM46" s="2"/>
      <c r="IN46" s="2"/>
      <c r="IO46" s="2"/>
      <c r="IP46" s="2"/>
      <c r="IQ46" s="2"/>
      <c r="IR46" s="2"/>
      <c r="IS46" s="2"/>
      <c r="IT46" s="2"/>
      <c r="IU46" s="2"/>
      <c r="IV46" s="2"/>
      <c r="IW46" s="2"/>
      <c r="IX46" s="2"/>
      <c r="IY46" s="2"/>
      <c r="IZ46" s="2"/>
      <c r="JA46" s="2"/>
      <c r="JB46" s="2"/>
      <c r="JC46" s="2"/>
      <c r="JD46" s="2"/>
      <c r="JE46" s="2"/>
      <c r="JF46" s="2"/>
      <c r="JG46" s="2"/>
      <c r="JH46" s="2"/>
      <c r="JI46" s="2"/>
      <c r="JJ46" s="2"/>
      <c r="JK46" s="2"/>
      <c r="JL46" s="2"/>
      <c r="JM46" s="2"/>
      <c r="JN46" s="2"/>
      <c r="JO46" s="2"/>
      <c r="JP46" s="2"/>
      <c r="JQ46" s="2"/>
      <c r="JR46" s="2"/>
      <c r="JS46" s="2"/>
      <c r="JT46" s="2"/>
      <c r="JU46" s="2"/>
      <c r="JV46" s="2"/>
      <c r="JW46" s="2"/>
      <c r="JX46" s="2"/>
      <c r="JY46" s="2"/>
      <c r="JZ46" s="2"/>
      <c r="KA46" s="2"/>
      <c r="KB46" s="2"/>
      <c r="KC46" s="2"/>
      <c r="KD46" s="2"/>
      <c r="KE46" s="2"/>
      <c r="KF46" s="2"/>
      <c r="KG46" s="2"/>
      <c r="KH46" s="2"/>
      <c r="KI46" s="2"/>
      <c r="KJ46" s="2"/>
      <c r="KK46" s="2"/>
      <c r="KL46" s="2"/>
      <c r="KM46" s="2"/>
      <c r="KN46" s="2"/>
      <c r="KO46" s="2"/>
      <c r="KP46" s="2"/>
      <c r="KQ46" s="2"/>
      <c r="KR46" s="2"/>
      <c r="KS46" s="2"/>
      <c r="KT46" s="2"/>
      <c r="KU46" s="2"/>
      <c r="KV46" s="2"/>
      <c r="KW46" s="2"/>
      <c r="KX46" s="2"/>
      <c r="KY46" s="2"/>
      <c r="KZ46" s="2"/>
      <c r="LA46" s="2"/>
      <c r="LB46" s="2"/>
      <c r="LC46" s="2"/>
      <c r="LD46" s="2"/>
      <c r="LE46" s="2"/>
      <c r="LF46" s="2"/>
      <c r="LG46" s="2"/>
      <c r="LH46" s="2"/>
      <c r="LI46" s="2"/>
      <c r="LJ46" s="2"/>
      <c r="LK46" s="2"/>
      <c r="LL46" s="2"/>
      <c r="LM46" s="2"/>
      <c r="LN46" s="2"/>
      <c r="LO46" s="2"/>
      <c r="LP46" s="2"/>
      <c r="LQ46" s="2"/>
      <c r="LR46" s="2"/>
      <c r="LS46" s="2"/>
      <c r="LT46" s="2"/>
      <c r="LU46" s="2"/>
      <c r="LV46" s="2"/>
      <c r="LW46" s="2"/>
      <c r="LX46" s="2"/>
      <c r="LY46" s="2"/>
      <c r="LZ46" s="2"/>
      <c r="MA46" s="2"/>
      <c r="MB46" s="2"/>
      <c r="MC46" s="2"/>
      <c r="MD46" s="2"/>
      <c r="ME46" s="2"/>
      <c r="MF46" s="2"/>
      <c r="MG46" s="2"/>
      <c r="MH46" s="2"/>
      <c r="MI46" s="2"/>
      <c r="MJ46" s="2"/>
      <c r="MK46" s="2"/>
      <c r="ML46" s="2"/>
      <c r="MM46" s="2"/>
      <c r="MN46" s="2"/>
      <c r="MO46" s="2"/>
      <c r="MP46" s="2"/>
      <c r="MQ46" s="2"/>
      <c r="MR46" s="2"/>
      <c r="MS46" s="2"/>
      <c r="MT46" s="2"/>
      <c r="MU46" s="2"/>
      <c r="MV46" s="2"/>
      <c r="MW46" s="2"/>
      <c r="MX46" s="2"/>
      <c r="MY46" s="2"/>
      <c r="MZ46" s="2"/>
      <c r="NA46" s="2"/>
      <c r="NB46" s="2"/>
      <c r="NC46" s="2"/>
      <c r="ND46" s="2"/>
      <c r="NE46" s="2"/>
      <c r="NF46" s="2"/>
      <c r="NG46" s="2"/>
      <c r="NH46" s="2"/>
      <c r="NI46" s="2"/>
      <c r="NJ46" s="2"/>
      <c r="NK46" s="2"/>
      <c r="NL46" s="2"/>
      <c r="NM46" s="2"/>
      <c r="NN46" s="2"/>
      <c r="NO46" s="2"/>
      <c r="NP46" s="2"/>
      <c r="NQ46" s="2"/>
      <c r="NR46" s="2"/>
      <c r="NS46" s="2"/>
      <c r="NT46" s="2"/>
      <c r="NU46" s="2"/>
      <c r="NV46" s="2"/>
      <c r="NW46" s="2"/>
      <c r="NX46" s="2"/>
      <c r="NY46" s="2"/>
      <c r="NZ46" s="2"/>
      <c r="OA46" s="2"/>
      <c r="OB46" s="2"/>
      <c r="OC46" s="2"/>
      <c r="OD46" s="2"/>
      <c r="OE46" s="2"/>
      <c r="OF46" s="2"/>
      <c r="OG46" s="2"/>
      <c r="OH46" s="2"/>
      <c r="OI46" s="2"/>
      <c r="OJ46" s="2"/>
      <c r="OK46" s="2"/>
      <c r="OL46" s="2"/>
      <c r="OM46" s="2"/>
      <c r="ON46" s="2"/>
      <c r="OO46" s="2"/>
      <c r="OP46" s="2"/>
      <c r="OQ46" s="2"/>
      <c r="OR46" s="2"/>
      <c r="OS46" s="2"/>
      <c r="OT46" s="2"/>
      <c r="OU46" s="2"/>
      <c r="OV46" s="2"/>
      <c r="OW46" s="2"/>
      <c r="OX46" s="2"/>
      <c r="OY46" s="2"/>
      <c r="OZ46" s="2"/>
      <c r="PA46" s="2"/>
      <c r="PB46" s="2"/>
      <c r="PC46" s="2"/>
      <c r="PD46" s="2"/>
      <c r="PE46" s="2"/>
      <c r="PF46" s="2"/>
      <c r="PG46" s="2"/>
      <c r="PH46" s="2"/>
      <c r="PI46" s="2"/>
      <c r="PJ46" s="2"/>
      <c r="PK46" s="2"/>
      <c r="PL46" s="2"/>
      <c r="PM46" s="2"/>
      <c r="PN46" s="2"/>
      <c r="PO46" s="2"/>
      <c r="PP46" s="2"/>
      <c r="PQ46" s="2"/>
      <c r="PR46" s="2"/>
      <c r="PS46" s="2"/>
      <c r="PT46" s="2"/>
      <c r="PU46" s="2"/>
      <c r="PV46" s="2"/>
      <c r="PW46" s="2"/>
      <c r="PX46" s="2"/>
      <c r="PY46" s="2"/>
      <c r="PZ46" s="2"/>
      <c r="QA46" s="2"/>
      <c r="QB46" s="2"/>
      <c r="QC46" s="2"/>
      <c r="QD46" s="2"/>
      <c r="QE46" s="2"/>
      <c r="QF46" s="2"/>
      <c r="QG46" s="2"/>
      <c r="QH46" s="2"/>
      <c r="QI46" s="2"/>
      <c r="QJ46" s="2"/>
      <c r="QK46" s="2"/>
      <c r="QL46" s="2"/>
      <c r="QM46" s="2"/>
      <c r="QN46" s="2"/>
      <c r="QO46" s="2"/>
      <c r="QP46" s="2"/>
      <c r="QQ46" s="2"/>
      <c r="QR46" s="2"/>
      <c r="QS46" s="2"/>
      <c r="QT46" s="2"/>
      <c r="QU46" s="2"/>
      <c r="QV46" s="2"/>
      <c r="QW46" s="2"/>
      <c r="QX46" s="2"/>
      <c r="QY46" s="2"/>
      <c r="QZ46" s="2"/>
      <c r="RA46" s="2"/>
      <c r="RB46" s="2"/>
      <c r="RC46" s="2"/>
      <c r="RD46" s="2"/>
      <c r="RE46" s="2"/>
      <c r="RF46" s="2"/>
      <c r="RG46" s="2"/>
      <c r="RH46" s="2"/>
      <c r="RI46" s="2"/>
      <c r="RJ46" s="2"/>
      <c r="RK46" s="2"/>
      <c r="RL46" s="2"/>
      <c r="RM46" s="2"/>
      <c r="RN46" s="2"/>
      <c r="RO46" s="2"/>
      <c r="RP46" s="2"/>
      <c r="RQ46" s="2"/>
      <c r="RR46" s="2"/>
      <c r="RS46" s="2"/>
      <c r="RT46" s="2"/>
      <c r="RU46" s="2"/>
      <c r="RV46" s="2"/>
      <c r="RW46" s="2"/>
      <c r="RX46" s="2"/>
      <c r="RY46" s="2"/>
      <c r="RZ46" s="2"/>
      <c r="SA46" s="2"/>
      <c r="SB46" s="2"/>
      <c r="SC46" s="2"/>
      <c r="SD46" s="2"/>
      <c r="SE46" s="2"/>
      <c r="SF46" s="2"/>
      <c r="SG46" s="2"/>
      <c r="SH46" s="2"/>
      <c r="SI46" s="2"/>
      <c r="SJ46" s="2"/>
      <c r="SK46" s="2"/>
      <c r="SL46" s="2"/>
      <c r="SM46" s="2"/>
      <c r="SN46" s="2"/>
      <c r="SO46" s="2"/>
      <c r="SP46" s="2"/>
      <c r="SQ46" s="2"/>
      <c r="SR46" s="2"/>
      <c r="SS46" s="2"/>
      <c r="ST46" s="2"/>
      <c r="SU46" s="2"/>
      <c r="SV46" s="2"/>
      <c r="SW46" s="2"/>
      <c r="SX46" s="2"/>
    </row>
    <row r="47" spans="1:518" x14ac:dyDescent="0.25">
      <c r="A47" s="210"/>
      <c r="B47" s="69" t="s">
        <v>46</v>
      </c>
      <c r="C47" s="12">
        <f>'VER_07_23 '!$AG$3</f>
        <v>0</v>
      </c>
      <c r="D47" s="12">
        <f>'VER_07_23 '!$AG$4</f>
        <v>0</v>
      </c>
      <c r="E47" s="12">
        <f>'VER_07_23 '!$AG$5</f>
        <v>0</v>
      </c>
      <c r="F47" s="12">
        <f>'VER_07_23 '!$AG$6</f>
        <v>0</v>
      </c>
      <c r="G47" s="12">
        <f>'VER_07_23 '!$AG$7</f>
        <v>0</v>
      </c>
      <c r="H47" s="12">
        <f>'VER_07_23 '!$AG$8</f>
        <v>0</v>
      </c>
      <c r="I47" s="12">
        <f>'VER_07_23 '!$AG$9</f>
        <v>0</v>
      </c>
      <c r="J47" s="12">
        <f>'VER_07_23 '!$AG$10</f>
        <v>0</v>
      </c>
      <c r="K47" s="12">
        <f>'VER_07_23 '!$AG$11</f>
        <v>0</v>
      </c>
      <c r="L47" s="12">
        <f>'VER_07_23 '!$AG$12</f>
        <v>0</v>
      </c>
      <c r="M47" s="12">
        <f>'VER_07_23 '!$AG$13</f>
        <v>0</v>
      </c>
      <c r="N47" s="12">
        <f>'VER_07_23 '!$AG$14</f>
        <v>0</v>
      </c>
      <c r="O47" s="12">
        <f>'VER_07_23 '!$AG$15</f>
        <v>0</v>
      </c>
      <c r="P47" s="12">
        <f>'VER_07_23 '!$AG$16</f>
        <v>0</v>
      </c>
      <c r="Q47" s="12">
        <f>'VER_07_23 '!$AG$17</f>
        <v>0</v>
      </c>
      <c r="R47" s="12">
        <f>'VER_07_23 '!$AG$18</f>
        <v>0</v>
      </c>
      <c r="S47" s="12">
        <f>'VER_07_23 '!$AG$19</f>
        <v>0</v>
      </c>
      <c r="T47" s="12">
        <f>'VER_07_23 '!$AG$20</f>
        <v>0</v>
      </c>
      <c r="U47" s="12">
        <f>'VER_07_23 '!$AG$21</f>
        <v>0</v>
      </c>
      <c r="V47" s="12">
        <f>'VER_07_23 '!$AG$22</f>
        <v>0</v>
      </c>
      <c r="W47" s="12">
        <f>'VER_07_23 '!$AG$23</f>
        <v>0</v>
      </c>
      <c r="X47" s="12">
        <f>'VER_07_23 '!$AG$24</f>
        <v>0</v>
      </c>
      <c r="Y47" s="12">
        <f>'VER_07_23 '!$AG$25</f>
        <v>0</v>
      </c>
      <c r="Z47" s="12">
        <f>'VER_07_23 '!$AG$26</f>
        <v>0</v>
      </c>
      <c r="AA47" s="12">
        <f>'VER_07_23 '!$AG$27</f>
        <v>0</v>
      </c>
      <c r="AB47" s="12">
        <f>'VER_07_23 '!$AG$28</f>
        <v>0</v>
      </c>
      <c r="AC47" s="12">
        <f>'VER_07_23 '!$AG$29</f>
        <v>0</v>
      </c>
      <c r="AD47" s="12">
        <f>'VER_07_23 '!$AG$30</f>
        <v>0</v>
      </c>
      <c r="AE47" s="12">
        <f>'VER_07_23 '!$AG$31</f>
        <v>0</v>
      </c>
      <c r="AF47" s="12">
        <f>'VER_07_23 '!$AG$32</f>
        <v>0</v>
      </c>
      <c r="AG47" s="8">
        <f t="shared" si="48"/>
        <v>0</v>
      </c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  <c r="FK47" s="2"/>
      <c r="FL47" s="2"/>
      <c r="FM47" s="2"/>
      <c r="FN47" s="2"/>
      <c r="FO47" s="2"/>
      <c r="FP47" s="2"/>
      <c r="FQ47" s="2"/>
      <c r="FR47" s="2"/>
      <c r="FS47" s="2"/>
      <c r="FT47" s="2"/>
      <c r="FU47" s="2"/>
      <c r="FV47" s="2"/>
      <c r="FW47" s="2"/>
      <c r="FX47" s="2"/>
      <c r="FY47" s="2"/>
      <c r="FZ47" s="2"/>
      <c r="GA47" s="2"/>
      <c r="GB47" s="2"/>
      <c r="GC47" s="2"/>
      <c r="GD47" s="2"/>
      <c r="GE47" s="2"/>
      <c r="GF47" s="2"/>
      <c r="GG47" s="2"/>
      <c r="GH47" s="2"/>
      <c r="GI47" s="2"/>
      <c r="GJ47" s="2"/>
      <c r="GK47" s="2"/>
      <c r="GL47" s="2"/>
      <c r="GM47" s="2"/>
      <c r="GN47" s="2"/>
      <c r="GO47" s="2"/>
      <c r="GP47" s="2"/>
      <c r="GQ47" s="2"/>
      <c r="GR47" s="2"/>
      <c r="GS47" s="2"/>
      <c r="GT47" s="2"/>
      <c r="GU47" s="2"/>
      <c r="GV47" s="2"/>
      <c r="GW47" s="2"/>
      <c r="GX47" s="2"/>
      <c r="GY47" s="2"/>
      <c r="GZ47" s="2"/>
      <c r="HA47" s="2"/>
      <c r="HB47" s="2"/>
      <c r="HC47" s="2"/>
      <c r="HD47" s="2"/>
      <c r="HE47" s="2"/>
      <c r="HF47" s="2"/>
      <c r="HG47" s="2"/>
      <c r="HH47" s="2"/>
      <c r="HI47" s="2"/>
      <c r="HJ47" s="2"/>
      <c r="HK47" s="2"/>
      <c r="HL47" s="2"/>
      <c r="HM47" s="2"/>
      <c r="HN47" s="2"/>
      <c r="HO47" s="2"/>
      <c r="HP47" s="2"/>
      <c r="HQ47" s="2"/>
      <c r="HR47" s="2"/>
      <c r="HS47" s="2"/>
      <c r="HT47" s="2"/>
      <c r="HU47" s="2"/>
      <c r="HV47" s="2"/>
      <c r="HW47" s="2"/>
      <c r="HX47" s="2"/>
      <c r="HY47" s="2"/>
      <c r="HZ47" s="2"/>
      <c r="IA47" s="2"/>
      <c r="IB47" s="2"/>
      <c r="IC47" s="2"/>
      <c r="ID47" s="2"/>
      <c r="IE47" s="2"/>
      <c r="IF47" s="2"/>
      <c r="IG47" s="2"/>
      <c r="IH47" s="2"/>
      <c r="II47" s="2"/>
      <c r="IJ47" s="2"/>
      <c r="IK47" s="2"/>
      <c r="IL47" s="2"/>
      <c r="IM47" s="2"/>
      <c r="IN47" s="2"/>
      <c r="IO47" s="2"/>
      <c r="IP47" s="2"/>
      <c r="IQ47" s="2"/>
      <c r="IR47" s="2"/>
      <c r="IS47" s="2"/>
      <c r="IT47" s="2"/>
      <c r="IU47" s="2"/>
      <c r="IV47" s="2"/>
      <c r="IW47" s="2"/>
      <c r="IX47" s="2"/>
      <c r="IY47" s="2"/>
      <c r="IZ47" s="2"/>
      <c r="JA47" s="2"/>
      <c r="JB47" s="2"/>
      <c r="JC47" s="2"/>
      <c r="JD47" s="2"/>
      <c r="JE47" s="2"/>
      <c r="JF47" s="2"/>
      <c r="JG47" s="2"/>
      <c r="JH47" s="2"/>
      <c r="JI47" s="2"/>
      <c r="JJ47" s="2"/>
      <c r="JK47" s="2"/>
      <c r="JL47" s="2"/>
      <c r="JM47" s="2"/>
      <c r="JN47" s="2"/>
      <c r="JO47" s="2"/>
      <c r="JP47" s="2"/>
      <c r="JQ47" s="2"/>
      <c r="JR47" s="2"/>
      <c r="JS47" s="2"/>
      <c r="JT47" s="2"/>
      <c r="JU47" s="2"/>
      <c r="JV47" s="2"/>
      <c r="JW47" s="2"/>
      <c r="JX47" s="2"/>
      <c r="JY47" s="2"/>
      <c r="JZ47" s="2"/>
      <c r="KA47" s="2"/>
      <c r="KB47" s="2"/>
      <c r="KC47" s="2"/>
      <c r="KD47" s="2"/>
      <c r="KE47" s="2"/>
      <c r="KF47" s="2"/>
      <c r="KG47" s="2"/>
      <c r="KH47" s="2"/>
      <c r="KI47" s="2"/>
      <c r="KJ47" s="2"/>
      <c r="KK47" s="2"/>
      <c r="KL47" s="2"/>
      <c r="KM47" s="2"/>
      <c r="KN47" s="2"/>
      <c r="KO47" s="2"/>
      <c r="KP47" s="2"/>
      <c r="KQ47" s="2"/>
      <c r="KR47" s="2"/>
      <c r="KS47" s="2"/>
      <c r="KT47" s="2"/>
      <c r="KU47" s="2"/>
      <c r="KV47" s="2"/>
      <c r="KW47" s="2"/>
      <c r="KX47" s="2"/>
      <c r="KY47" s="2"/>
      <c r="KZ47" s="2"/>
      <c r="LA47" s="2"/>
      <c r="LB47" s="2"/>
      <c r="LC47" s="2"/>
      <c r="LD47" s="2"/>
      <c r="LE47" s="2"/>
      <c r="LF47" s="2"/>
      <c r="LG47" s="2"/>
      <c r="LH47" s="2"/>
      <c r="LI47" s="2"/>
      <c r="LJ47" s="2"/>
      <c r="LK47" s="2"/>
      <c r="LL47" s="2"/>
      <c r="LM47" s="2"/>
      <c r="LN47" s="2"/>
      <c r="LO47" s="2"/>
      <c r="LP47" s="2"/>
      <c r="LQ47" s="2"/>
      <c r="LR47" s="2"/>
      <c r="LS47" s="2"/>
      <c r="LT47" s="2"/>
      <c r="LU47" s="2"/>
      <c r="LV47" s="2"/>
      <c r="LW47" s="2"/>
      <c r="LX47" s="2"/>
      <c r="LY47" s="2"/>
      <c r="LZ47" s="2"/>
      <c r="MA47" s="2"/>
      <c r="MB47" s="2"/>
      <c r="MC47" s="2"/>
      <c r="MD47" s="2"/>
      <c r="ME47" s="2"/>
      <c r="MF47" s="2"/>
      <c r="MG47" s="2"/>
      <c r="MH47" s="2"/>
      <c r="MI47" s="2"/>
      <c r="MJ47" s="2"/>
      <c r="MK47" s="2"/>
      <c r="ML47" s="2"/>
      <c r="MM47" s="2"/>
      <c r="MN47" s="2"/>
      <c r="MO47" s="2"/>
      <c r="MP47" s="2"/>
      <c r="MQ47" s="2"/>
      <c r="MR47" s="2"/>
      <c r="MS47" s="2"/>
      <c r="MT47" s="2"/>
      <c r="MU47" s="2"/>
      <c r="MV47" s="2"/>
      <c r="MW47" s="2"/>
      <c r="MX47" s="2"/>
      <c r="MY47" s="2"/>
      <c r="MZ47" s="2"/>
      <c r="NA47" s="2"/>
      <c r="NB47" s="2"/>
      <c r="NC47" s="2"/>
      <c r="ND47" s="2"/>
      <c r="NE47" s="2"/>
      <c r="NF47" s="2"/>
      <c r="NG47" s="2"/>
      <c r="NH47" s="2"/>
      <c r="NI47" s="2"/>
      <c r="NJ47" s="2"/>
      <c r="NK47" s="2"/>
      <c r="NL47" s="2"/>
      <c r="NM47" s="2"/>
      <c r="NN47" s="2"/>
      <c r="NO47" s="2"/>
      <c r="NP47" s="2"/>
      <c r="NQ47" s="2"/>
      <c r="NR47" s="2"/>
      <c r="NS47" s="2"/>
      <c r="NT47" s="2"/>
      <c r="NU47" s="2"/>
      <c r="NV47" s="2"/>
      <c r="NW47" s="2"/>
      <c r="NX47" s="2"/>
      <c r="NY47" s="2"/>
      <c r="NZ47" s="2"/>
      <c r="OA47" s="2"/>
      <c r="OB47" s="2"/>
      <c r="OC47" s="2"/>
      <c r="OD47" s="2"/>
      <c r="OE47" s="2"/>
      <c r="OF47" s="2"/>
      <c r="OG47" s="2"/>
      <c r="OH47" s="2"/>
      <c r="OI47" s="2"/>
      <c r="OJ47" s="2"/>
      <c r="OK47" s="2"/>
      <c r="OL47" s="2"/>
      <c r="OM47" s="2"/>
      <c r="ON47" s="2"/>
      <c r="OO47" s="2"/>
      <c r="OP47" s="2"/>
      <c r="OQ47" s="2"/>
      <c r="OR47" s="2"/>
      <c r="OS47" s="2"/>
      <c r="OT47" s="2"/>
      <c r="OU47" s="2"/>
      <c r="OV47" s="2"/>
      <c r="OW47" s="2"/>
      <c r="OX47" s="2"/>
      <c r="OY47" s="2"/>
      <c r="OZ47" s="2"/>
      <c r="PA47" s="2"/>
      <c r="PB47" s="2"/>
      <c r="PC47" s="2"/>
      <c r="PD47" s="2"/>
      <c r="PE47" s="2"/>
      <c r="PF47" s="2"/>
      <c r="PG47" s="2"/>
      <c r="PH47" s="2"/>
      <c r="PI47" s="2"/>
      <c r="PJ47" s="2"/>
      <c r="PK47" s="2"/>
      <c r="PL47" s="2"/>
      <c r="PM47" s="2"/>
      <c r="PN47" s="2"/>
      <c r="PO47" s="2"/>
      <c r="PP47" s="2"/>
      <c r="PQ47" s="2"/>
      <c r="PR47" s="2"/>
      <c r="PS47" s="2"/>
      <c r="PT47" s="2"/>
      <c r="PU47" s="2"/>
      <c r="PV47" s="2"/>
      <c r="PW47" s="2"/>
      <c r="PX47" s="2"/>
      <c r="PY47" s="2"/>
      <c r="PZ47" s="2"/>
      <c r="QA47" s="2"/>
      <c r="QB47" s="2"/>
      <c r="QC47" s="2"/>
      <c r="QD47" s="2"/>
      <c r="QE47" s="2"/>
      <c r="QF47" s="2"/>
      <c r="QG47" s="2"/>
      <c r="QH47" s="2"/>
      <c r="QI47" s="2"/>
      <c r="QJ47" s="2"/>
      <c r="QK47" s="2"/>
      <c r="QL47" s="2"/>
      <c r="QM47" s="2"/>
      <c r="QN47" s="2"/>
      <c r="QO47" s="2"/>
      <c r="QP47" s="2"/>
      <c r="QQ47" s="2"/>
      <c r="QR47" s="2"/>
      <c r="QS47" s="2"/>
      <c r="QT47" s="2"/>
      <c r="QU47" s="2"/>
      <c r="QV47" s="2"/>
      <c r="QW47" s="2"/>
      <c r="QX47" s="2"/>
      <c r="QY47" s="2"/>
      <c r="QZ47" s="2"/>
      <c r="RA47" s="2"/>
      <c r="RB47" s="2"/>
      <c r="RC47" s="2"/>
      <c r="RD47" s="2"/>
      <c r="RE47" s="2"/>
      <c r="RF47" s="2"/>
      <c r="RG47" s="2"/>
      <c r="RH47" s="2"/>
      <c r="RI47" s="2"/>
      <c r="RJ47" s="2"/>
      <c r="RK47" s="2"/>
      <c r="RL47" s="2"/>
      <c r="RM47" s="2"/>
      <c r="RN47" s="2"/>
      <c r="RO47" s="2"/>
      <c r="RP47" s="2"/>
      <c r="RQ47" s="2"/>
      <c r="RR47" s="2"/>
      <c r="RS47" s="2"/>
      <c r="RT47" s="2"/>
      <c r="RU47" s="2"/>
      <c r="RV47" s="2"/>
      <c r="RW47" s="2"/>
      <c r="RX47" s="2"/>
      <c r="RY47" s="2"/>
      <c r="RZ47" s="2"/>
      <c r="SA47" s="2"/>
      <c r="SB47" s="2"/>
      <c r="SC47" s="2"/>
      <c r="SD47" s="2"/>
      <c r="SE47" s="2"/>
      <c r="SF47" s="2"/>
      <c r="SG47" s="2"/>
      <c r="SH47" s="2"/>
      <c r="SI47" s="2"/>
      <c r="SJ47" s="2"/>
      <c r="SK47" s="2"/>
      <c r="SL47" s="2"/>
      <c r="SM47" s="2"/>
      <c r="SN47" s="2"/>
      <c r="SO47" s="2"/>
      <c r="SP47" s="2"/>
      <c r="SQ47" s="2"/>
      <c r="SR47" s="2"/>
      <c r="SS47" s="2"/>
      <c r="ST47" s="2"/>
      <c r="SU47" s="2"/>
      <c r="SV47" s="2"/>
      <c r="SW47" s="2"/>
      <c r="SX47" s="2"/>
    </row>
    <row r="48" spans="1:518" x14ac:dyDescent="0.25">
      <c r="A48" s="210"/>
      <c r="B48" s="69" t="s">
        <v>47</v>
      </c>
      <c r="C48" s="12">
        <f>NEG_07_23!AG$3</f>
        <v>0</v>
      </c>
      <c r="D48" s="12">
        <f>NEG_07_23!AG$4</f>
        <v>0</v>
      </c>
      <c r="E48" s="12">
        <f>NEG_07_23!AG$5</f>
        <v>0</v>
      </c>
      <c r="F48" s="12">
        <f>NEG_07_23!AG$6</f>
        <v>0</v>
      </c>
      <c r="G48" s="12">
        <f>NEG_07_23!AG$7</f>
        <v>0</v>
      </c>
      <c r="H48" s="12">
        <f>NEG_07_23!AG$8</f>
        <v>0</v>
      </c>
      <c r="I48" s="12">
        <f>NEG_07_23!AG$9</f>
        <v>0</v>
      </c>
      <c r="J48" s="12">
        <f>NEG_07_23!AG$10</f>
        <v>0</v>
      </c>
      <c r="K48" s="12">
        <f>NEG_07_23!AG$11</f>
        <v>0</v>
      </c>
      <c r="L48" s="12">
        <f>NEG_07_23!AG$12</f>
        <v>0</v>
      </c>
      <c r="M48" s="12">
        <f>NEG_07_23!AG$13</f>
        <v>0</v>
      </c>
      <c r="N48" s="12">
        <f>NEG_07_23!AG$14</f>
        <v>0</v>
      </c>
      <c r="O48" s="12">
        <f>NEG_07_23!AG$15</f>
        <v>0</v>
      </c>
      <c r="P48" s="12">
        <f>NEG_07_23!AG$16</f>
        <v>0</v>
      </c>
      <c r="Q48" s="12">
        <f>NEG_07_23!AG$17</f>
        <v>0</v>
      </c>
      <c r="R48" s="12">
        <f>NEG_07_23!AG$18</f>
        <v>0</v>
      </c>
      <c r="S48" s="12">
        <f>NEG_07_23!AG$19</f>
        <v>0</v>
      </c>
      <c r="T48" s="12">
        <f>NEG_07_23!AG$20</f>
        <v>0</v>
      </c>
      <c r="U48" s="12">
        <f>NEG_07_23!AG$21</f>
        <v>0</v>
      </c>
      <c r="V48" s="12">
        <f>NEG_07_23!AG$22</f>
        <v>0</v>
      </c>
      <c r="W48" s="12">
        <f>NEG_07_23!AG$23</f>
        <v>0</v>
      </c>
      <c r="X48" s="12">
        <f>NEG_07_23!AG$24</f>
        <v>0</v>
      </c>
      <c r="Y48" s="12">
        <f>NEG_07_23!AG$25</f>
        <v>0</v>
      </c>
      <c r="Z48" s="12">
        <f>NEG_07_23!AG$26</f>
        <v>0</v>
      </c>
      <c r="AA48" s="12">
        <f>NEG_07_23!AG$27</f>
        <v>0</v>
      </c>
      <c r="AB48" s="12">
        <f>NEG_07_23!AG$28</f>
        <v>0</v>
      </c>
      <c r="AC48" s="12">
        <f>NEG_07_23!AG$29</f>
        <v>0</v>
      </c>
      <c r="AD48" s="12">
        <f>NEG_07_23!AG$30</f>
        <v>0</v>
      </c>
      <c r="AE48" s="12">
        <f>NEG_07_23!AG$31</f>
        <v>0</v>
      </c>
      <c r="AF48" s="12">
        <f>NEG_07_23!AG$32</f>
        <v>0</v>
      </c>
      <c r="AG48" s="8">
        <f t="shared" si="48"/>
        <v>0</v>
      </c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  <c r="FK48" s="2"/>
      <c r="FL48" s="2"/>
      <c r="FM48" s="2"/>
      <c r="FN48" s="2"/>
      <c r="FO48" s="2"/>
      <c r="FP48" s="2"/>
      <c r="FQ48" s="2"/>
      <c r="FR48" s="2"/>
      <c r="FS48" s="2"/>
      <c r="FT48" s="2"/>
      <c r="FU48" s="2"/>
      <c r="FV48" s="2"/>
      <c r="FW48" s="2"/>
      <c r="FX48" s="2"/>
      <c r="FY48" s="2"/>
      <c r="FZ48" s="2"/>
      <c r="GA48" s="2"/>
      <c r="GB48" s="2"/>
      <c r="GC48" s="2"/>
      <c r="GD48" s="2"/>
      <c r="GE48" s="2"/>
      <c r="GF48" s="2"/>
      <c r="GG48" s="2"/>
      <c r="GH48" s="2"/>
      <c r="GI48" s="2"/>
      <c r="GJ48" s="2"/>
      <c r="GK48" s="2"/>
      <c r="GL48" s="2"/>
      <c r="GM48" s="2"/>
      <c r="GN48" s="2"/>
      <c r="GO48" s="2"/>
      <c r="GP48" s="2"/>
      <c r="GQ48" s="2"/>
      <c r="GR48" s="2"/>
      <c r="GS48" s="2"/>
      <c r="GT48" s="2"/>
      <c r="GU48" s="2"/>
      <c r="GV48" s="2"/>
      <c r="GW48" s="2"/>
      <c r="GX48" s="2"/>
      <c r="GY48" s="2"/>
      <c r="GZ48" s="2"/>
      <c r="HA48" s="2"/>
      <c r="HB48" s="2"/>
      <c r="HC48" s="2"/>
      <c r="HD48" s="2"/>
      <c r="HE48" s="2"/>
      <c r="HF48" s="2"/>
      <c r="HG48" s="2"/>
      <c r="HH48" s="2"/>
      <c r="HI48" s="2"/>
      <c r="HJ48" s="2"/>
      <c r="HK48" s="2"/>
      <c r="HL48" s="2"/>
      <c r="HM48" s="2"/>
      <c r="HN48" s="2"/>
      <c r="HO48" s="2"/>
      <c r="HP48" s="2"/>
      <c r="HQ48" s="2"/>
      <c r="HR48" s="2"/>
      <c r="HS48" s="2"/>
      <c r="HT48" s="2"/>
      <c r="HU48" s="2"/>
      <c r="HV48" s="2"/>
      <c r="HW48" s="2"/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</row>
    <row r="49" spans="1:518" x14ac:dyDescent="0.25">
      <c r="A49" s="210"/>
      <c r="B49" s="69" t="s">
        <v>48</v>
      </c>
      <c r="C49" s="12"/>
      <c r="D49" s="3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8">
        <f t="shared" si="48"/>
        <v>0</v>
      </c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  <c r="FK49" s="2"/>
      <c r="FL49" s="2"/>
      <c r="FM49" s="2"/>
      <c r="FN49" s="2"/>
      <c r="FO49" s="2"/>
      <c r="FP49" s="2"/>
      <c r="FQ49" s="2"/>
      <c r="FR49" s="2"/>
      <c r="FS49" s="2"/>
      <c r="FT49" s="2"/>
      <c r="FU49" s="2"/>
      <c r="FV49" s="2"/>
      <c r="FW49" s="2"/>
      <c r="FX49" s="2"/>
      <c r="FY49" s="2"/>
      <c r="FZ49" s="2"/>
      <c r="GA49" s="2"/>
      <c r="GB49" s="2"/>
      <c r="GC49" s="2"/>
      <c r="GD49" s="2"/>
      <c r="GE49" s="2"/>
      <c r="GF49" s="2"/>
      <c r="GG49" s="2"/>
      <c r="GH49" s="2"/>
      <c r="GI49" s="2"/>
      <c r="GJ49" s="2"/>
      <c r="GK49" s="2"/>
      <c r="GL49" s="2"/>
      <c r="GM49" s="2"/>
      <c r="GN49" s="2"/>
      <c r="GO49" s="2"/>
      <c r="GP49" s="2"/>
      <c r="GQ49" s="2"/>
      <c r="GR49" s="2"/>
      <c r="GS49" s="2"/>
      <c r="GT49" s="2"/>
      <c r="GU49" s="2"/>
      <c r="GV49" s="2"/>
      <c r="GW49" s="2"/>
      <c r="GX49" s="2"/>
      <c r="GY49" s="2"/>
      <c r="GZ49" s="2"/>
      <c r="HA49" s="2"/>
      <c r="HB49" s="2"/>
      <c r="HC49" s="2"/>
      <c r="HD49" s="2"/>
      <c r="HE49" s="2"/>
      <c r="HF49" s="2"/>
      <c r="HG49" s="2"/>
      <c r="HH49" s="2"/>
      <c r="HI49" s="2"/>
      <c r="HJ49" s="2"/>
      <c r="HK49" s="2"/>
      <c r="HL49" s="2"/>
      <c r="HM49" s="2"/>
      <c r="HN49" s="2"/>
      <c r="HO49" s="2"/>
      <c r="HP49" s="2"/>
      <c r="HQ49" s="2"/>
      <c r="HR49" s="2"/>
      <c r="HS49" s="2"/>
      <c r="HT49" s="2"/>
      <c r="HU49" s="2"/>
      <c r="HV49" s="2"/>
      <c r="HW49" s="2"/>
      <c r="HX49" s="2"/>
      <c r="HY49" s="2"/>
      <c r="HZ49" s="2"/>
      <c r="IA49" s="2"/>
      <c r="IB49" s="2"/>
      <c r="IC49" s="2"/>
      <c r="ID49" s="2"/>
      <c r="IE49" s="2"/>
      <c r="IF49" s="2"/>
      <c r="IG49" s="2"/>
      <c r="IH49" s="2"/>
      <c r="II49" s="2"/>
      <c r="IJ49" s="2"/>
      <c r="IK49" s="2"/>
      <c r="IL49" s="2"/>
      <c r="IM49" s="2"/>
      <c r="IN49" s="2"/>
      <c r="IO49" s="2"/>
      <c r="IP49" s="2"/>
      <c r="IQ49" s="2"/>
      <c r="IR49" s="2"/>
      <c r="IS49" s="2"/>
      <c r="IT49" s="2"/>
      <c r="IU49" s="2"/>
      <c r="IV49" s="2"/>
      <c r="IW49" s="2"/>
      <c r="IX49" s="2"/>
      <c r="IY49" s="2"/>
      <c r="IZ49" s="2"/>
      <c r="JA49" s="2"/>
      <c r="JB49" s="2"/>
      <c r="JC49" s="2"/>
      <c r="JD49" s="2"/>
      <c r="JE49" s="2"/>
      <c r="JF49" s="2"/>
      <c r="JG49" s="2"/>
      <c r="JH49" s="2"/>
      <c r="JI49" s="2"/>
      <c r="JJ49" s="2"/>
      <c r="JK49" s="2"/>
      <c r="JL49" s="2"/>
      <c r="JM49" s="2"/>
      <c r="JN49" s="2"/>
      <c r="JO49" s="2"/>
      <c r="JP49" s="2"/>
      <c r="JQ49" s="2"/>
      <c r="JR49" s="2"/>
      <c r="JS49" s="2"/>
      <c r="JT49" s="2"/>
      <c r="JU49" s="2"/>
      <c r="JV49" s="2"/>
      <c r="JW49" s="2"/>
      <c r="JX49" s="2"/>
      <c r="JY49" s="2"/>
      <c r="JZ49" s="2"/>
      <c r="KA49" s="2"/>
      <c r="KB49" s="2"/>
      <c r="KC49" s="2"/>
      <c r="KD49" s="2"/>
      <c r="KE49" s="2"/>
      <c r="KF49" s="2"/>
      <c r="KG49" s="2"/>
      <c r="KH49" s="2"/>
      <c r="KI49" s="2"/>
      <c r="KJ49" s="2"/>
      <c r="KK49" s="2"/>
      <c r="KL49" s="2"/>
      <c r="KM49" s="2"/>
      <c r="KN49" s="2"/>
      <c r="KO49" s="2"/>
      <c r="KP49" s="2"/>
      <c r="KQ49" s="2"/>
      <c r="KR49" s="2"/>
      <c r="KS49" s="2"/>
      <c r="KT49" s="2"/>
      <c r="KU49" s="2"/>
      <c r="KV49" s="2"/>
      <c r="KW49" s="2"/>
      <c r="KX49" s="2"/>
      <c r="KY49" s="2"/>
      <c r="KZ49" s="2"/>
      <c r="LA49" s="2"/>
      <c r="LB49" s="2"/>
      <c r="LC49" s="2"/>
      <c r="LD49" s="2"/>
      <c r="LE49" s="2"/>
      <c r="LF49" s="2"/>
      <c r="LG49" s="2"/>
      <c r="LH49" s="2"/>
      <c r="LI49" s="2"/>
      <c r="LJ49" s="2"/>
      <c r="LK49" s="2"/>
      <c r="LL49" s="2"/>
      <c r="LM49" s="2"/>
      <c r="LN49" s="2"/>
      <c r="LO49" s="2"/>
      <c r="LP49" s="2"/>
      <c r="LQ49" s="2"/>
      <c r="LR49" s="2"/>
      <c r="LS49" s="2"/>
      <c r="LT49" s="2"/>
      <c r="LU49" s="2"/>
      <c r="LV49" s="2"/>
      <c r="LW49" s="2"/>
      <c r="LX49" s="2"/>
      <c r="LY49" s="2"/>
      <c r="LZ49" s="2"/>
      <c r="MA49" s="2"/>
      <c r="MB49" s="2"/>
      <c r="MC49" s="2"/>
      <c r="MD49" s="2"/>
      <c r="ME49" s="2"/>
      <c r="MF49" s="2"/>
      <c r="MG49" s="2"/>
      <c r="MH49" s="2"/>
      <c r="MI49" s="2"/>
      <c r="MJ49" s="2"/>
      <c r="MK49" s="2"/>
      <c r="ML49" s="2"/>
      <c r="MM49" s="2"/>
      <c r="MN49" s="2"/>
      <c r="MO49" s="2"/>
      <c r="MP49" s="2"/>
      <c r="MQ49" s="2"/>
      <c r="MR49" s="2"/>
      <c r="MS49" s="2"/>
      <c r="MT49" s="2"/>
      <c r="MU49" s="2"/>
      <c r="MV49" s="2"/>
      <c r="MW49" s="2"/>
      <c r="MX49" s="2"/>
      <c r="MY49" s="2"/>
      <c r="MZ49" s="2"/>
      <c r="NA49" s="2"/>
      <c r="NB49" s="2"/>
      <c r="NC49" s="2"/>
      <c r="ND49" s="2"/>
      <c r="NE49" s="2"/>
      <c r="NF49" s="2"/>
      <c r="NG49" s="2"/>
      <c r="NH49" s="2"/>
      <c r="NI49" s="2"/>
      <c r="NJ49" s="2"/>
      <c r="NK49" s="2"/>
      <c r="NL49" s="2"/>
      <c r="NM49" s="2"/>
      <c r="NN49" s="2"/>
      <c r="NO49" s="2"/>
      <c r="NP49" s="2"/>
      <c r="NQ49" s="2"/>
      <c r="NR49" s="2"/>
      <c r="NS49" s="2"/>
      <c r="NT49" s="2"/>
      <c r="NU49" s="2"/>
      <c r="NV49" s="2"/>
      <c r="NW49" s="2"/>
      <c r="NX49" s="2"/>
      <c r="NY49" s="2"/>
      <c r="NZ49" s="2"/>
      <c r="OA49" s="2"/>
      <c r="OB49" s="2"/>
      <c r="OC49" s="2"/>
      <c r="OD49" s="2"/>
      <c r="OE49" s="2"/>
      <c r="OF49" s="2"/>
      <c r="OG49" s="2"/>
      <c r="OH49" s="2"/>
      <c r="OI49" s="2"/>
      <c r="OJ49" s="2"/>
      <c r="OK49" s="2"/>
      <c r="OL49" s="2"/>
      <c r="OM49" s="2"/>
      <c r="ON49" s="2"/>
      <c r="OO49" s="2"/>
      <c r="OP49" s="2"/>
      <c r="OQ49" s="2"/>
      <c r="OR49" s="2"/>
      <c r="OS49" s="2"/>
      <c r="OT49" s="2"/>
      <c r="OU49" s="2"/>
      <c r="OV49" s="2"/>
      <c r="OW49" s="2"/>
      <c r="OX49" s="2"/>
      <c r="OY49" s="2"/>
      <c r="OZ49" s="2"/>
      <c r="PA49" s="2"/>
      <c r="PB49" s="2"/>
      <c r="PC49" s="2"/>
      <c r="PD49" s="2"/>
      <c r="PE49" s="2"/>
      <c r="PF49" s="2"/>
      <c r="PG49" s="2"/>
      <c r="PH49" s="2"/>
      <c r="PI49" s="2"/>
      <c r="PJ49" s="2"/>
      <c r="PK49" s="2"/>
      <c r="PL49" s="2"/>
      <c r="PM49" s="2"/>
      <c r="PN49" s="2"/>
      <c r="PO49" s="2"/>
      <c r="PP49" s="2"/>
      <c r="PQ49" s="2"/>
      <c r="PR49" s="2"/>
      <c r="PS49" s="2"/>
      <c r="PT49" s="2"/>
      <c r="PU49" s="2"/>
      <c r="PV49" s="2"/>
      <c r="PW49" s="2"/>
      <c r="PX49" s="2"/>
      <c r="PY49" s="2"/>
      <c r="PZ49" s="2"/>
      <c r="QA49" s="2"/>
      <c r="QB49" s="2"/>
      <c r="QC49" s="2"/>
      <c r="QD49" s="2"/>
      <c r="QE49" s="2"/>
      <c r="QF49" s="2"/>
      <c r="QG49" s="2"/>
      <c r="QH49" s="2"/>
      <c r="QI49" s="2"/>
      <c r="QJ49" s="2"/>
      <c r="QK49" s="2"/>
      <c r="QL49" s="2"/>
      <c r="QM49" s="2"/>
      <c r="QN49" s="2"/>
      <c r="QO49" s="2"/>
      <c r="QP49" s="2"/>
      <c r="QQ49" s="2"/>
      <c r="QR49" s="2"/>
      <c r="QS49" s="2"/>
      <c r="QT49" s="2"/>
      <c r="QU49" s="2"/>
      <c r="QV49" s="2"/>
      <c r="QW49" s="2"/>
      <c r="QX49" s="2"/>
      <c r="QY49" s="2"/>
      <c r="QZ49" s="2"/>
      <c r="RA49" s="2"/>
      <c r="RB49" s="2"/>
      <c r="RC49" s="2"/>
      <c r="RD49" s="2"/>
      <c r="RE49" s="2"/>
      <c r="RF49" s="2"/>
      <c r="RG49" s="2"/>
      <c r="RH49" s="2"/>
      <c r="RI49" s="2"/>
      <c r="RJ49" s="2"/>
      <c r="RK49" s="2"/>
      <c r="RL49" s="2"/>
      <c r="RM49" s="2"/>
      <c r="RN49" s="2"/>
      <c r="RO49" s="2"/>
      <c r="RP49" s="2"/>
      <c r="RQ49" s="2"/>
      <c r="RR49" s="2"/>
      <c r="RS49" s="2"/>
      <c r="RT49" s="2"/>
      <c r="RU49" s="2"/>
      <c r="RV49" s="2"/>
      <c r="RW49" s="2"/>
      <c r="RX49" s="2"/>
      <c r="RY49" s="2"/>
      <c r="RZ49" s="2"/>
      <c r="SA49" s="2"/>
      <c r="SB49" s="2"/>
      <c r="SC49" s="2"/>
      <c r="SD49" s="2"/>
      <c r="SE49" s="2"/>
      <c r="SF49" s="2"/>
      <c r="SG49" s="2"/>
      <c r="SH49" s="2"/>
      <c r="SI49" s="2"/>
      <c r="SJ49" s="2"/>
      <c r="SK49" s="2"/>
      <c r="SL49" s="2"/>
      <c r="SM49" s="2"/>
      <c r="SN49" s="2"/>
      <c r="SO49" s="2"/>
      <c r="SP49" s="2"/>
      <c r="SQ49" s="2"/>
      <c r="SR49" s="2"/>
      <c r="SS49" s="2"/>
      <c r="ST49" s="2"/>
      <c r="SU49" s="2"/>
      <c r="SV49" s="2"/>
      <c r="SW49" s="2"/>
      <c r="SX49" s="2"/>
    </row>
    <row r="50" spans="1:518" s="4" customFormat="1" x14ac:dyDescent="0.25">
      <c r="A50" s="207" t="s">
        <v>97</v>
      </c>
      <c r="B50" s="208"/>
      <c r="C50" s="64">
        <f>SUM(C44:C49)</f>
        <v>0</v>
      </c>
      <c r="D50" s="8">
        <f>SUM(D44:D49)</f>
        <v>0</v>
      </c>
      <c r="E50" s="8">
        <f t="shared" ref="E50:AF50" si="50">SUM(E44:E49)</f>
        <v>0</v>
      </c>
      <c r="F50" s="8">
        <f t="shared" si="50"/>
        <v>0</v>
      </c>
      <c r="G50" s="8">
        <f t="shared" si="50"/>
        <v>0</v>
      </c>
      <c r="H50" s="8">
        <f t="shared" si="50"/>
        <v>0</v>
      </c>
      <c r="I50" s="8">
        <f t="shared" si="50"/>
        <v>0</v>
      </c>
      <c r="J50" s="8">
        <f t="shared" si="50"/>
        <v>0</v>
      </c>
      <c r="K50" s="8">
        <f t="shared" si="50"/>
        <v>0</v>
      </c>
      <c r="L50" s="8">
        <f t="shared" si="50"/>
        <v>0</v>
      </c>
      <c r="M50" s="8">
        <f t="shared" si="50"/>
        <v>0</v>
      </c>
      <c r="N50" s="8">
        <f t="shared" si="50"/>
        <v>0</v>
      </c>
      <c r="O50" s="8">
        <f t="shared" si="50"/>
        <v>0</v>
      </c>
      <c r="P50" s="8">
        <f t="shared" si="50"/>
        <v>0</v>
      </c>
      <c r="Q50" s="8">
        <f t="shared" si="50"/>
        <v>0</v>
      </c>
      <c r="R50" s="8">
        <f t="shared" si="50"/>
        <v>0</v>
      </c>
      <c r="S50" s="8">
        <f t="shared" si="50"/>
        <v>0</v>
      </c>
      <c r="T50" s="8">
        <f t="shared" si="50"/>
        <v>0</v>
      </c>
      <c r="U50" s="8">
        <f t="shared" si="50"/>
        <v>0</v>
      </c>
      <c r="V50" s="8">
        <f t="shared" si="50"/>
        <v>0</v>
      </c>
      <c r="W50" s="8">
        <f t="shared" si="50"/>
        <v>0</v>
      </c>
      <c r="X50" s="8">
        <f t="shared" si="50"/>
        <v>0</v>
      </c>
      <c r="Y50" s="8">
        <f t="shared" si="50"/>
        <v>0</v>
      </c>
      <c r="Z50" s="8">
        <f t="shared" si="50"/>
        <v>0</v>
      </c>
      <c r="AA50" s="8">
        <f t="shared" si="50"/>
        <v>0</v>
      </c>
      <c r="AB50" s="8">
        <f t="shared" si="50"/>
        <v>0</v>
      </c>
      <c r="AC50" s="8">
        <f t="shared" si="50"/>
        <v>0</v>
      </c>
      <c r="AD50" s="8">
        <f t="shared" si="50"/>
        <v>0</v>
      </c>
      <c r="AE50" s="8">
        <f t="shared" si="50"/>
        <v>0</v>
      </c>
      <c r="AF50" s="8">
        <f t="shared" si="50"/>
        <v>0</v>
      </c>
      <c r="AG50" s="8">
        <f>SUM(D50:AA50)</f>
        <v>0</v>
      </c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  <c r="FK50" s="2"/>
      <c r="FL50" s="2"/>
      <c r="FM50" s="2"/>
      <c r="FN50" s="2"/>
      <c r="FO50" s="2"/>
      <c r="FP50" s="2"/>
      <c r="FQ50" s="2"/>
      <c r="FR50" s="2"/>
      <c r="FS50" s="2"/>
      <c r="FT50" s="2"/>
      <c r="FU50" s="2"/>
      <c r="FV50" s="2"/>
      <c r="FW50" s="2"/>
      <c r="FX50" s="2"/>
      <c r="FY50" s="2"/>
      <c r="FZ50" s="2"/>
      <c r="GA50" s="2"/>
      <c r="GB50" s="2"/>
      <c r="GC50" s="2"/>
      <c r="GD50" s="2"/>
      <c r="GE50" s="2"/>
      <c r="GF50" s="2"/>
      <c r="GG50" s="2"/>
      <c r="GH50" s="2"/>
      <c r="GI50" s="2"/>
      <c r="GJ50" s="2"/>
      <c r="GK50" s="2"/>
      <c r="GL50" s="2"/>
      <c r="GM50" s="2"/>
      <c r="GN50" s="2"/>
      <c r="GO50" s="2"/>
      <c r="GP50" s="2"/>
      <c r="GQ50" s="2"/>
      <c r="GR50" s="2"/>
      <c r="GS50" s="2"/>
      <c r="GT50" s="2"/>
      <c r="GU50" s="2"/>
      <c r="GV50" s="2"/>
      <c r="GW50" s="2"/>
      <c r="GX50" s="2"/>
      <c r="GY50" s="2"/>
      <c r="GZ50" s="2"/>
      <c r="HA50" s="2"/>
      <c r="HB50" s="2"/>
      <c r="HC50" s="2"/>
      <c r="HD50" s="2"/>
      <c r="HE50" s="2"/>
      <c r="HF50" s="2"/>
      <c r="HG50" s="2"/>
      <c r="HH50" s="2"/>
      <c r="HI50" s="2"/>
      <c r="HJ50" s="2"/>
      <c r="HK50" s="2"/>
      <c r="HL50" s="2"/>
      <c r="HM50" s="2"/>
      <c r="HN50" s="2"/>
      <c r="HO50" s="2"/>
      <c r="HP50" s="2"/>
      <c r="HQ50" s="2"/>
      <c r="HR50" s="2"/>
      <c r="HS50" s="2"/>
      <c r="HT50" s="2"/>
      <c r="HU50" s="2"/>
      <c r="HV50" s="2"/>
      <c r="HW50" s="2"/>
      <c r="HX50" s="2"/>
      <c r="HY50" s="2"/>
      <c r="HZ50" s="2"/>
      <c r="IA50" s="2"/>
      <c r="IB50" s="2"/>
      <c r="IC50" s="2"/>
      <c r="ID50" s="2"/>
      <c r="IE50" s="2"/>
      <c r="IF50" s="2"/>
      <c r="IG50" s="2"/>
      <c r="IH50" s="2"/>
      <c r="II50" s="2"/>
      <c r="IJ50" s="2"/>
      <c r="IK50" s="2"/>
      <c r="IL50" s="2"/>
      <c r="IM50" s="2"/>
      <c r="IN50" s="2"/>
      <c r="IO50" s="2"/>
      <c r="IP50" s="2"/>
      <c r="IQ50" s="2"/>
      <c r="IR50" s="2"/>
      <c r="IS50" s="2"/>
      <c r="IT50" s="2"/>
      <c r="IU50" s="2"/>
      <c r="IV50" s="2"/>
      <c r="IW50" s="2"/>
      <c r="IX50" s="2"/>
      <c r="IY50" s="2"/>
      <c r="IZ50" s="2"/>
      <c r="JA50" s="2"/>
      <c r="JB50" s="2"/>
      <c r="JC50" s="2"/>
      <c r="JD50" s="2"/>
      <c r="JE50" s="2"/>
      <c r="JF50" s="2"/>
      <c r="JG50" s="2"/>
      <c r="JH50" s="2"/>
      <c r="JI50" s="2"/>
      <c r="JJ50" s="2"/>
      <c r="JK50" s="2"/>
      <c r="JL50" s="2"/>
      <c r="JM50" s="2"/>
      <c r="JN50" s="2"/>
      <c r="JO50" s="2"/>
      <c r="JP50" s="2"/>
      <c r="JQ50" s="2"/>
      <c r="JR50" s="2"/>
      <c r="JS50" s="2"/>
      <c r="JT50" s="2"/>
      <c r="JU50" s="2"/>
      <c r="JV50" s="2"/>
      <c r="JW50" s="2"/>
      <c r="JX50" s="2"/>
      <c r="JY50" s="2"/>
      <c r="JZ50" s="2"/>
      <c r="KA50" s="2"/>
      <c r="KB50" s="2"/>
      <c r="KC50" s="2"/>
      <c r="KD50" s="2"/>
      <c r="KE50" s="2"/>
      <c r="KF50" s="2"/>
      <c r="KG50" s="2"/>
      <c r="KH50" s="2"/>
      <c r="KI50" s="2"/>
      <c r="KJ50" s="2"/>
      <c r="KK50" s="2"/>
      <c r="KL50" s="2"/>
      <c r="KM50" s="2"/>
      <c r="KN50" s="2"/>
      <c r="KO50" s="2"/>
      <c r="KP50" s="2"/>
      <c r="KQ50" s="2"/>
      <c r="KR50" s="2"/>
      <c r="KS50" s="2"/>
      <c r="KT50" s="2"/>
      <c r="KU50" s="2"/>
      <c r="KV50" s="2"/>
      <c r="KW50" s="2"/>
      <c r="KX50" s="2"/>
      <c r="KY50" s="2"/>
      <c r="KZ50" s="2"/>
      <c r="LA50" s="2"/>
      <c r="LB50" s="2"/>
      <c r="LC50" s="2"/>
      <c r="LD50" s="2"/>
      <c r="LE50" s="2"/>
      <c r="LF50" s="2"/>
      <c r="LG50" s="2"/>
      <c r="LH50" s="2"/>
      <c r="LI50" s="2"/>
      <c r="LJ50" s="2"/>
      <c r="LK50" s="2"/>
      <c r="LL50" s="2"/>
      <c r="LM50" s="2"/>
      <c r="LN50" s="2"/>
      <c r="LO50" s="2"/>
      <c r="LP50" s="2"/>
      <c r="LQ50" s="2"/>
      <c r="LR50" s="2"/>
      <c r="LS50" s="2"/>
      <c r="LT50" s="2"/>
      <c r="LU50" s="2"/>
      <c r="LV50" s="2"/>
      <c r="LW50" s="2"/>
      <c r="LX50" s="2"/>
      <c r="LY50" s="2"/>
      <c r="LZ50" s="2"/>
      <c r="MA50" s="2"/>
      <c r="MB50" s="2"/>
      <c r="MC50" s="2"/>
      <c r="MD50" s="2"/>
      <c r="ME50" s="2"/>
      <c r="MF50" s="2"/>
      <c r="MG50" s="2"/>
      <c r="MH50" s="2"/>
      <c r="MI50" s="2"/>
      <c r="MJ50" s="2"/>
      <c r="MK50" s="2"/>
      <c r="ML50" s="2"/>
      <c r="MM50" s="2"/>
      <c r="MN50" s="2"/>
      <c r="MO50" s="2"/>
      <c r="MP50" s="2"/>
      <c r="MQ50" s="2"/>
      <c r="MR50" s="2"/>
      <c r="MS50" s="2"/>
      <c r="MT50" s="2"/>
      <c r="MU50" s="2"/>
      <c r="MV50" s="2"/>
      <c r="MW50" s="2"/>
      <c r="MX50" s="2"/>
      <c r="MY50" s="2"/>
      <c r="MZ50" s="2"/>
      <c r="NA50" s="2"/>
      <c r="NB50" s="2"/>
      <c r="NC50" s="2"/>
      <c r="ND50" s="2"/>
      <c r="NE50" s="2"/>
      <c r="NF50" s="2"/>
      <c r="NG50" s="2"/>
      <c r="NH50" s="2"/>
      <c r="NI50" s="2"/>
      <c r="NJ50" s="2"/>
      <c r="NK50" s="2"/>
      <c r="NL50" s="2"/>
      <c r="NM50" s="2"/>
      <c r="NN50" s="2"/>
      <c r="NO50" s="2"/>
      <c r="NP50" s="2"/>
      <c r="NQ50" s="2"/>
      <c r="NR50" s="2"/>
      <c r="NS50" s="2"/>
      <c r="NT50" s="2"/>
      <c r="NU50" s="2"/>
      <c r="NV50" s="2"/>
      <c r="NW50" s="2"/>
      <c r="NX50" s="2"/>
      <c r="NY50" s="2"/>
      <c r="NZ50" s="2"/>
      <c r="OA50" s="2"/>
      <c r="OB50" s="2"/>
      <c r="OC50" s="2"/>
      <c r="OD50" s="2"/>
      <c r="OE50" s="2"/>
      <c r="OF50" s="2"/>
      <c r="OG50" s="2"/>
      <c r="OH50" s="2"/>
      <c r="OI50" s="2"/>
      <c r="OJ50" s="2"/>
      <c r="OK50" s="2"/>
      <c r="OL50" s="2"/>
      <c r="OM50" s="2"/>
      <c r="ON50" s="2"/>
      <c r="OO50" s="2"/>
      <c r="OP50" s="2"/>
      <c r="OQ50" s="2"/>
      <c r="OR50" s="2"/>
      <c r="OS50" s="2"/>
      <c r="OT50" s="2"/>
      <c r="OU50" s="2"/>
      <c r="OV50" s="2"/>
      <c r="OW50" s="2"/>
      <c r="OX50" s="2"/>
      <c r="OY50" s="2"/>
      <c r="OZ50" s="2"/>
      <c r="PA50" s="2"/>
      <c r="PB50" s="2"/>
      <c r="PC50" s="2"/>
      <c r="PD50" s="2"/>
      <c r="PE50" s="2"/>
      <c r="PF50" s="2"/>
      <c r="PG50" s="2"/>
      <c r="PH50" s="2"/>
      <c r="PI50" s="2"/>
      <c r="PJ50" s="2"/>
      <c r="PK50" s="2"/>
      <c r="PL50" s="2"/>
      <c r="PM50" s="2"/>
      <c r="PN50" s="2"/>
      <c r="PO50" s="2"/>
      <c r="PP50" s="2"/>
      <c r="PQ50" s="2"/>
      <c r="PR50" s="2"/>
      <c r="PS50" s="2"/>
      <c r="PT50" s="2"/>
      <c r="PU50" s="2"/>
      <c r="PV50" s="2"/>
      <c r="PW50" s="2"/>
      <c r="PX50" s="2"/>
      <c r="PY50" s="2"/>
      <c r="PZ50" s="2"/>
      <c r="QA50" s="2"/>
      <c r="QB50" s="2"/>
      <c r="QC50" s="2"/>
      <c r="QD50" s="2"/>
      <c r="QE50" s="2"/>
      <c r="QF50" s="2"/>
      <c r="QG50" s="2"/>
      <c r="QH50" s="2"/>
      <c r="QI50" s="2"/>
      <c r="QJ50" s="2"/>
      <c r="QK50" s="2"/>
      <c r="QL50" s="2"/>
      <c r="QM50" s="2"/>
      <c r="QN50" s="2"/>
      <c r="QO50" s="2"/>
      <c r="QP50" s="2"/>
      <c r="QQ50" s="2"/>
      <c r="QR50" s="2"/>
      <c r="QS50" s="2"/>
      <c r="QT50" s="2"/>
      <c r="QU50" s="2"/>
      <c r="QV50" s="2"/>
      <c r="QW50" s="2"/>
      <c r="QX50" s="2"/>
      <c r="QY50" s="2"/>
      <c r="QZ50" s="2"/>
      <c r="RA50" s="2"/>
      <c r="RB50" s="2"/>
      <c r="RC50" s="2"/>
      <c r="RD50" s="2"/>
      <c r="RE50" s="2"/>
      <c r="RF50" s="2"/>
      <c r="RG50" s="2"/>
      <c r="RH50" s="2"/>
      <c r="RI50" s="2"/>
      <c r="RJ50" s="2"/>
      <c r="RK50" s="2"/>
      <c r="RL50" s="2"/>
      <c r="RM50" s="2"/>
      <c r="RN50" s="2"/>
      <c r="RO50" s="2"/>
      <c r="RP50" s="2"/>
      <c r="RQ50" s="2"/>
      <c r="RR50" s="2"/>
      <c r="RS50" s="2"/>
      <c r="RT50" s="2"/>
      <c r="RU50" s="2"/>
      <c r="RV50" s="2"/>
      <c r="RW50" s="2"/>
      <c r="RX50" s="2"/>
      <c r="RY50" s="2"/>
      <c r="RZ50" s="2"/>
      <c r="SA50" s="2"/>
      <c r="SB50" s="2"/>
      <c r="SC50" s="2"/>
      <c r="SD50" s="2"/>
      <c r="SE50" s="2"/>
      <c r="SF50" s="2"/>
      <c r="SG50" s="2"/>
      <c r="SH50" s="2"/>
      <c r="SI50" s="2"/>
      <c r="SJ50" s="2"/>
      <c r="SK50" s="2"/>
      <c r="SL50" s="2"/>
      <c r="SM50" s="2"/>
      <c r="SN50" s="2"/>
      <c r="SO50" s="2"/>
      <c r="SP50" s="2"/>
      <c r="SQ50" s="2"/>
      <c r="SR50" s="2"/>
      <c r="SS50" s="2"/>
      <c r="ST50" s="2"/>
      <c r="SU50" s="2"/>
      <c r="SV50" s="2"/>
      <c r="SW50" s="2"/>
      <c r="SX50" s="2"/>
    </row>
    <row r="51" spans="1:518" x14ac:dyDescent="0.25">
      <c r="A51" s="214" t="s">
        <v>95</v>
      </c>
      <c r="B51" s="69" t="s">
        <v>49</v>
      </c>
      <c r="C51" s="12">
        <f>'PAP_08_23  '!$AG$3</f>
        <v>0</v>
      </c>
      <c r="D51" s="12">
        <f>'PAP_08_23  '!$AG$4</f>
        <v>0</v>
      </c>
      <c r="E51" s="12">
        <f>'PAP_08_23  '!$AG$5</f>
        <v>0</v>
      </c>
      <c r="F51" s="12">
        <f>'PAP_08_23  '!$AG$6</f>
        <v>0</v>
      </c>
      <c r="G51" s="12">
        <f>'PAP_08_23  '!$AG$7</f>
        <v>0</v>
      </c>
      <c r="H51" s="12">
        <f>'PAP_08_23  '!$AG$8</f>
        <v>0</v>
      </c>
      <c r="I51" s="12">
        <f>'PAP_08_23  '!$AG$9</f>
        <v>0</v>
      </c>
      <c r="J51" s="12">
        <f>'PAP_08_23  '!$AG$10</f>
        <v>0</v>
      </c>
      <c r="K51" s="12">
        <f>'PAP_08_23  '!$AG$11</f>
        <v>0</v>
      </c>
      <c r="L51" s="12">
        <f>'PAP_08_23  '!$AG$12</f>
        <v>0</v>
      </c>
      <c r="M51" s="12">
        <f>'PAP_08_23  '!$AG$13</f>
        <v>0</v>
      </c>
      <c r="N51" s="12">
        <f>'PAP_08_23  '!$AG$14</f>
        <v>0</v>
      </c>
      <c r="O51" s="12">
        <f>'PAP_08_23  '!$AG$15</f>
        <v>0</v>
      </c>
      <c r="P51" s="12">
        <f>'PAP_08_23  '!$AG$16</f>
        <v>0</v>
      </c>
      <c r="Q51" s="12">
        <f>'PAP_08_23  '!$AG$17</f>
        <v>0</v>
      </c>
      <c r="R51" s="12">
        <f>'PAP_08_23  '!$AG$18</f>
        <v>0</v>
      </c>
      <c r="S51" s="12">
        <f>'PAP_08_23  '!$AG$19</f>
        <v>0</v>
      </c>
      <c r="T51" s="12">
        <f>'PAP_08_23  '!$AG$20</f>
        <v>0</v>
      </c>
      <c r="U51" s="12">
        <f>'PAP_08_23  '!$AG$21</f>
        <v>0</v>
      </c>
      <c r="V51" s="12">
        <f>'PAP_08_23  '!$AG$22</f>
        <v>0</v>
      </c>
      <c r="W51" s="12">
        <f>'PAP_08_23  '!$AG$23</f>
        <v>0</v>
      </c>
      <c r="X51" s="12">
        <f>'PAP_08_23  '!$AG$24</f>
        <v>0</v>
      </c>
      <c r="Y51" s="12">
        <f>'PAP_08_23  '!$AG$25</f>
        <v>0</v>
      </c>
      <c r="Z51" s="12">
        <f>'PAP_08_23  '!$AG$26</f>
        <v>0</v>
      </c>
      <c r="AA51" s="12">
        <f>'PAP_08_23  '!$AG$27</f>
        <v>0</v>
      </c>
      <c r="AB51" s="12">
        <f>'PAP_08_23  '!$AG$28</f>
        <v>0</v>
      </c>
      <c r="AC51" s="12">
        <f>'PAP_08_23  '!$AG$29</f>
        <v>0</v>
      </c>
      <c r="AD51" s="12">
        <f>'PAP_08_23  '!$AG$30</f>
        <v>0</v>
      </c>
      <c r="AE51" s="12">
        <f>'PAP_08_23  '!$AG$31</f>
        <v>0</v>
      </c>
      <c r="AF51" s="12">
        <f>'PAP_08_23  '!$AG$32</f>
        <v>0</v>
      </c>
      <c r="AG51" s="8">
        <f t="shared" ref="AG51:AG85" si="51">SUM(C51:AE51)</f>
        <v>0</v>
      </c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  <c r="FK51" s="2"/>
      <c r="FL51" s="2"/>
      <c r="FM51" s="2"/>
      <c r="FN51" s="2"/>
      <c r="FO51" s="2"/>
      <c r="FP51" s="2"/>
      <c r="FQ51" s="2"/>
      <c r="FR51" s="2"/>
      <c r="FS51" s="2"/>
      <c r="FT51" s="2"/>
      <c r="FU51" s="2"/>
      <c r="FV51" s="2"/>
      <c r="FW51" s="2"/>
      <c r="FX51" s="2"/>
      <c r="FY51" s="2"/>
      <c r="FZ51" s="2"/>
      <c r="GA51" s="2"/>
      <c r="GB51" s="2"/>
      <c r="GC51" s="2"/>
      <c r="GD51" s="2"/>
      <c r="GE51" s="2"/>
      <c r="GF51" s="2"/>
      <c r="GG51" s="2"/>
      <c r="GH51" s="2"/>
      <c r="GI51" s="2"/>
      <c r="GJ51" s="2"/>
      <c r="GK51" s="2"/>
      <c r="GL51" s="2"/>
      <c r="GM51" s="2"/>
      <c r="GN51" s="2"/>
      <c r="GO51" s="2"/>
      <c r="GP51" s="2"/>
      <c r="GQ51" s="2"/>
      <c r="GR51" s="2"/>
      <c r="GS51" s="2"/>
      <c r="GT51" s="2"/>
      <c r="GU51" s="2"/>
      <c r="GV51" s="2"/>
      <c r="GW51" s="2"/>
      <c r="GX51" s="2"/>
      <c r="GY51" s="2"/>
      <c r="GZ51" s="2"/>
      <c r="HA51" s="2"/>
      <c r="HB51" s="2"/>
      <c r="HC51" s="2"/>
      <c r="HD51" s="2"/>
      <c r="HE51" s="2"/>
      <c r="HF51" s="2"/>
      <c r="HG51" s="2"/>
      <c r="HH51" s="2"/>
      <c r="HI51" s="2"/>
      <c r="HJ51" s="2"/>
      <c r="HK51" s="2"/>
      <c r="HL51" s="2"/>
      <c r="HM51" s="2"/>
      <c r="HN51" s="2"/>
      <c r="HO51" s="2"/>
      <c r="HP51" s="2"/>
      <c r="HQ51" s="2"/>
      <c r="HR51" s="2"/>
      <c r="HS51" s="2"/>
      <c r="HT51" s="2"/>
      <c r="HU51" s="2"/>
      <c r="HV51" s="2"/>
      <c r="HW51" s="2"/>
      <c r="HX51" s="2"/>
      <c r="HY51" s="2"/>
      <c r="HZ51" s="2"/>
      <c r="IA51" s="2"/>
      <c r="IB51" s="2"/>
      <c r="IC51" s="2"/>
      <c r="ID51" s="2"/>
      <c r="IE51" s="2"/>
      <c r="IF51" s="2"/>
      <c r="IG51" s="2"/>
      <c r="IH51" s="2"/>
      <c r="II51" s="2"/>
      <c r="IJ51" s="2"/>
      <c r="IK51" s="2"/>
      <c r="IL51" s="2"/>
      <c r="IM51" s="2"/>
      <c r="IN51" s="2"/>
      <c r="IO51" s="2"/>
      <c r="IP51" s="2"/>
      <c r="IQ51" s="2"/>
      <c r="IR51" s="2"/>
      <c r="IS51" s="2"/>
      <c r="IT51" s="2"/>
      <c r="IU51" s="2"/>
      <c r="IV51" s="2"/>
      <c r="IW51" s="2"/>
      <c r="IX51" s="2"/>
      <c r="IY51" s="2"/>
      <c r="IZ51" s="2"/>
      <c r="JA51" s="2"/>
      <c r="JB51" s="2"/>
      <c r="JC51" s="2"/>
      <c r="JD51" s="2"/>
      <c r="JE51" s="2"/>
      <c r="JF51" s="2"/>
      <c r="JG51" s="2"/>
      <c r="JH51" s="2"/>
      <c r="JI51" s="2"/>
      <c r="JJ51" s="2"/>
      <c r="JK51" s="2"/>
      <c r="JL51" s="2"/>
      <c r="JM51" s="2"/>
      <c r="JN51" s="2"/>
      <c r="JO51" s="2"/>
      <c r="JP51" s="2"/>
      <c r="JQ51" s="2"/>
      <c r="JR51" s="2"/>
      <c r="JS51" s="2"/>
      <c r="JT51" s="2"/>
      <c r="JU51" s="2"/>
      <c r="JV51" s="2"/>
      <c r="JW51" s="2"/>
      <c r="JX51" s="2"/>
      <c r="JY51" s="2"/>
      <c r="JZ51" s="2"/>
      <c r="KA51" s="2"/>
      <c r="KB51" s="2"/>
      <c r="KC51" s="2"/>
      <c r="KD51" s="2"/>
      <c r="KE51" s="2"/>
      <c r="KF51" s="2"/>
      <c r="KG51" s="2"/>
      <c r="KH51" s="2"/>
      <c r="KI51" s="2"/>
      <c r="KJ51" s="2"/>
      <c r="KK51" s="2"/>
      <c r="KL51" s="2"/>
      <c r="KM51" s="2"/>
      <c r="KN51" s="2"/>
      <c r="KO51" s="2"/>
      <c r="KP51" s="2"/>
      <c r="KQ51" s="2"/>
      <c r="KR51" s="2"/>
      <c r="KS51" s="2"/>
      <c r="KT51" s="2"/>
      <c r="KU51" s="2"/>
      <c r="KV51" s="2"/>
      <c r="KW51" s="2"/>
      <c r="KX51" s="2"/>
      <c r="KY51" s="2"/>
      <c r="KZ51" s="2"/>
      <c r="LA51" s="2"/>
      <c r="LB51" s="2"/>
      <c r="LC51" s="2"/>
      <c r="LD51" s="2"/>
      <c r="LE51" s="2"/>
      <c r="LF51" s="2"/>
      <c r="LG51" s="2"/>
      <c r="LH51" s="2"/>
      <c r="LI51" s="2"/>
      <c r="LJ51" s="2"/>
      <c r="LK51" s="2"/>
      <c r="LL51" s="2"/>
      <c r="LM51" s="2"/>
      <c r="LN51" s="2"/>
      <c r="LO51" s="2"/>
      <c r="LP51" s="2"/>
      <c r="LQ51" s="2"/>
      <c r="LR51" s="2"/>
      <c r="LS51" s="2"/>
      <c r="LT51" s="2"/>
      <c r="LU51" s="2"/>
      <c r="LV51" s="2"/>
      <c r="LW51" s="2"/>
      <c r="LX51" s="2"/>
      <c r="LY51" s="2"/>
      <c r="LZ51" s="2"/>
      <c r="MA51" s="2"/>
      <c r="MB51" s="2"/>
      <c r="MC51" s="2"/>
      <c r="MD51" s="2"/>
      <c r="ME51" s="2"/>
      <c r="MF51" s="2"/>
      <c r="MG51" s="2"/>
      <c r="MH51" s="2"/>
      <c r="MI51" s="2"/>
      <c r="MJ51" s="2"/>
      <c r="MK51" s="2"/>
      <c r="ML51" s="2"/>
      <c r="MM51" s="2"/>
      <c r="MN51" s="2"/>
      <c r="MO51" s="2"/>
      <c r="MP51" s="2"/>
      <c r="MQ51" s="2"/>
      <c r="MR51" s="2"/>
      <c r="MS51" s="2"/>
      <c r="MT51" s="2"/>
      <c r="MU51" s="2"/>
      <c r="MV51" s="2"/>
      <c r="MW51" s="2"/>
      <c r="MX51" s="2"/>
      <c r="MY51" s="2"/>
      <c r="MZ51" s="2"/>
      <c r="NA51" s="2"/>
      <c r="NB51" s="2"/>
      <c r="NC51" s="2"/>
      <c r="ND51" s="2"/>
      <c r="NE51" s="2"/>
      <c r="NF51" s="2"/>
      <c r="NG51" s="2"/>
      <c r="NH51" s="2"/>
      <c r="NI51" s="2"/>
      <c r="NJ51" s="2"/>
      <c r="NK51" s="2"/>
      <c r="NL51" s="2"/>
      <c r="NM51" s="2"/>
      <c r="NN51" s="2"/>
      <c r="NO51" s="2"/>
      <c r="NP51" s="2"/>
      <c r="NQ51" s="2"/>
      <c r="NR51" s="2"/>
      <c r="NS51" s="2"/>
      <c r="NT51" s="2"/>
      <c r="NU51" s="2"/>
      <c r="NV51" s="2"/>
      <c r="NW51" s="2"/>
      <c r="NX51" s="2"/>
      <c r="NY51" s="2"/>
      <c r="NZ51" s="2"/>
      <c r="OA51" s="2"/>
      <c r="OB51" s="2"/>
      <c r="OC51" s="2"/>
      <c r="OD51" s="2"/>
      <c r="OE51" s="2"/>
      <c r="OF51" s="2"/>
      <c r="OG51" s="2"/>
      <c r="OH51" s="2"/>
      <c r="OI51" s="2"/>
      <c r="OJ51" s="2"/>
      <c r="OK51" s="2"/>
      <c r="OL51" s="2"/>
      <c r="OM51" s="2"/>
      <c r="ON51" s="2"/>
      <c r="OO51" s="2"/>
      <c r="OP51" s="2"/>
      <c r="OQ51" s="2"/>
      <c r="OR51" s="2"/>
      <c r="OS51" s="2"/>
      <c r="OT51" s="2"/>
      <c r="OU51" s="2"/>
      <c r="OV51" s="2"/>
      <c r="OW51" s="2"/>
      <c r="OX51" s="2"/>
      <c r="OY51" s="2"/>
      <c r="OZ51" s="2"/>
      <c r="PA51" s="2"/>
      <c r="PB51" s="2"/>
      <c r="PC51" s="2"/>
      <c r="PD51" s="2"/>
      <c r="PE51" s="2"/>
      <c r="PF51" s="2"/>
      <c r="PG51" s="2"/>
      <c r="PH51" s="2"/>
      <c r="PI51" s="2"/>
      <c r="PJ51" s="2"/>
      <c r="PK51" s="2"/>
      <c r="PL51" s="2"/>
      <c r="PM51" s="2"/>
      <c r="PN51" s="2"/>
      <c r="PO51" s="2"/>
      <c r="PP51" s="2"/>
      <c r="PQ51" s="2"/>
      <c r="PR51" s="2"/>
      <c r="PS51" s="2"/>
      <c r="PT51" s="2"/>
      <c r="PU51" s="2"/>
      <c r="PV51" s="2"/>
      <c r="PW51" s="2"/>
      <c r="PX51" s="2"/>
      <c r="PY51" s="2"/>
      <c r="PZ51" s="2"/>
      <c r="QA51" s="2"/>
      <c r="QB51" s="2"/>
      <c r="QC51" s="2"/>
      <c r="QD51" s="2"/>
      <c r="QE51" s="2"/>
      <c r="QF51" s="2"/>
      <c r="QG51" s="2"/>
      <c r="QH51" s="2"/>
      <c r="QI51" s="2"/>
      <c r="QJ51" s="2"/>
      <c r="QK51" s="2"/>
      <c r="QL51" s="2"/>
      <c r="QM51" s="2"/>
      <c r="QN51" s="2"/>
      <c r="QO51" s="2"/>
      <c r="QP51" s="2"/>
      <c r="QQ51" s="2"/>
      <c r="QR51" s="2"/>
      <c r="QS51" s="2"/>
      <c r="QT51" s="2"/>
      <c r="QU51" s="2"/>
      <c r="QV51" s="2"/>
      <c r="QW51" s="2"/>
      <c r="QX51" s="2"/>
      <c r="QY51" s="2"/>
      <c r="QZ51" s="2"/>
      <c r="RA51" s="2"/>
      <c r="RB51" s="2"/>
      <c r="RC51" s="2"/>
      <c r="RD51" s="2"/>
      <c r="RE51" s="2"/>
      <c r="RF51" s="2"/>
      <c r="RG51" s="2"/>
      <c r="RH51" s="2"/>
      <c r="RI51" s="2"/>
      <c r="RJ51" s="2"/>
      <c r="RK51" s="2"/>
      <c r="RL51" s="2"/>
      <c r="RM51" s="2"/>
      <c r="RN51" s="2"/>
      <c r="RO51" s="2"/>
      <c r="RP51" s="2"/>
      <c r="RQ51" s="2"/>
      <c r="RR51" s="2"/>
      <c r="RS51" s="2"/>
      <c r="RT51" s="2"/>
      <c r="RU51" s="2"/>
      <c r="RV51" s="2"/>
      <c r="RW51" s="2"/>
      <c r="RX51" s="2"/>
      <c r="RY51" s="2"/>
      <c r="RZ51" s="2"/>
      <c r="SA51" s="2"/>
      <c r="SB51" s="2"/>
      <c r="SC51" s="2"/>
      <c r="SD51" s="2"/>
      <c r="SE51" s="2"/>
      <c r="SF51" s="2"/>
      <c r="SG51" s="2"/>
      <c r="SH51" s="2"/>
      <c r="SI51" s="2"/>
      <c r="SJ51" s="2"/>
      <c r="SK51" s="2"/>
      <c r="SL51" s="2"/>
      <c r="SM51" s="2"/>
      <c r="SN51" s="2"/>
      <c r="SO51" s="2"/>
      <c r="SP51" s="2"/>
      <c r="SQ51" s="2"/>
      <c r="SR51" s="2"/>
      <c r="SS51" s="2"/>
      <c r="ST51" s="2"/>
      <c r="SU51" s="2"/>
      <c r="SV51" s="2"/>
      <c r="SW51" s="2"/>
      <c r="SX51" s="2"/>
    </row>
    <row r="52" spans="1:518" x14ac:dyDescent="0.25">
      <c r="A52" s="214"/>
      <c r="B52" s="69" t="s">
        <v>50</v>
      </c>
      <c r="C52" s="12">
        <f>PLA_8_23!$AG$3</f>
        <v>0</v>
      </c>
      <c r="D52" s="12">
        <f>PLA_8_23!$AG$4</f>
        <v>0</v>
      </c>
      <c r="E52" s="12">
        <f>PLA_8_23!$AG$5</f>
        <v>0</v>
      </c>
      <c r="F52" s="12">
        <f>PLA_8_23!$AG$6</f>
        <v>0</v>
      </c>
      <c r="G52" s="12">
        <f>PLA_8_23!$AG$7</f>
        <v>0</v>
      </c>
      <c r="H52" s="12">
        <f>PLA_8_23!$AG$8</f>
        <v>0</v>
      </c>
      <c r="I52" s="12">
        <f>PLA_8_23!$AG$9</f>
        <v>0</v>
      </c>
      <c r="J52" s="12">
        <f>PLA_8_23!$AG$10</f>
        <v>0</v>
      </c>
      <c r="K52" s="12">
        <f>PLA_8_23!$AG$11</f>
        <v>0</v>
      </c>
      <c r="L52" s="12">
        <f>PLA_8_23!$AG$12</f>
        <v>0</v>
      </c>
      <c r="M52" s="12">
        <f>PLA_8_23!$AG$13</f>
        <v>0</v>
      </c>
      <c r="N52" s="12">
        <f>PLA_8_23!$AG$14</f>
        <v>0</v>
      </c>
      <c r="O52" s="12">
        <f>PLA_8_23!$AG$15</f>
        <v>0</v>
      </c>
      <c r="P52" s="12">
        <f>PLA_8_23!$AG$16</f>
        <v>0</v>
      </c>
      <c r="Q52" s="12">
        <f>PLA_8_23!$AG$17</f>
        <v>0</v>
      </c>
      <c r="R52" s="12">
        <f>PLA_8_23!$AG$18</f>
        <v>0</v>
      </c>
      <c r="S52" s="12">
        <f>PLA_8_23!$AG$19</f>
        <v>0</v>
      </c>
      <c r="T52" s="12">
        <f>PLA_8_23!$AG$20</f>
        <v>0</v>
      </c>
      <c r="U52" s="12">
        <f>PLA_8_23!$AG$21</f>
        <v>0</v>
      </c>
      <c r="V52" s="12">
        <f>PLA_8_23!$AG$22</f>
        <v>0</v>
      </c>
      <c r="W52" s="12">
        <f>PLA_8_23!$AG$23</f>
        <v>0</v>
      </c>
      <c r="X52" s="12">
        <f>PLA_8_23!$AG$24</f>
        <v>0</v>
      </c>
      <c r="Y52" s="12">
        <f>PLA_8_23!$AG$25</f>
        <v>0</v>
      </c>
      <c r="Z52" s="12">
        <f>PLA_8_23!$AG$26</f>
        <v>0</v>
      </c>
      <c r="AA52" s="12">
        <f>PLA_8_23!$AG$27</f>
        <v>0</v>
      </c>
      <c r="AB52" s="12">
        <f>PLA_8_23!$AG$28</f>
        <v>0</v>
      </c>
      <c r="AC52" s="12">
        <f>PLA_8_23!$AG$29</f>
        <v>0</v>
      </c>
      <c r="AD52" s="12">
        <f>PLA_8_23!$AG$30</f>
        <v>0</v>
      </c>
      <c r="AE52" s="12">
        <f>PLA_8_23!$AG$31</f>
        <v>0</v>
      </c>
      <c r="AF52" s="12">
        <f>PLA_8_23!$AG$32</f>
        <v>0</v>
      </c>
      <c r="AG52" s="8">
        <f t="shared" si="51"/>
        <v>0</v>
      </c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  <c r="FK52" s="2"/>
      <c r="FL52" s="2"/>
      <c r="FM52" s="2"/>
      <c r="FN52" s="2"/>
      <c r="FO52" s="2"/>
      <c r="FP52" s="2"/>
      <c r="FQ52" s="2"/>
      <c r="FR52" s="2"/>
      <c r="FS52" s="2"/>
      <c r="FT52" s="2"/>
      <c r="FU52" s="2"/>
      <c r="FV52" s="2"/>
      <c r="FW52" s="2"/>
      <c r="FX52" s="2"/>
      <c r="FY52" s="2"/>
      <c r="FZ52" s="2"/>
      <c r="GA52" s="2"/>
      <c r="GB52" s="2"/>
      <c r="GC52" s="2"/>
      <c r="GD52" s="2"/>
      <c r="GE52" s="2"/>
      <c r="GF52" s="2"/>
      <c r="GG52" s="2"/>
      <c r="GH52" s="2"/>
      <c r="GI52" s="2"/>
      <c r="GJ52" s="2"/>
      <c r="GK52" s="2"/>
      <c r="GL52" s="2"/>
      <c r="GM52" s="2"/>
      <c r="GN52" s="2"/>
      <c r="GO52" s="2"/>
      <c r="GP52" s="2"/>
      <c r="GQ52" s="2"/>
      <c r="GR52" s="2"/>
      <c r="GS52" s="2"/>
      <c r="GT52" s="2"/>
      <c r="GU52" s="2"/>
      <c r="GV52" s="2"/>
      <c r="GW52" s="2"/>
      <c r="GX52" s="2"/>
      <c r="GY52" s="2"/>
      <c r="GZ52" s="2"/>
      <c r="HA52" s="2"/>
      <c r="HB52" s="2"/>
      <c r="HC52" s="2"/>
      <c r="HD52" s="2"/>
      <c r="HE52" s="2"/>
      <c r="HF52" s="2"/>
      <c r="HG52" s="2"/>
      <c r="HH52" s="2"/>
      <c r="HI52" s="2"/>
      <c r="HJ52" s="2"/>
      <c r="HK52" s="2"/>
      <c r="HL52" s="2"/>
      <c r="HM52" s="2"/>
      <c r="HN52" s="2"/>
      <c r="HO52" s="2"/>
      <c r="HP52" s="2"/>
      <c r="HQ52" s="2"/>
      <c r="HR52" s="2"/>
      <c r="HS52" s="2"/>
      <c r="HT52" s="2"/>
      <c r="HU52" s="2"/>
      <c r="HV52" s="2"/>
      <c r="HW52" s="2"/>
      <c r="HX52" s="2"/>
      <c r="HY52" s="2"/>
      <c r="HZ52" s="2"/>
      <c r="IA52" s="2"/>
      <c r="IB52" s="2"/>
      <c r="IC52" s="2"/>
      <c r="ID52" s="2"/>
      <c r="IE52" s="2"/>
      <c r="IF52" s="2"/>
      <c r="IG52" s="2"/>
      <c r="IH52" s="2"/>
      <c r="II52" s="2"/>
      <c r="IJ52" s="2"/>
      <c r="IK52" s="2"/>
      <c r="IL52" s="2"/>
      <c r="IM52" s="2"/>
      <c r="IN52" s="2"/>
      <c r="IO52" s="2"/>
      <c r="IP52" s="2"/>
      <c r="IQ52" s="2"/>
      <c r="IR52" s="2"/>
      <c r="IS52" s="2"/>
      <c r="IT52" s="2"/>
      <c r="IU52" s="2"/>
      <c r="IV52" s="2"/>
      <c r="IW52" s="2"/>
      <c r="IX52" s="2"/>
      <c r="IY52" s="2"/>
      <c r="IZ52" s="2"/>
      <c r="JA52" s="2"/>
      <c r="JB52" s="2"/>
      <c r="JC52" s="2"/>
      <c r="JD52" s="2"/>
      <c r="JE52" s="2"/>
      <c r="JF52" s="2"/>
      <c r="JG52" s="2"/>
      <c r="JH52" s="2"/>
      <c r="JI52" s="2"/>
      <c r="JJ52" s="2"/>
      <c r="JK52" s="2"/>
      <c r="JL52" s="2"/>
      <c r="JM52" s="2"/>
      <c r="JN52" s="2"/>
      <c r="JO52" s="2"/>
      <c r="JP52" s="2"/>
      <c r="JQ52" s="2"/>
      <c r="JR52" s="2"/>
      <c r="JS52" s="2"/>
      <c r="JT52" s="2"/>
      <c r="JU52" s="2"/>
      <c r="JV52" s="2"/>
      <c r="JW52" s="2"/>
      <c r="JX52" s="2"/>
      <c r="JY52" s="2"/>
      <c r="JZ52" s="2"/>
      <c r="KA52" s="2"/>
      <c r="KB52" s="2"/>
      <c r="KC52" s="2"/>
      <c r="KD52" s="2"/>
      <c r="KE52" s="2"/>
      <c r="KF52" s="2"/>
      <c r="KG52" s="2"/>
      <c r="KH52" s="2"/>
      <c r="KI52" s="2"/>
      <c r="KJ52" s="2"/>
      <c r="KK52" s="2"/>
      <c r="KL52" s="2"/>
      <c r="KM52" s="2"/>
      <c r="KN52" s="2"/>
      <c r="KO52" s="2"/>
      <c r="KP52" s="2"/>
      <c r="KQ52" s="2"/>
      <c r="KR52" s="2"/>
      <c r="KS52" s="2"/>
      <c r="KT52" s="2"/>
      <c r="KU52" s="2"/>
      <c r="KV52" s="2"/>
      <c r="KW52" s="2"/>
      <c r="KX52" s="2"/>
      <c r="KY52" s="2"/>
      <c r="KZ52" s="2"/>
      <c r="LA52" s="2"/>
      <c r="LB52" s="2"/>
      <c r="LC52" s="2"/>
      <c r="LD52" s="2"/>
      <c r="LE52" s="2"/>
      <c r="LF52" s="2"/>
      <c r="LG52" s="2"/>
      <c r="LH52" s="2"/>
      <c r="LI52" s="2"/>
      <c r="LJ52" s="2"/>
      <c r="LK52" s="2"/>
      <c r="LL52" s="2"/>
      <c r="LM52" s="2"/>
      <c r="LN52" s="2"/>
      <c r="LO52" s="2"/>
      <c r="LP52" s="2"/>
      <c r="LQ52" s="2"/>
      <c r="LR52" s="2"/>
      <c r="LS52" s="2"/>
      <c r="LT52" s="2"/>
      <c r="LU52" s="2"/>
      <c r="LV52" s="2"/>
      <c r="LW52" s="2"/>
      <c r="LX52" s="2"/>
      <c r="LY52" s="2"/>
      <c r="LZ52" s="2"/>
      <c r="MA52" s="2"/>
      <c r="MB52" s="2"/>
      <c r="MC52" s="2"/>
      <c r="MD52" s="2"/>
      <c r="ME52" s="2"/>
      <c r="MF52" s="2"/>
      <c r="MG52" s="2"/>
      <c r="MH52" s="2"/>
      <c r="MI52" s="2"/>
      <c r="MJ52" s="2"/>
      <c r="MK52" s="2"/>
      <c r="ML52" s="2"/>
      <c r="MM52" s="2"/>
      <c r="MN52" s="2"/>
      <c r="MO52" s="2"/>
      <c r="MP52" s="2"/>
      <c r="MQ52" s="2"/>
      <c r="MR52" s="2"/>
      <c r="MS52" s="2"/>
      <c r="MT52" s="2"/>
      <c r="MU52" s="2"/>
      <c r="MV52" s="2"/>
      <c r="MW52" s="2"/>
      <c r="MX52" s="2"/>
      <c r="MY52" s="2"/>
      <c r="MZ52" s="2"/>
      <c r="NA52" s="2"/>
      <c r="NB52" s="2"/>
      <c r="NC52" s="2"/>
      <c r="ND52" s="2"/>
      <c r="NE52" s="2"/>
      <c r="NF52" s="2"/>
      <c r="NG52" s="2"/>
      <c r="NH52" s="2"/>
      <c r="NI52" s="2"/>
      <c r="NJ52" s="2"/>
      <c r="NK52" s="2"/>
      <c r="NL52" s="2"/>
      <c r="NM52" s="2"/>
      <c r="NN52" s="2"/>
      <c r="NO52" s="2"/>
      <c r="NP52" s="2"/>
      <c r="NQ52" s="2"/>
      <c r="NR52" s="2"/>
      <c r="NS52" s="2"/>
      <c r="NT52" s="2"/>
      <c r="NU52" s="2"/>
      <c r="NV52" s="2"/>
      <c r="NW52" s="2"/>
      <c r="NX52" s="2"/>
      <c r="NY52" s="2"/>
      <c r="NZ52" s="2"/>
      <c r="OA52" s="2"/>
      <c r="OB52" s="2"/>
      <c r="OC52" s="2"/>
      <c r="OD52" s="2"/>
      <c r="OE52" s="2"/>
      <c r="OF52" s="2"/>
      <c r="OG52" s="2"/>
      <c r="OH52" s="2"/>
      <c r="OI52" s="2"/>
      <c r="OJ52" s="2"/>
      <c r="OK52" s="2"/>
      <c r="OL52" s="2"/>
      <c r="OM52" s="2"/>
      <c r="ON52" s="2"/>
      <c r="OO52" s="2"/>
      <c r="OP52" s="2"/>
      <c r="OQ52" s="2"/>
      <c r="OR52" s="2"/>
      <c r="OS52" s="2"/>
      <c r="OT52" s="2"/>
      <c r="OU52" s="2"/>
      <c r="OV52" s="2"/>
      <c r="OW52" s="2"/>
      <c r="OX52" s="2"/>
      <c r="OY52" s="2"/>
      <c r="OZ52" s="2"/>
      <c r="PA52" s="2"/>
      <c r="PB52" s="2"/>
      <c r="PC52" s="2"/>
      <c r="PD52" s="2"/>
      <c r="PE52" s="2"/>
      <c r="PF52" s="2"/>
      <c r="PG52" s="2"/>
      <c r="PH52" s="2"/>
      <c r="PI52" s="2"/>
      <c r="PJ52" s="2"/>
      <c r="PK52" s="2"/>
      <c r="PL52" s="2"/>
      <c r="PM52" s="2"/>
      <c r="PN52" s="2"/>
      <c r="PO52" s="2"/>
      <c r="PP52" s="2"/>
      <c r="PQ52" s="2"/>
      <c r="PR52" s="2"/>
      <c r="PS52" s="2"/>
      <c r="PT52" s="2"/>
      <c r="PU52" s="2"/>
      <c r="PV52" s="2"/>
      <c r="PW52" s="2"/>
      <c r="PX52" s="2"/>
      <c r="PY52" s="2"/>
      <c r="PZ52" s="2"/>
      <c r="QA52" s="2"/>
      <c r="QB52" s="2"/>
      <c r="QC52" s="2"/>
      <c r="QD52" s="2"/>
      <c r="QE52" s="2"/>
      <c r="QF52" s="2"/>
      <c r="QG52" s="2"/>
      <c r="QH52" s="2"/>
      <c r="QI52" s="2"/>
      <c r="QJ52" s="2"/>
      <c r="QK52" s="2"/>
      <c r="QL52" s="2"/>
      <c r="QM52" s="2"/>
      <c r="QN52" s="2"/>
      <c r="QO52" s="2"/>
      <c r="QP52" s="2"/>
      <c r="QQ52" s="2"/>
      <c r="QR52" s="2"/>
      <c r="QS52" s="2"/>
      <c r="QT52" s="2"/>
      <c r="QU52" s="2"/>
      <c r="QV52" s="2"/>
      <c r="QW52" s="2"/>
      <c r="QX52" s="2"/>
      <c r="QY52" s="2"/>
      <c r="QZ52" s="2"/>
      <c r="RA52" s="2"/>
      <c r="RB52" s="2"/>
      <c r="RC52" s="2"/>
      <c r="RD52" s="2"/>
      <c r="RE52" s="2"/>
      <c r="RF52" s="2"/>
      <c r="RG52" s="2"/>
      <c r="RH52" s="2"/>
      <c r="RI52" s="2"/>
      <c r="RJ52" s="2"/>
      <c r="RK52" s="2"/>
      <c r="RL52" s="2"/>
      <c r="RM52" s="2"/>
      <c r="RN52" s="2"/>
      <c r="RO52" s="2"/>
      <c r="RP52" s="2"/>
      <c r="RQ52" s="2"/>
      <c r="RR52" s="2"/>
      <c r="RS52" s="2"/>
      <c r="RT52" s="2"/>
      <c r="RU52" s="2"/>
      <c r="RV52" s="2"/>
      <c r="RW52" s="2"/>
      <c r="RX52" s="2"/>
      <c r="RY52" s="2"/>
      <c r="RZ52" s="2"/>
      <c r="SA52" s="2"/>
      <c r="SB52" s="2"/>
      <c r="SC52" s="2"/>
      <c r="SD52" s="2"/>
      <c r="SE52" s="2"/>
      <c r="SF52" s="2"/>
      <c r="SG52" s="2"/>
      <c r="SH52" s="2"/>
      <c r="SI52" s="2"/>
      <c r="SJ52" s="2"/>
      <c r="SK52" s="2"/>
      <c r="SL52" s="2"/>
      <c r="SM52" s="2"/>
      <c r="SN52" s="2"/>
      <c r="SO52" s="2"/>
      <c r="SP52" s="2"/>
      <c r="SQ52" s="2"/>
      <c r="SR52" s="2"/>
      <c r="SS52" s="2"/>
      <c r="ST52" s="2"/>
      <c r="SU52" s="2"/>
      <c r="SV52" s="2"/>
      <c r="SW52" s="2"/>
      <c r="SX52" s="2"/>
    </row>
    <row r="53" spans="1:518" x14ac:dyDescent="0.25">
      <c r="A53" s="214"/>
      <c r="B53" s="69" t="s">
        <v>51</v>
      </c>
      <c r="C53" s="12">
        <f>'GRI_08_23 '!AG3</f>
        <v>0</v>
      </c>
      <c r="D53" s="12">
        <f>'GRI_08_23 '!AG4</f>
        <v>0</v>
      </c>
      <c r="E53" s="12">
        <f>'GRI_08_23 '!AG5</f>
        <v>0</v>
      </c>
      <c r="F53" s="12">
        <f>'GRI_08_23 '!AG6</f>
        <v>0</v>
      </c>
      <c r="G53" s="12">
        <f>'GRI_08_23 '!AG7</f>
        <v>0</v>
      </c>
      <c r="H53" s="12">
        <f>'GRI_08_23 '!AG8</f>
        <v>0</v>
      </c>
      <c r="I53" s="12">
        <f>'GRI_08_23 '!AG9</f>
        <v>0</v>
      </c>
      <c r="J53" s="12">
        <f>'GRI_08_23 '!AG10</f>
        <v>0</v>
      </c>
      <c r="K53" s="12">
        <f>'GRI_08_23 '!AG11</f>
        <v>0</v>
      </c>
      <c r="L53" s="12">
        <f>'GRI_08_23 '!AG12</f>
        <v>0</v>
      </c>
      <c r="M53" s="12">
        <f>'GRI_08_23 '!AG13</f>
        <v>0</v>
      </c>
      <c r="N53" s="12">
        <f>'GRI_08_23 '!AG14</f>
        <v>0</v>
      </c>
      <c r="O53" s="12">
        <f>'GRI_08_23 '!AG15</f>
        <v>0</v>
      </c>
      <c r="P53" s="12">
        <f>'GRI_08_23 '!AG16</f>
        <v>0</v>
      </c>
      <c r="Q53" s="12">
        <f>'GRI_08_23 '!AG17</f>
        <v>0</v>
      </c>
      <c r="R53" s="12">
        <f>'GRI_08_23 '!AG18</f>
        <v>0</v>
      </c>
      <c r="S53" s="12">
        <f>'GRI_08_23 '!AG19</f>
        <v>0</v>
      </c>
      <c r="T53" s="12">
        <f>'GRI_08_23 '!AG20</f>
        <v>0</v>
      </c>
      <c r="U53" s="12">
        <f>'GRI_08_23 '!AG21</f>
        <v>0</v>
      </c>
      <c r="V53" s="12">
        <f>'GRI_08_23 '!AG22</f>
        <v>0</v>
      </c>
      <c r="W53" s="12">
        <f>'GRI_08_23 '!AG23</f>
        <v>0</v>
      </c>
      <c r="X53" s="12">
        <f>'GRI_08_23 '!AG24</f>
        <v>0</v>
      </c>
      <c r="Y53" s="12">
        <f>'GRI_08_23 '!AG25</f>
        <v>0</v>
      </c>
      <c r="Z53" s="12">
        <f>'GRI_08_23 '!AG26</f>
        <v>0</v>
      </c>
      <c r="AA53" s="12">
        <f>'GRI_08_23 '!AG27</f>
        <v>0</v>
      </c>
      <c r="AB53" s="12">
        <f>'GRI_08_23 '!AG28</f>
        <v>0</v>
      </c>
      <c r="AC53" s="12">
        <f>'GRI_08_23 '!AG29</f>
        <v>0</v>
      </c>
      <c r="AD53" s="12">
        <f>'GRI_08_23 '!AG30</f>
        <v>0</v>
      </c>
      <c r="AE53" s="12">
        <f>'GRI_08_23 '!AG31</f>
        <v>0</v>
      </c>
      <c r="AF53" s="12">
        <f>'GRI_08_23 '!AG32</f>
        <v>0</v>
      </c>
      <c r="AG53" s="8">
        <f t="shared" si="51"/>
        <v>0</v>
      </c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  <c r="FK53" s="2"/>
      <c r="FL53" s="2"/>
      <c r="FM53" s="2"/>
      <c r="FN53" s="2"/>
      <c r="FO53" s="2"/>
      <c r="FP53" s="2"/>
      <c r="FQ53" s="2"/>
      <c r="FR53" s="2"/>
      <c r="FS53" s="2"/>
      <c r="FT53" s="2"/>
      <c r="FU53" s="2"/>
      <c r="FV53" s="2"/>
      <c r="FW53" s="2"/>
      <c r="FX53" s="2"/>
      <c r="FY53" s="2"/>
      <c r="FZ53" s="2"/>
      <c r="GA53" s="2"/>
      <c r="GB53" s="2"/>
      <c r="GC53" s="2"/>
      <c r="GD53" s="2"/>
      <c r="GE53" s="2"/>
      <c r="GF53" s="2"/>
      <c r="GG53" s="2"/>
      <c r="GH53" s="2"/>
      <c r="GI53" s="2"/>
      <c r="GJ53" s="2"/>
      <c r="GK53" s="2"/>
      <c r="GL53" s="2"/>
      <c r="GM53" s="2"/>
      <c r="GN53" s="2"/>
      <c r="GO53" s="2"/>
      <c r="GP53" s="2"/>
      <c r="GQ53" s="2"/>
      <c r="GR53" s="2"/>
      <c r="GS53" s="2"/>
      <c r="GT53" s="2"/>
      <c r="GU53" s="2"/>
      <c r="GV53" s="2"/>
      <c r="GW53" s="2"/>
      <c r="GX53" s="2"/>
      <c r="GY53" s="2"/>
      <c r="GZ53" s="2"/>
      <c r="HA53" s="2"/>
      <c r="HB53" s="2"/>
      <c r="HC53" s="2"/>
      <c r="HD53" s="2"/>
      <c r="HE53" s="2"/>
      <c r="HF53" s="2"/>
      <c r="HG53" s="2"/>
      <c r="HH53" s="2"/>
      <c r="HI53" s="2"/>
      <c r="HJ53" s="2"/>
      <c r="HK53" s="2"/>
      <c r="HL53" s="2"/>
      <c r="HM53" s="2"/>
      <c r="HN53" s="2"/>
      <c r="HO53" s="2"/>
      <c r="HP53" s="2"/>
      <c r="HQ53" s="2"/>
      <c r="HR53" s="2"/>
      <c r="HS53" s="2"/>
      <c r="HT53" s="2"/>
      <c r="HU53" s="2"/>
      <c r="HV53" s="2"/>
      <c r="HW53" s="2"/>
      <c r="HX53" s="2"/>
      <c r="HY53" s="2"/>
      <c r="HZ53" s="2"/>
      <c r="IA53" s="2"/>
      <c r="IB53" s="2"/>
      <c r="IC53" s="2"/>
      <c r="ID53" s="2"/>
      <c r="IE53" s="2"/>
      <c r="IF53" s="2"/>
      <c r="IG53" s="2"/>
      <c r="IH53" s="2"/>
      <c r="II53" s="2"/>
      <c r="IJ53" s="2"/>
      <c r="IK53" s="2"/>
      <c r="IL53" s="2"/>
      <c r="IM53" s="2"/>
      <c r="IN53" s="2"/>
      <c r="IO53" s="2"/>
      <c r="IP53" s="2"/>
      <c r="IQ53" s="2"/>
      <c r="IR53" s="2"/>
      <c r="IS53" s="2"/>
      <c r="IT53" s="2"/>
      <c r="IU53" s="2"/>
      <c r="IV53" s="2"/>
      <c r="IW53" s="2"/>
      <c r="IX53" s="2"/>
      <c r="IY53" s="2"/>
      <c r="IZ53" s="2"/>
      <c r="JA53" s="2"/>
      <c r="JB53" s="2"/>
      <c r="JC53" s="2"/>
      <c r="JD53" s="2"/>
      <c r="JE53" s="2"/>
      <c r="JF53" s="2"/>
      <c r="JG53" s="2"/>
      <c r="JH53" s="2"/>
      <c r="JI53" s="2"/>
      <c r="JJ53" s="2"/>
      <c r="JK53" s="2"/>
      <c r="JL53" s="2"/>
      <c r="JM53" s="2"/>
      <c r="JN53" s="2"/>
      <c r="JO53" s="2"/>
      <c r="JP53" s="2"/>
      <c r="JQ53" s="2"/>
      <c r="JR53" s="2"/>
      <c r="JS53" s="2"/>
      <c r="JT53" s="2"/>
      <c r="JU53" s="2"/>
      <c r="JV53" s="2"/>
      <c r="JW53" s="2"/>
      <c r="JX53" s="2"/>
      <c r="JY53" s="2"/>
      <c r="JZ53" s="2"/>
      <c r="KA53" s="2"/>
      <c r="KB53" s="2"/>
      <c r="KC53" s="2"/>
      <c r="KD53" s="2"/>
      <c r="KE53" s="2"/>
      <c r="KF53" s="2"/>
      <c r="KG53" s="2"/>
      <c r="KH53" s="2"/>
      <c r="KI53" s="2"/>
      <c r="KJ53" s="2"/>
      <c r="KK53" s="2"/>
      <c r="KL53" s="2"/>
      <c r="KM53" s="2"/>
      <c r="KN53" s="2"/>
      <c r="KO53" s="2"/>
      <c r="KP53" s="2"/>
      <c r="KQ53" s="2"/>
      <c r="KR53" s="2"/>
      <c r="KS53" s="2"/>
      <c r="KT53" s="2"/>
      <c r="KU53" s="2"/>
      <c r="KV53" s="2"/>
      <c r="KW53" s="2"/>
      <c r="KX53" s="2"/>
      <c r="KY53" s="2"/>
      <c r="KZ53" s="2"/>
      <c r="LA53" s="2"/>
      <c r="LB53" s="2"/>
      <c r="LC53" s="2"/>
      <c r="LD53" s="2"/>
      <c r="LE53" s="2"/>
      <c r="LF53" s="2"/>
      <c r="LG53" s="2"/>
      <c r="LH53" s="2"/>
      <c r="LI53" s="2"/>
      <c r="LJ53" s="2"/>
      <c r="LK53" s="2"/>
      <c r="LL53" s="2"/>
      <c r="LM53" s="2"/>
      <c r="LN53" s="2"/>
      <c r="LO53" s="2"/>
      <c r="LP53" s="2"/>
      <c r="LQ53" s="2"/>
      <c r="LR53" s="2"/>
      <c r="LS53" s="2"/>
      <c r="LT53" s="2"/>
      <c r="LU53" s="2"/>
      <c r="LV53" s="2"/>
      <c r="LW53" s="2"/>
      <c r="LX53" s="2"/>
      <c r="LY53" s="2"/>
      <c r="LZ53" s="2"/>
      <c r="MA53" s="2"/>
      <c r="MB53" s="2"/>
      <c r="MC53" s="2"/>
      <c r="MD53" s="2"/>
      <c r="ME53" s="2"/>
      <c r="MF53" s="2"/>
      <c r="MG53" s="2"/>
      <c r="MH53" s="2"/>
      <c r="MI53" s="2"/>
      <c r="MJ53" s="2"/>
      <c r="MK53" s="2"/>
      <c r="ML53" s="2"/>
      <c r="MM53" s="2"/>
      <c r="MN53" s="2"/>
      <c r="MO53" s="2"/>
      <c r="MP53" s="2"/>
      <c r="MQ53" s="2"/>
      <c r="MR53" s="2"/>
      <c r="MS53" s="2"/>
      <c r="MT53" s="2"/>
      <c r="MU53" s="2"/>
      <c r="MV53" s="2"/>
      <c r="MW53" s="2"/>
      <c r="MX53" s="2"/>
      <c r="MY53" s="2"/>
      <c r="MZ53" s="2"/>
      <c r="NA53" s="2"/>
      <c r="NB53" s="2"/>
      <c r="NC53" s="2"/>
      <c r="ND53" s="2"/>
      <c r="NE53" s="2"/>
      <c r="NF53" s="2"/>
      <c r="NG53" s="2"/>
      <c r="NH53" s="2"/>
      <c r="NI53" s="2"/>
      <c r="NJ53" s="2"/>
      <c r="NK53" s="2"/>
      <c r="NL53" s="2"/>
      <c r="NM53" s="2"/>
      <c r="NN53" s="2"/>
      <c r="NO53" s="2"/>
      <c r="NP53" s="2"/>
      <c r="NQ53" s="2"/>
      <c r="NR53" s="2"/>
      <c r="NS53" s="2"/>
      <c r="NT53" s="2"/>
      <c r="NU53" s="2"/>
      <c r="NV53" s="2"/>
      <c r="NW53" s="2"/>
      <c r="NX53" s="2"/>
      <c r="NY53" s="2"/>
      <c r="NZ53" s="2"/>
      <c r="OA53" s="2"/>
      <c r="OB53" s="2"/>
      <c r="OC53" s="2"/>
      <c r="OD53" s="2"/>
      <c r="OE53" s="2"/>
      <c r="OF53" s="2"/>
      <c r="OG53" s="2"/>
      <c r="OH53" s="2"/>
      <c r="OI53" s="2"/>
      <c r="OJ53" s="2"/>
      <c r="OK53" s="2"/>
      <c r="OL53" s="2"/>
      <c r="OM53" s="2"/>
      <c r="ON53" s="2"/>
      <c r="OO53" s="2"/>
      <c r="OP53" s="2"/>
      <c r="OQ53" s="2"/>
      <c r="OR53" s="2"/>
      <c r="OS53" s="2"/>
      <c r="OT53" s="2"/>
      <c r="OU53" s="2"/>
      <c r="OV53" s="2"/>
      <c r="OW53" s="2"/>
      <c r="OX53" s="2"/>
      <c r="OY53" s="2"/>
      <c r="OZ53" s="2"/>
      <c r="PA53" s="2"/>
      <c r="PB53" s="2"/>
      <c r="PC53" s="2"/>
      <c r="PD53" s="2"/>
      <c r="PE53" s="2"/>
      <c r="PF53" s="2"/>
      <c r="PG53" s="2"/>
      <c r="PH53" s="2"/>
      <c r="PI53" s="2"/>
      <c r="PJ53" s="2"/>
      <c r="PK53" s="2"/>
      <c r="PL53" s="2"/>
      <c r="PM53" s="2"/>
      <c r="PN53" s="2"/>
      <c r="PO53" s="2"/>
      <c r="PP53" s="2"/>
      <c r="PQ53" s="2"/>
      <c r="PR53" s="2"/>
      <c r="PS53" s="2"/>
      <c r="PT53" s="2"/>
      <c r="PU53" s="2"/>
      <c r="PV53" s="2"/>
      <c r="PW53" s="2"/>
      <c r="PX53" s="2"/>
      <c r="PY53" s="2"/>
      <c r="PZ53" s="2"/>
      <c r="QA53" s="2"/>
      <c r="QB53" s="2"/>
      <c r="QC53" s="2"/>
      <c r="QD53" s="2"/>
      <c r="QE53" s="2"/>
      <c r="QF53" s="2"/>
      <c r="QG53" s="2"/>
      <c r="QH53" s="2"/>
      <c r="QI53" s="2"/>
      <c r="QJ53" s="2"/>
      <c r="QK53" s="2"/>
      <c r="QL53" s="2"/>
      <c r="QM53" s="2"/>
      <c r="QN53" s="2"/>
      <c r="QO53" s="2"/>
      <c r="QP53" s="2"/>
      <c r="QQ53" s="2"/>
      <c r="QR53" s="2"/>
      <c r="QS53" s="2"/>
      <c r="QT53" s="2"/>
      <c r="QU53" s="2"/>
      <c r="QV53" s="2"/>
      <c r="QW53" s="2"/>
      <c r="QX53" s="2"/>
      <c r="QY53" s="2"/>
      <c r="QZ53" s="2"/>
      <c r="RA53" s="2"/>
      <c r="RB53" s="2"/>
      <c r="RC53" s="2"/>
      <c r="RD53" s="2"/>
      <c r="RE53" s="2"/>
      <c r="RF53" s="2"/>
      <c r="RG53" s="2"/>
      <c r="RH53" s="2"/>
      <c r="RI53" s="2"/>
      <c r="RJ53" s="2"/>
      <c r="RK53" s="2"/>
      <c r="RL53" s="2"/>
      <c r="RM53" s="2"/>
      <c r="RN53" s="2"/>
      <c r="RO53" s="2"/>
      <c r="RP53" s="2"/>
      <c r="RQ53" s="2"/>
      <c r="RR53" s="2"/>
      <c r="RS53" s="2"/>
      <c r="RT53" s="2"/>
      <c r="RU53" s="2"/>
      <c r="RV53" s="2"/>
      <c r="RW53" s="2"/>
      <c r="RX53" s="2"/>
      <c r="RY53" s="2"/>
      <c r="RZ53" s="2"/>
      <c r="SA53" s="2"/>
      <c r="SB53" s="2"/>
      <c r="SC53" s="2"/>
      <c r="SD53" s="2"/>
      <c r="SE53" s="2"/>
      <c r="SF53" s="2"/>
      <c r="SG53" s="2"/>
      <c r="SH53" s="2"/>
      <c r="SI53" s="2"/>
      <c r="SJ53" s="2"/>
      <c r="SK53" s="2"/>
      <c r="SL53" s="2"/>
      <c r="SM53" s="2"/>
      <c r="SN53" s="2"/>
      <c r="SO53" s="2"/>
      <c r="SP53" s="2"/>
      <c r="SQ53" s="2"/>
      <c r="SR53" s="2"/>
      <c r="SS53" s="2"/>
      <c r="ST53" s="2"/>
      <c r="SU53" s="2"/>
      <c r="SV53" s="2"/>
      <c r="SW53" s="2"/>
      <c r="SX53" s="2"/>
    </row>
    <row r="54" spans="1:518" x14ac:dyDescent="0.25">
      <c r="A54" s="214"/>
      <c r="B54" s="69" t="s">
        <v>52</v>
      </c>
      <c r="C54" s="12">
        <f>VER_08_23!$AG$3</f>
        <v>0</v>
      </c>
      <c r="D54" s="12">
        <f>VER_08_23!$AG$4</f>
        <v>0</v>
      </c>
      <c r="E54" s="12">
        <f>VER_08_23!$AG$5</f>
        <v>0</v>
      </c>
      <c r="F54" s="12">
        <f>VER_08_23!$AG$6</f>
        <v>0</v>
      </c>
      <c r="G54" s="12">
        <f>VER_08_23!$AG$7</f>
        <v>0</v>
      </c>
      <c r="H54" s="12">
        <f>VER_08_23!$AG$8</f>
        <v>0</v>
      </c>
      <c r="I54" s="12">
        <f>VER_08_23!$AG$9</f>
        <v>0</v>
      </c>
      <c r="J54" s="12">
        <f>VER_08_23!$AG$10</f>
        <v>0</v>
      </c>
      <c r="K54" s="12">
        <f>VER_08_23!$AG$11</f>
        <v>0</v>
      </c>
      <c r="L54" s="12">
        <f>VER_08_23!$AG$12</f>
        <v>0</v>
      </c>
      <c r="M54" s="12">
        <f>VER_08_23!$AG$13</f>
        <v>0</v>
      </c>
      <c r="N54" s="12">
        <f>VER_08_23!$AG$14</f>
        <v>0</v>
      </c>
      <c r="O54" s="12">
        <f>VER_08_23!$AG$15</f>
        <v>0</v>
      </c>
      <c r="P54" s="12">
        <f>VER_08_23!$AG$16</f>
        <v>0</v>
      </c>
      <c r="Q54" s="12">
        <f>VER_08_23!$AG$17</f>
        <v>0</v>
      </c>
      <c r="R54" s="12">
        <f>VER_08_23!$AG$18</f>
        <v>0</v>
      </c>
      <c r="S54" s="12">
        <f>VER_08_23!$AG$19</f>
        <v>0</v>
      </c>
      <c r="T54" s="12">
        <f>VER_08_23!$AG$20</f>
        <v>0</v>
      </c>
      <c r="U54" s="12">
        <f>VER_08_23!$AG$621</f>
        <v>0</v>
      </c>
      <c r="V54" s="12">
        <f>VER_08_23!$AG$22</f>
        <v>0</v>
      </c>
      <c r="W54" s="12">
        <f>VER_08_23!$AG$23</f>
        <v>0</v>
      </c>
      <c r="X54" s="12">
        <f>VER_08_23!$AG$24</f>
        <v>0</v>
      </c>
      <c r="Y54" s="12">
        <f>VER_08_23!$AG$25</f>
        <v>0</v>
      </c>
      <c r="Z54" s="12">
        <f>VER_08_23!$AG$26</f>
        <v>0</v>
      </c>
      <c r="AA54" s="12">
        <f>VER_08_23!$AG$27</f>
        <v>0</v>
      </c>
      <c r="AB54" s="12">
        <f>VER_08_23!$AG$28</f>
        <v>0</v>
      </c>
      <c r="AC54" s="12">
        <f>VER_08_23!$AG$29</f>
        <v>0</v>
      </c>
      <c r="AD54" s="12">
        <f>VER_08_23!$AG$30</f>
        <v>0</v>
      </c>
      <c r="AE54" s="12">
        <f>VER_08_23!$AG$31</f>
        <v>0</v>
      </c>
      <c r="AF54" s="12">
        <f>VER_08_23!$AG$32</f>
        <v>0</v>
      </c>
      <c r="AG54" s="8">
        <f t="shared" si="51"/>
        <v>0</v>
      </c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  <c r="FK54" s="2"/>
      <c r="FL54" s="2"/>
      <c r="FM54" s="2"/>
      <c r="FN54" s="2"/>
      <c r="FO54" s="2"/>
      <c r="FP54" s="2"/>
      <c r="FQ54" s="2"/>
      <c r="FR54" s="2"/>
      <c r="FS54" s="2"/>
      <c r="FT54" s="2"/>
      <c r="FU54" s="2"/>
      <c r="FV54" s="2"/>
      <c r="FW54" s="2"/>
      <c r="FX54" s="2"/>
      <c r="FY54" s="2"/>
      <c r="FZ54" s="2"/>
      <c r="GA54" s="2"/>
      <c r="GB54" s="2"/>
      <c r="GC54" s="2"/>
      <c r="GD54" s="2"/>
      <c r="GE54" s="2"/>
      <c r="GF54" s="2"/>
      <c r="GG54" s="2"/>
      <c r="GH54" s="2"/>
      <c r="GI54" s="2"/>
      <c r="GJ54" s="2"/>
      <c r="GK54" s="2"/>
      <c r="GL54" s="2"/>
      <c r="GM54" s="2"/>
      <c r="GN54" s="2"/>
      <c r="GO54" s="2"/>
      <c r="GP54" s="2"/>
      <c r="GQ54" s="2"/>
      <c r="GR54" s="2"/>
      <c r="GS54" s="2"/>
      <c r="GT54" s="2"/>
      <c r="GU54" s="2"/>
      <c r="GV54" s="2"/>
      <c r="GW54" s="2"/>
      <c r="GX54" s="2"/>
      <c r="GY54" s="2"/>
      <c r="GZ54" s="2"/>
      <c r="HA54" s="2"/>
      <c r="HB54" s="2"/>
      <c r="HC54" s="2"/>
      <c r="HD54" s="2"/>
      <c r="HE54" s="2"/>
      <c r="HF54" s="2"/>
      <c r="HG54" s="2"/>
      <c r="HH54" s="2"/>
      <c r="HI54" s="2"/>
      <c r="HJ54" s="2"/>
      <c r="HK54" s="2"/>
      <c r="HL54" s="2"/>
      <c r="HM54" s="2"/>
      <c r="HN54" s="2"/>
      <c r="HO54" s="2"/>
      <c r="HP54" s="2"/>
      <c r="HQ54" s="2"/>
      <c r="HR54" s="2"/>
      <c r="HS54" s="2"/>
      <c r="HT54" s="2"/>
      <c r="HU54" s="2"/>
      <c r="HV54" s="2"/>
      <c r="HW54" s="2"/>
      <c r="HX54" s="2"/>
      <c r="HY54" s="2"/>
      <c r="HZ54" s="2"/>
      <c r="IA54" s="2"/>
      <c r="IB54" s="2"/>
      <c r="IC54" s="2"/>
      <c r="ID54" s="2"/>
      <c r="IE54" s="2"/>
      <c r="IF54" s="2"/>
      <c r="IG54" s="2"/>
      <c r="IH54" s="2"/>
      <c r="II54" s="2"/>
      <c r="IJ54" s="2"/>
      <c r="IK54" s="2"/>
      <c r="IL54" s="2"/>
      <c r="IM54" s="2"/>
      <c r="IN54" s="2"/>
      <c r="IO54" s="2"/>
      <c r="IP54" s="2"/>
      <c r="IQ54" s="2"/>
      <c r="IR54" s="2"/>
      <c r="IS54" s="2"/>
      <c r="IT54" s="2"/>
      <c r="IU54" s="2"/>
      <c r="IV54" s="2"/>
      <c r="IW54" s="2"/>
      <c r="IX54" s="2"/>
      <c r="IY54" s="2"/>
      <c r="IZ54" s="2"/>
      <c r="JA54" s="2"/>
      <c r="JB54" s="2"/>
      <c r="JC54" s="2"/>
      <c r="JD54" s="2"/>
      <c r="JE54" s="2"/>
      <c r="JF54" s="2"/>
      <c r="JG54" s="2"/>
      <c r="JH54" s="2"/>
      <c r="JI54" s="2"/>
      <c r="JJ54" s="2"/>
      <c r="JK54" s="2"/>
      <c r="JL54" s="2"/>
      <c r="JM54" s="2"/>
      <c r="JN54" s="2"/>
      <c r="JO54" s="2"/>
      <c r="JP54" s="2"/>
      <c r="JQ54" s="2"/>
      <c r="JR54" s="2"/>
      <c r="JS54" s="2"/>
      <c r="JT54" s="2"/>
      <c r="JU54" s="2"/>
      <c r="JV54" s="2"/>
      <c r="JW54" s="2"/>
      <c r="JX54" s="2"/>
      <c r="JY54" s="2"/>
      <c r="JZ54" s="2"/>
      <c r="KA54" s="2"/>
      <c r="KB54" s="2"/>
      <c r="KC54" s="2"/>
      <c r="KD54" s="2"/>
      <c r="KE54" s="2"/>
      <c r="KF54" s="2"/>
      <c r="KG54" s="2"/>
      <c r="KH54" s="2"/>
      <c r="KI54" s="2"/>
      <c r="KJ54" s="2"/>
      <c r="KK54" s="2"/>
      <c r="KL54" s="2"/>
      <c r="KM54" s="2"/>
      <c r="KN54" s="2"/>
      <c r="KO54" s="2"/>
      <c r="KP54" s="2"/>
      <c r="KQ54" s="2"/>
      <c r="KR54" s="2"/>
      <c r="KS54" s="2"/>
      <c r="KT54" s="2"/>
      <c r="KU54" s="2"/>
      <c r="KV54" s="2"/>
      <c r="KW54" s="2"/>
      <c r="KX54" s="2"/>
      <c r="KY54" s="2"/>
      <c r="KZ54" s="2"/>
      <c r="LA54" s="2"/>
      <c r="LB54" s="2"/>
      <c r="LC54" s="2"/>
      <c r="LD54" s="2"/>
      <c r="LE54" s="2"/>
      <c r="LF54" s="2"/>
      <c r="LG54" s="2"/>
      <c r="LH54" s="2"/>
      <c r="LI54" s="2"/>
      <c r="LJ54" s="2"/>
      <c r="LK54" s="2"/>
      <c r="LL54" s="2"/>
      <c r="LM54" s="2"/>
      <c r="LN54" s="2"/>
      <c r="LO54" s="2"/>
      <c r="LP54" s="2"/>
      <c r="LQ54" s="2"/>
      <c r="LR54" s="2"/>
      <c r="LS54" s="2"/>
      <c r="LT54" s="2"/>
      <c r="LU54" s="2"/>
      <c r="LV54" s="2"/>
      <c r="LW54" s="2"/>
      <c r="LX54" s="2"/>
      <c r="LY54" s="2"/>
      <c r="LZ54" s="2"/>
      <c r="MA54" s="2"/>
      <c r="MB54" s="2"/>
      <c r="MC54" s="2"/>
      <c r="MD54" s="2"/>
      <c r="ME54" s="2"/>
      <c r="MF54" s="2"/>
      <c r="MG54" s="2"/>
      <c r="MH54" s="2"/>
      <c r="MI54" s="2"/>
      <c r="MJ54" s="2"/>
      <c r="MK54" s="2"/>
      <c r="ML54" s="2"/>
      <c r="MM54" s="2"/>
      <c r="MN54" s="2"/>
      <c r="MO54" s="2"/>
      <c r="MP54" s="2"/>
      <c r="MQ54" s="2"/>
      <c r="MR54" s="2"/>
      <c r="MS54" s="2"/>
      <c r="MT54" s="2"/>
      <c r="MU54" s="2"/>
      <c r="MV54" s="2"/>
      <c r="MW54" s="2"/>
      <c r="MX54" s="2"/>
      <c r="MY54" s="2"/>
      <c r="MZ54" s="2"/>
      <c r="NA54" s="2"/>
      <c r="NB54" s="2"/>
      <c r="NC54" s="2"/>
      <c r="ND54" s="2"/>
      <c r="NE54" s="2"/>
      <c r="NF54" s="2"/>
      <c r="NG54" s="2"/>
      <c r="NH54" s="2"/>
      <c r="NI54" s="2"/>
      <c r="NJ54" s="2"/>
      <c r="NK54" s="2"/>
      <c r="NL54" s="2"/>
      <c r="NM54" s="2"/>
      <c r="NN54" s="2"/>
      <c r="NO54" s="2"/>
      <c r="NP54" s="2"/>
      <c r="NQ54" s="2"/>
      <c r="NR54" s="2"/>
      <c r="NS54" s="2"/>
      <c r="NT54" s="2"/>
      <c r="NU54" s="2"/>
      <c r="NV54" s="2"/>
      <c r="NW54" s="2"/>
      <c r="NX54" s="2"/>
      <c r="NY54" s="2"/>
      <c r="NZ54" s="2"/>
      <c r="OA54" s="2"/>
      <c r="OB54" s="2"/>
      <c r="OC54" s="2"/>
      <c r="OD54" s="2"/>
      <c r="OE54" s="2"/>
      <c r="OF54" s="2"/>
      <c r="OG54" s="2"/>
      <c r="OH54" s="2"/>
      <c r="OI54" s="2"/>
      <c r="OJ54" s="2"/>
      <c r="OK54" s="2"/>
      <c r="OL54" s="2"/>
      <c r="OM54" s="2"/>
      <c r="ON54" s="2"/>
      <c r="OO54" s="2"/>
      <c r="OP54" s="2"/>
      <c r="OQ54" s="2"/>
      <c r="OR54" s="2"/>
      <c r="OS54" s="2"/>
      <c r="OT54" s="2"/>
      <c r="OU54" s="2"/>
      <c r="OV54" s="2"/>
      <c r="OW54" s="2"/>
      <c r="OX54" s="2"/>
      <c r="OY54" s="2"/>
      <c r="OZ54" s="2"/>
      <c r="PA54" s="2"/>
      <c r="PB54" s="2"/>
      <c r="PC54" s="2"/>
      <c r="PD54" s="2"/>
      <c r="PE54" s="2"/>
      <c r="PF54" s="2"/>
      <c r="PG54" s="2"/>
      <c r="PH54" s="2"/>
      <c r="PI54" s="2"/>
      <c r="PJ54" s="2"/>
      <c r="PK54" s="2"/>
      <c r="PL54" s="2"/>
      <c r="PM54" s="2"/>
      <c r="PN54" s="2"/>
      <c r="PO54" s="2"/>
      <c r="PP54" s="2"/>
      <c r="PQ54" s="2"/>
      <c r="PR54" s="2"/>
      <c r="PS54" s="2"/>
      <c r="PT54" s="2"/>
      <c r="PU54" s="2"/>
      <c r="PV54" s="2"/>
      <c r="PW54" s="2"/>
      <c r="PX54" s="2"/>
      <c r="PY54" s="2"/>
      <c r="PZ54" s="2"/>
      <c r="QA54" s="2"/>
      <c r="QB54" s="2"/>
      <c r="QC54" s="2"/>
      <c r="QD54" s="2"/>
      <c r="QE54" s="2"/>
      <c r="QF54" s="2"/>
      <c r="QG54" s="2"/>
      <c r="QH54" s="2"/>
      <c r="QI54" s="2"/>
      <c r="QJ54" s="2"/>
      <c r="QK54" s="2"/>
      <c r="QL54" s="2"/>
      <c r="QM54" s="2"/>
      <c r="QN54" s="2"/>
      <c r="QO54" s="2"/>
      <c r="QP54" s="2"/>
      <c r="QQ54" s="2"/>
      <c r="QR54" s="2"/>
      <c r="QS54" s="2"/>
      <c r="QT54" s="2"/>
      <c r="QU54" s="2"/>
      <c r="QV54" s="2"/>
      <c r="QW54" s="2"/>
      <c r="QX54" s="2"/>
      <c r="QY54" s="2"/>
      <c r="QZ54" s="2"/>
      <c r="RA54" s="2"/>
      <c r="RB54" s="2"/>
      <c r="RC54" s="2"/>
      <c r="RD54" s="2"/>
      <c r="RE54" s="2"/>
      <c r="RF54" s="2"/>
      <c r="RG54" s="2"/>
      <c r="RH54" s="2"/>
      <c r="RI54" s="2"/>
      <c r="RJ54" s="2"/>
      <c r="RK54" s="2"/>
      <c r="RL54" s="2"/>
      <c r="RM54" s="2"/>
      <c r="RN54" s="2"/>
      <c r="RO54" s="2"/>
      <c r="RP54" s="2"/>
      <c r="RQ54" s="2"/>
      <c r="RR54" s="2"/>
      <c r="RS54" s="2"/>
      <c r="RT54" s="2"/>
      <c r="RU54" s="2"/>
      <c r="RV54" s="2"/>
      <c r="RW54" s="2"/>
      <c r="RX54" s="2"/>
      <c r="RY54" s="2"/>
      <c r="RZ54" s="2"/>
      <c r="SA54" s="2"/>
      <c r="SB54" s="2"/>
      <c r="SC54" s="2"/>
      <c r="SD54" s="2"/>
      <c r="SE54" s="2"/>
      <c r="SF54" s="2"/>
      <c r="SG54" s="2"/>
      <c r="SH54" s="2"/>
      <c r="SI54" s="2"/>
      <c r="SJ54" s="2"/>
      <c r="SK54" s="2"/>
      <c r="SL54" s="2"/>
      <c r="SM54" s="2"/>
      <c r="SN54" s="2"/>
      <c r="SO54" s="2"/>
      <c r="SP54" s="2"/>
      <c r="SQ54" s="2"/>
      <c r="SR54" s="2"/>
      <c r="SS54" s="2"/>
      <c r="ST54" s="2"/>
      <c r="SU54" s="2"/>
      <c r="SV54" s="2"/>
      <c r="SW54" s="2"/>
      <c r="SX54" s="2"/>
    </row>
    <row r="55" spans="1:518" x14ac:dyDescent="0.25">
      <c r="A55" s="214"/>
      <c r="B55" s="69" t="s">
        <v>53</v>
      </c>
      <c r="C55" s="12">
        <f>NEG_08_23!AG$3</f>
        <v>0</v>
      </c>
      <c r="D55" s="12">
        <f>NEG_08_23!AG$4</f>
        <v>0</v>
      </c>
      <c r="E55" s="12">
        <f>NEG_08_23!AG$5</f>
        <v>0</v>
      </c>
      <c r="F55" s="12">
        <f>NEG_08_23!AG$6</f>
        <v>0</v>
      </c>
      <c r="G55" s="12">
        <f>NEG_08_23!AG$7</f>
        <v>0</v>
      </c>
      <c r="H55" s="12">
        <f>NEG_08_23!AG$8</f>
        <v>0</v>
      </c>
      <c r="I55" s="12">
        <f>NEG_08_23!AG$9</f>
        <v>0</v>
      </c>
      <c r="J55" s="12">
        <f>NEG_08_23!AG$10</f>
        <v>0</v>
      </c>
      <c r="K55" s="12">
        <f>NEG_08_23!AG$11</f>
        <v>0</v>
      </c>
      <c r="L55" s="12">
        <f>NEG_08_23!AG$12</f>
        <v>0</v>
      </c>
      <c r="M55" s="12">
        <f>NEG_08_23!AG$13</f>
        <v>0</v>
      </c>
      <c r="N55" s="12">
        <f>NEG_08_23!AG$14</f>
        <v>0</v>
      </c>
      <c r="O55" s="12">
        <f>NEG_08_23!AG$15</f>
        <v>0</v>
      </c>
      <c r="P55" s="12">
        <f>NEG_08_23!AG$16</f>
        <v>0</v>
      </c>
      <c r="Q55" s="12">
        <f>NEG_08_23!AG$17</f>
        <v>0</v>
      </c>
      <c r="R55" s="12">
        <f>NEG_08_23!AG$18</f>
        <v>0</v>
      </c>
      <c r="S55" s="12">
        <f>NEG_08_23!AG$19</f>
        <v>0</v>
      </c>
      <c r="T55" s="12">
        <f>NEG_08_23!AG$20</f>
        <v>0</v>
      </c>
      <c r="U55" s="12">
        <f>NEG_08_23!AG$21</f>
        <v>0</v>
      </c>
      <c r="V55" s="12">
        <f>NEG_08_23!AG$22</f>
        <v>0</v>
      </c>
      <c r="W55" s="12">
        <f>NEG_08_23!AG$23</f>
        <v>0</v>
      </c>
      <c r="X55" s="12">
        <f>NEG_08_23!AG$24</f>
        <v>0</v>
      </c>
      <c r="Y55" s="12">
        <f>NEG_08_23!AG$25</f>
        <v>0</v>
      </c>
      <c r="Z55" s="12">
        <f>NEG_08_23!AG$26</f>
        <v>0</v>
      </c>
      <c r="AA55" s="12">
        <f>NEG_08_23!AG$27</f>
        <v>0</v>
      </c>
      <c r="AB55" s="12">
        <f>NEG_08_23!AG$28</f>
        <v>0</v>
      </c>
      <c r="AC55" s="12">
        <f>NEG_08_23!AG$29</f>
        <v>0</v>
      </c>
      <c r="AD55" s="12">
        <f>NEG_08_23!AG$30</f>
        <v>0</v>
      </c>
      <c r="AE55" s="12">
        <f>NEG_08_23!AG$31</f>
        <v>0</v>
      </c>
      <c r="AF55" s="12">
        <f>NEG_08_23!AG$32</f>
        <v>0</v>
      </c>
      <c r="AG55" s="8">
        <f t="shared" si="51"/>
        <v>0</v>
      </c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  <c r="FK55" s="2"/>
      <c r="FL55" s="2"/>
      <c r="FM55" s="2"/>
      <c r="FN55" s="2"/>
      <c r="FO55" s="2"/>
      <c r="FP55" s="2"/>
      <c r="FQ55" s="2"/>
      <c r="FR55" s="2"/>
      <c r="FS55" s="2"/>
      <c r="FT55" s="2"/>
      <c r="FU55" s="2"/>
      <c r="FV55" s="2"/>
      <c r="FW55" s="2"/>
      <c r="FX55" s="2"/>
      <c r="FY55" s="2"/>
      <c r="FZ55" s="2"/>
      <c r="GA55" s="2"/>
      <c r="GB55" s="2"/>
      <c r="GC55" s="2"/>
      <c r="GD55" s="2"/>
      <c r="GE55" s="2"/>
      <c r="GF55" s="2"/>
      <c r="GG55" s="2"/>
      <c r="GH55" s="2"/>
      <c r="GI55" s="2"/>
      <c r="GJ55" s="2"/>
      <c r="GK55" s="2"/>
      <c r="GL55" s="2"/>
      <c r="GM55" s="2"/>
      <c r="GN55" s="2"/>
      <c r="GO55" s="2"/>
      <c r="GP55" s="2"/>
      <c r="GQ55" s="2"/>
      <c r="GR55" s="2"/>
      <c r="GS55" s="2"/>
      <c r="GT55" s="2"/>
      <c r="GU55" s="2"/>
      <c r="GV55" s="2"/>
      <c r="GW55" s="2"/>
      <c r="GX55" s="2"/>
      <c r="GY55" s="2"/>
      <c r="GZ55" s="2"/>
      <c r="HA55" s="2"/>
      <c r="HB55" s="2"/>
      <c r="HC55" s="2"/>
      <c r="HD55" s="2"/>
      <c r="HE55" s="2"/>
      <c r="HF55" s="2"/>
      <c r="HG55" s="2"/>
      <c r="HH55" s="2"/>
      <c r="HI55" s="2"/>
      <c r="HJ55" s="2"/>
      <c r="HK55" s="2"/>
      <c r="HL55" s="2"/>
      <c r="HM55" s="2"/>
      <c r="HN55" s="2"/>
      <c r="HO55" s="2"/>
      <c r="HP55" s="2"/>
      <c r="HQ55" s="2"/>
      <c r="HR55" s="2"/>
      <c r="HS55" s="2"/>
      <c r="HT55" s="2"/>
      <c r="HU55" s="2"/>
      <c r="HV55" s="2"/>
      <c r="HW55" s="2"/>
      <c r="HX55" s="2"/>
      <c r="HY55" s="2"/>
      <c r="HZ55" s="2"/>
      <c r="IA55" s="2"/>
      <c r="IB55" s="2"/>
      <c r="IC55" s="2"/>
      <c r="ID55" s="2"/>
      <c r="IE55" s="2"/>
      <c r="IF55" s="2"/>
      <c r="IG55" s="2"/>
      <c r="IH55" s="2"/>
      <c r="II55" s="2"/>
      <c r="IJ55" s="2"/>
      <c r="IK55" s="2"/>
      <c r="IL55" s="2"/>
      <c r="IM55" s="2"/>
      <c r="IN55" s="2"/>
      <c r="IO55" s="2"/>
      <c r="IP55" s="2"/>
      <c r="IQ55" s="2"/>
      <c r="IR55" s="2"/>
      <c r="IS55" s="2"/>
      <c r="IT55" s="2"/>
      <c r="IU55" s="2"/>
      <c r="IV55" s="2"/>
      <c r="IW55" s="2"/>
      <c r="IX55" s="2"/>
      <c r="IY55" s="2"/>
      <c r="IZ55" s="2"/>
      <c r="JA55" s="2"/>
      <c r="JB55" s="2"/>
      <c r="JC55" s="2"/>
      <c r="JD55" s="2"/>
      <c r="JE55" s="2"/>
      <c r="JF55" s="2"/>
      <c r="JG55" s="2"/>
      <c r="JH55" s="2"/>
      <c r="JI55" s="2"/>
      <c r="JJ55" s="2"/>
      <c r="JK55" s="2"/>
      <c r="JL55" s="2"/>
      <c r="JM55" s="2"/>
      <c r="JN55" s="2"/>
      <c r="JO55" s="2"/>
      <c r="JP55" s="2"/>
      <c r="JQ55" s="2"/>
      <c r="JR55" s="2"/>
      <c r="JS55" s="2"/>
      <c r="JT55" s="2"/>
      <c r="JU55" s="2"/>
      <c r="JV55" s="2"/>
      <c r="JW55" s="2"/>
      <c r="JX55" s="2"/>
      <c r="JY55" s="2"/>
      <c r="JZ55" s="2"/>
      <c r="KA55" s="2"/>
      <c r="KB55" s="2"/>
      <c r="KC55" s="2"/>
      <c r="KD55" s="2"/>
      <c r="KE55" s="2"/>
      <c r="KF55" s="2"/>
      <c r="KG55" s="2"/>
      <c r="KH55" s="2"/>
      <c r="KI55" s="2"/>
      <c r="KJ55" s="2"/>
      <c r="KK55" s="2"/>
      <c r="KL55" s="2"/>
      <c r="KM55" s="2"/>
      <c r="KN55" s="2"/>
      <c r="KO55" s="2"/>
      <c r="KP55" s="2"/>
      <c r="KQ55" s="2"/>
      <c r="KR55" s="2"/>
      <c r="KS55" s="2"/>
      <c r="KT55" s="2"/>
      <c r="KU55" s="2"/>
      <c r="KV55" s="2"/>
      <c r="KW55" s="2"/>
      <c r="KX55" s="2"/>
      <c r="KY55" s="2"/>
      <c r="KZ55" s="2"/>
      <c r="LA55" s="2"/>
      <c r="LB55" s="2"/>
      <c r="LC55" s="2"/>
      <c r="LD55" s="2"/>
      <c r="LE55" s="2"/>
      <c r="LF55" s="2"/>
      <c r="LG55" s="2"/>
      <c r="LH55" s="2"/>
      <c r="LI55" s="2"/>
      <c r="LJ55" s="2"/>
      <c r="LK55" s="2"/>
      <c r="LL55" s="2"/>
      <c r="LM55" s="2"/>
      <c r="LN55" s="2"/>
      <c r="LO55" s="2"/>
      <c r="LP55" s="2"/>
      <c r="LQ55" s="2"/>
      <c r="LR55" s="2"/>
      <c r="LS55" s="2"/>
      <c r="LT55" s="2"/>
      <c r="LU55" s="2"/>
      <c r="LV55" s="2"/>
      <c r="LW55" s="2"/>
      <c r="LX55" s="2"/>
      <c r="LY55" s="2"/>
      <c r="LZ55" s="2"/>
      <c r="MA55" s="2"/>
      <c r="MB55" s="2"/>
      <c r="MC55" s="2"/>
      <c r="MD55" s="2"/>
      <c r="ME55" s="2"/>
      <c r="MF55" s="2"/>
      <c r="MG55" s="2"/>
      <c r="MH55" s="2"/>
      <c r="MI55" s="2"/>
      <c r="MJ55" s="2"/>
      <c r="MK55" s="2"/>
      <c r="ML55" s="2"/>
      <c r="MM55" s="2"/>
      <c r="MN55" s="2"/>
      <c r="MO55" s="2"/>
      <c r="MP55" s="2"/>
      <c r="MQ55" s="2"/>
      <c r="MR55" s="2"/>
      <c r="MS55" s="2"/>
      <c r="MT55" s="2"/>
      <c r="MU55" s="2"/>
      <c r="MV55" s="2"/>
      <c r="MW55" s="2"/>
      <c r="MX55" s="2"/>
      <c r="MY55" s="2"/>
      <c r="MZ55" s="2"/>
      <c r="NA55" s="2"/>
      <c r="NB55" s="2"/>
      <c r="NC55" s="2"/>
      <c r="ND55" s="2"/>
      <c r="NE55" s="2"/>
      <c r="NF55" s="2"/>
      <c r="NG55" s="2"/>
      <c r="NH55" s="2"/>
      <c r="NI55" s="2"/>
      <c r="NJ55" s="2"/>
      <c r="NK55" s="2"/>
      <c r="NL55" s="2"/>
      <c r="NM55" s="2"/>
      <c r="NN55" s="2"/>
      <c r="NO55" s="2"/>
      <c r="NP55" s="2"/>
      <c r="NQ55" s="2"/>
      <c r="NR55" s="2"/>
      <c r="NS55" s="2"/>
      <c r="NT55" s="2"/>
      <c r="NU55" s="2"/>
      <c r="NV55" s="2"/>
      <c r="NW55" s="2"/>
      <c r="NX55" s="2"/>
      <c r="NY55" s="2"/>
      <c r="NZ55" s="2"/>
      <c r="OA55" s="2"/>
      <c r="OB55" s="2"/>
      <c r="OC55" s="2"/>
      <c r="OD55" s="2"/>
      <c r="OE55" s="2"/>
      <c r="OF55" s="2"/>
      <c r="OG55" s="2"/>
      <c r="OH55" s="2"/>
      <c r="OI55" s="2"/>
      <c r="OJ55" s="2"/>
      <c r="OK55" s="2"/>
      <c r="OL55" s="2"/>
      <c r="OM55" s="2"/>
      <c r="ON55" s="2"/>
      <c r="OO55" s="2"/>
      <c r="OP55" s="2"/>
      <c r="OQ55" s="2"/>
      <c r="OR55" s="2"/>
      <c r="OS55" s="2"/>
      <c r="OT55" s="2"/>
      <c r="OU55" s="2"/>
      <c r="OV55" s="2"/>
      <c r="OW55" s="2"/>
      <c r="OX55" s="2"/>
      <c r="OY55" s="2"/>
      <c r="OZ55" s="2"/>
      <c r="PA55" s="2"/>
      <c r="PB55" s="2"/>
      <c r="PC55" s="2"/>
      <c r="PD55" s="2"/>
      <c r="PE55" s="2"/>
      <c r="PF55" s="2"/>
      <c r="PG55" s="2"/>
      <c r="PH55" s="2"/>
      <c r="PI55" s="2"/>
      <c r="PJ55" s="2"/>
      <c r="PK55" s="2"/>
      <c r="PL55" s="2"/>
      <c r="PM55" s="2"/>
      <c r="PN55" s="2"/>
      <c r="PO55" s="2"/>
      <c r="PP55" s="2"/>
      <c r="PQ55" s="2"/>
      <c r="PR55" s="2"/>
      <c r="PS55" s="2"/>
      <c r="PT55" s="2"/>
      <c r="PU55" s="2"/>
      <c r="PV55" s="2"/>
      <c r="PW55" s="2"/>
      <c r="PX55" s="2"/>
      <c r="PY55" s="2"/>
      <c r="PZ55" s="2"/>
      <c r="QA55" s="2"/>
      <c r="QB55" s="2"/>
      <c r="QC55" s="2"/>
      <c r="QD55" s="2"/>
      <c r="QE55" s="2"/>
      <c r="QF55" s="2"/>
      <c r="QG55" s="2"/>
      <c r="QH55" s="2"/>
      <c r="QI55" s="2"/>
      <c r="QJ55" s="2"/>
      <c r="QK55" s="2"/>
      <c r="QL55" s="2"/>
      <c r="QM55" s="2"/>
      <c r="QN55" s="2"/>
      <c r="QO55" s="2"/>
      <c r="QP55" s="2"/>
      <c r="QQ55" s="2"/>
      <c r="QR55" s="2"/>
      <c r="QS55" s="2"/>
      <c r="QT55" s="2"/>
      <c r="QU55" s="2"/>
      <c r="QV55" s="2"/>
      <c r="QW55" s="2"/>
      <c r="QX55" s="2"/>
      <c r="QY55" s="2"/>
      <c r="QZ55" s="2"/>
      <c r="RA55" s="2"/>
      <c r="RB55" s="2"/>
      <c r="RC55" s="2"/>
      <c r="RD55" s="2"/>
      <c r="RE55" s="2"/>
      <c r="RF55" s="2"/>
      <c r="RG55" s="2"/>
      <c r="RH55" s="2"/>
      <c r="RI55" s="2"/>
      <c r="RJ55" s="2"/>
      <c r="RK55" s="2"/>
      <c r="RL55" s="2"/>
      <c r="RM55" s="2"/>
      <c r="RN55" s="2"/>
      <c r="RO55" s="2"/>
      <c r="RP55" s="2"/>
      <c r="RQ55" s="2"/>
      <c r="RR55" s="2"/>
      <c r="RS55" s="2"/>
      <c r="RT55" s="2"/>
      <c r="RU55" s="2"/>
      <c r="RV55" s="2"/>
      <c r="RW55" s="2"/>
      <c r="RX55" s="2"/>
      <c r="RY55" s="2"/>
      <c r="RZ55" s="2"/>
      <c r="SA55" s="2"/>
      <c r="SB55" s="2"/>
      <c r="SC55" s="2"/>
      <c r="SD55" s="2"/>
      <c r="SE55" s="2"/>
      <c r="SF55" s="2"/>
      <c r="SG55" s="2"/>
      <c r="SH55" s="2"/>
      <c r="SI55" s="2"/>
      <c r="SJ55" s="2"/>
      <c r="SK55" s="2"/>
      <c r="SL55" s="2"/>
      <c r="SM55" s="2"/>
      <c r="SN55" s="2"/>
      <c r="SO55" s="2"/>
      <c r="SP55" s="2"/>
      <c r="SQ55" s="2"/>
      <c r="SR55" s="2"/>
      <c r="SS55" s="2"/>
      <c r="ST55" s="2"/>
      <c r="SU55" s="2"/>
      <c r="SV55" s="2"/>
      <c r="SW55" s="2"/>
      <c r="SX55" s="2"/>
    </row>
    <row r="56" spans="1:518" x14ac:dyDescent="0.25">
      <c r="A56" s="214"/>
      <c r="B56" s="69" t="s">
        <v>54</v>
      </c>
      <c r="C56" s="12"/>
      <c r="D56" s="3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9"/>
      <c r="Z56" s="9"/>
      <c r="AA56" s="9"/>
      <c r="AB56" s="9"/>
      <c r="AC56" s="9"/>
      <c r="AD56" s="9"/>
      <c r="AE56" s="9"/>
      <c r="AF56" s="9"/>
      <c r="AG56" s="8">
        <f t="shared" si="51"/>
        <v>0</v>
      </c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  <c r="FK56" s="2"/>
      <c r="FL56" s="2"/>
      <c r="FM56" s="2"/>
      <c r="FN56" s="2"/>
      <c r="FO56" s="2"/>
      <c r="FP56" s="2"/>
      <c r="FQ56" s="2"/>
      <c r="FR56" s="2"/>
      <c r="FS56" s="2"/>
      <c r="FT56" s="2"/>
      <c r="FU56" s="2"/>
      <c r="FV56" s="2"/>
      <c r="FW56" s="2"/>
      <c r="FX56" s="2"/>
      <c r="FY56" s="2"/>
      <c r="FZ56" s="2"/>
      <c r="GA56" s="2"/>
      <c r="GB56" s="2"/>
      <c r="GC56" s="2"/>
      <c r="GD56" s="2"/>
      <c r="GE56" s="2"/>
      <c r="GF56" s="2"/>
      <c r="GG56" s="2"/>
      <c r="GH56" s="2"/>
      <c r="GI56" s="2"/>
      <c r="GJ56" s="2"/>
      <c r="GK56" s="2"/>
      <c r="GL56" s="2"/>
      <c r="GM56" s="2"/>
      <c r="GN56" s="2"/>
      <c r="GO56" s="2"/>
      <c r="GP56" s="2"/>
      <c r="GQ56" s="2"/>
      <c r="GR56" s="2"/>
      <c r="GS56" s="2"/>
      <c r="GT56" s="2"/>
      <c r="GU56" s="2"/>
      <c r="GV56" s="2"/>
      <c r="GW56" s="2"/>
      <c r="GX56" s="2"/>
      <c r="GY56" s="2"/>
      <c r="GZ56" s="2"/>
      <c r="HA56" s="2"/>
      <c r="HB56" s="2"/>
      <c r="HC56" s="2"/>
      <c r="HD56" s="2"/>
      <c r="HE56" s="2"/>
      <c r="HF56" s="2"/>
      <c r="HG56" s="2"/>
      <c r="HH56" s="2"/>
      <c r="HI56" s="2"/>
      <c r="HJ56" s="2"/>
      <c r="HK56" s="2"/>
      <c r="HL56" s="2"/>
      <c r="HM56" s="2"/>
      <c r="HN56" s="2"/>
      <c r="HO56" s="2"/>
      <c r="HP56" s="2"/>
      <c r="HQ56" s="2"/>
      <c r="HR56" s="2"/>
      <c r="HS56" s="2"/>
      <c r="HT56" s="2"/>
      <c r="HU56" s="2"/>
      <c r="HV56" s="2"/>
      <c r="HW56" s="2"/>
      <c r="HX56" s="2"/>
      <c r="HY56" s="2"/>
      <c r="HZ56" s="2"/>
      <c r="IA56" s="2"/>
      <c r="IB56" s="2"/>
      <c r="IC56" s="2"/>
      <c r="ID56" s="2"/>
      <c r="IE56" s="2"/>
      <c r="IF56" s="2"/>
      <c r="IG56" s="2"/>
      <c r="IH56" s="2"/>
      <c r="II56" s="2"/>
      <c r="IJ56" s="2"/>
      <c r="IK56" s="2"/>
      <c r="IL56" s="2"/>
      <c r="IM56" s="2"/>
      <c r="IN56" s="2"/>
      <c r="IO56" s="2"/>
      <c r="IP56" s="2"/>
      <c r="IQ56" s="2"/>
      <c r="IR56" s="2"/>
      <c r="IS56" s="2"/>
      <c r="IT56" s="2"/>
      <c r="IU56" s="2"/>
      <c r="IV56" s="2"/>
      <c r="IW56" s="2"/>
      <c r="IX56" s="2"/>
      <c r="IY56" s="2"/>
      <c r="IZ56" s="2"/>
      <c r="JA56" s="2"/>
      <c r="JB56" s="2"/>
      <c r="JC56" s="2"/>
      <c r="JD56" s="2"/>
      <c r="JE56" s="2"/>
      <c r="JF56" s="2"/>
      <c r="JG56" s="2"/>
      <c r="JH56" s="2"/>
      <c r="JI56" s="2"/>
      <c r="JJ56" s="2"/>
      <c r="JK56" s="2"/>
      <c r="JL56" s="2"/>
      <c r="JM56" s="2"/>
      <c r="JN56" s="2"/>
      <c r="JO56" s="2"/>
      <c r="JP56" s="2"/>
      <c r="JQ56" s="2"/>
      <c r="JR56" s="2"/>
      <c r="JS56" s="2"/>
      <c r="JT56" s="2"/>
      <c r="JU56" s="2"/>
      <c r="JV56" s="2"/>
      <c r="JW56" s="2"/>
      <c r="JX56" s="2"/>
      <c r="JY56" s="2"/>
      <c r="JZ56" s="2"/>
      <c r="KA56" s="2"/>
      <c r="KB56" s="2"/>
      <c r="KC56" s="2"/>
      <c r="KD56" s="2"/>
      <c r="KE56" s="2"/>
      <c r="KF56" s="2"/>
      <c r="KG56" s="2"/>
      <c r="KH56" s="2"/>
      <c r="KI56" s="2"/>
      <c r="KJ56" s="2"/>
      <c r="KK56" s="2"/>
      <c r="KL56" s="2"/>
      <c r="KM56" s="2"/>
      <c r="KN56" s="2"/>
      <c r="KO56" s="2"/>
      <c r="KP56" s="2"/>
      <c r="KQ56" s="2"/>
      <c r="KR56" s="2"/>
      <c r="KS56" s="2"/>
      <c r="KT56" s="2"/>
      <c r="KU56" s="2"/>
      <c r="KV56" s="2"/>
      <c r="KW56" s="2"/>
      <c r="KX56" s="2"/>
      <c r="KY56" s="2"/>
      <c r="KZ56" s="2"/>
      <c r="LA56" s="2"/>
      <c r="LB56" s="2"/>
      <c r="LC56" s="2"/>
      <c r="LD56" s="2"/>
      <c r="LE56" s="2"/>
      <c r="LF56" s="2"/>
      <c r="LG56" s="2"/>
      <c r="LH56" s="2"/>
      <c r="LI56" s="2"/>
      <c r="LJ56" s="2"/>
      <c r="LK56" s="2"/>
      <c r="LL56" s="2"/>
      <c r="LM56" s="2"/>
      <c r="LN56" s="2"/>
      <c r="LO56" s="2"/>
      <c r="LP56" s="2"/>
      <c r="LQ56" s="2"/>
      <c r="LR56" s="2"/>
      <c r="LS56" s="2"/>
      <c r="LT56" s="2"/>
      <c r="LU56" s="2"/>
      <c r="LV56" s="2"/>
      <c r="LW56" s="2"/>
      <c r="LX56" s="2"/>
      <c r="LY56" s="2"/>
      <c r="LZ56" s="2"/>
      <c r="MA56" s="2"/>
      <c r="MB56" s="2"/>
      <c r="MC56" s="2"/>
      <c r="MD56" s="2"/>
      <c r="ME56" s="2"/>
      <c r="MF56" s="2"/>
      <c r="MG56" s="2"/>
      <c r="MH56" s="2"/>
      <c r="MI56" s="2"/>
      <c r="MJ56" s="2"/>
      <c r="MK56" s="2"/>
      <c r="ML56" s="2"/>
      <c r="MM56" s="2"/>
      <c r="MN56" s="2"/>
      <c r="MO56" s="2"/>
      <c r="MP56" s="2"/>
      <c r="MQ56" s="2"/>
      <c r="MR56" s="2"/>
      <c r="MS56" s="2"/>
      <c r="MT56" s="2"/>
      <c r="MU56" s="2"/>
      <c r="MV56" s="2"/>
      <c r="MW56" s="2"/>
      <c r="MX56" s="2"/>
      <c r="MY56" s="2"/>
      <c r="MZ56" s="2"/>
      <c r="NA56" s="2"/>
      <c r="NB56" s="2"/>
      <c r="NC56" s="2"/>
      <c r="ND56" s="2"/>
      <c r="NE56" s="2"/>
      <c r="NF56" s="2"/>
      <c r="NG56" s="2"/>
      <c r="NH56" s="2"/>
      <c r="NI56" s="2"/>
      <c r="NJ56" s="2"/>
      <c r="NK56" s="2"/>
      <c r="NL56" s="2"/>
      <c r="NM56" s="2"/>
      <c r="NN56" s="2"/>
      <c r="NO56" s="2"/>
      <c r="NP56" s="2"/>
      <c r="NQ56" s="2"/>
      <c r="NR56" s="2"/>
      <c r="NS56" s="2"/>
      <c r="NT56" s="2"/>
      <c r="NU56" s="2"/>
      <c r="NV56" s="2"/>
      <c r="NW56" s="2"/>
      <c r="NX56" s="2"/>
      <c r="NY56" s="2"/>
      <c r="NZ56" s="2"/>
      <c r="OA56" s="2"/>
      <c r="OB56" s="2"/>
      <c r="OC56" s="2"/>
      <c r="OD56" s="2"/>
      <c r="OE56" s="2"/>
      <c r="OF56" s="2"/>
      <c r="OG56" s="2"/>
      <c r="OH56" s="2"/>
      <c r="OI56" s="2"/>
      <c r="OJ56" s="2"/>
      <c r="OK56" s="2"/>
      <c r="OL56" s="2"/>
      <c r="OM56" s="2"/>
      <c r="ON56" s="2"/>
      <c r="OO56" s="2"/>
      <c r="OP56" s="2"/>
      <c r="OQ56" s="2"/>
      <c r="OR56" s="2"/>
      <c r="OS56" s="2"/>
      <c r="OT56" s="2"/>
      <c r="OU56" s="2"/>
      <c r="OV56" s="2"/>
      <c r="OW56" s="2"/>
      <c r="OX56" s="2"/>
      <c r="OY56" s="2"/>
      <c r="OZ56" s="2"/>
      <c r="PA56" s="2"/>
      <c r="PB56" s="2"/>
      <c r="PC56" s="2"/>
      <c r="PD56" s="2"/>
      <c r="PE56" s="2"/>
      <c r="PF56" s="2"/>
      <c r="PG56" s="2"/>
      <c r="PH56" s="2"/>
      <c r="PI56" s="2"/>
      <c r="PJ56" s="2"/>
      <c r="PK56" s="2"/>
      <c r="PL56" s="2"/>
      <c r="PM56" s="2"/>
      <c r="PN56" s="2"/>
      <c r="PO56" s="2"/>
      <c r="PP56" s="2"/>
      <c r="PQ56" s="2"/>
      <c r="PR56" s="2"/>
      <c r="PS56" s="2"/>
      <c r="PT56" s="2"/>
      <c r="PU56" s="2"/>
      <c r="PV56" s="2"/>
      <c r="PW56" s="2"/>
      <c r="PX56" s="2"/>
      <c r="PY56" s="2"/>
      <c r="PZ56" s="2"/>
      <c r="QA56" s="2"/>
      <c r="QB56" s="2"/>
      <c r="QC56" s="2"/>
      <c r="QD56" s="2"/>
      <c r="QE56" s="2"/>
      <c r="QF56" s="2"/>
      <c r="QG56" s="2"/>
      <c r="QH56" s="2"/>
      <c r="QI56" s="2"/>
      <c r="QJ56" s="2"/>
      <c r="QK56" s="2"/>
      <c r="QL56" s="2"/>
      <c r="QM56" s="2"/>
      <c r="QN56" s="2"/>
      <c r="QO56" s="2"/>
      <c r="QP56" s="2"/>
      <c r="QQ56" s="2"/>
      <c r="QR56" s="2"/>
      <c r="QS56" s="2"/>
      <c r="QT56" s="2"/>
      <c r="QU56" s="2"/>
      <c r="QV56" s="2"/>
      <c r="QW56" s="2"/>
      <c r="QX56" s="2"/>
      <c r="QY56" s="2"/>
      <c r="QZ56" s="2"/>
      <c r="RA56" s="2"/>
      <c r="RB56" s="2"/>
      <c r="RC56" s="2"/>
      <c r="RD56" s="2"/>
      <c r="RE56" s="2"/>
      <c r="RF56" s="2"/>
      <c r="RG56" s="2"/>
      <c r="RH56" s="2"/>
      <c r="RI56" s="2"/>
      <c r="RJ56" s="2"/>
      <c r="RK56" s="2"/>
      <c r="RL56" s="2"/>
      <c r="RM56" s="2"/>
      <c r="RN56" s="2"/>
      <c r="RO56" s="2"/>
      <c r="RP56" s="2"/>
      <c r="RQ56" s="2"/>
      <c r="RR56" s="2"/>
      <c r="RS56" s="2"/>
      <c r="RT56" s="2"/>
      <c r="RU56" s="2"/>
      <c r="RV56" s="2"/>
      <c r="RW56" s="2"/>
      <c r="RX56" s="2"/>
      <c r="RY56" s="2"/>
      <c r="RZ56" s="2"/>
      <c r="SA56" s="2"/>
      <c r="SB56" s="2"/>
      <c r="SC56" s="2"/>
      <c r="SD56" s="2"/>
      <c r="SE56" s="2"/>
      <c r="SF56" s="2"/>
      <c r="SG56" s="2"/>
      <c r="SH56" s="2"/>
      <c r="SI56" s="2"/>
      <c r="SJ56" s="2"/>
      <c r="SK56" s="2"/>
      <c r="SL56" s="2"/>
      <c r="SM56" s="2"/>
      <c r="SN56" s="2"/>
      <c r="SO56" s="2"/>
      <c r="SP56" s="2"/>
      <c r="SQ56" s="2"/>
      <c r="SR56" s="2"/>
      <c r="SS56" s="2"/>
      <c r="ST56" s="2"/>
      <c r="SU56" s="2"/>
      <c r="SV56" s="2"/>
      <c r="SW56" s="2"/>
      <c r="SX56" s="2"/>
    </row>
    <row r="57" spans="1:518" s="4" customFormat="1" x14ac:dyDescent="0.25">
      <c r="A57" s="207" t="s">
        <v>97</v>
      </c>
      <c r="B57" s="208"/>
      <c r="C57" s="65">
        <f>SUM(C51:C56)</f>
        <v>0</v>
      </c>
      <c r="D57" s="8">
        <f>SUM(D51:D56)</f>
        <v>0</v>
      </c>
      <c r="E57" s="8">
        <f t="shared" ref="E57:AF57" si="52">SUM(E51:E56)</f>
        <v>0</v>
      </c>
      <c r="F57" s="8">
        <f t="shared" si="52"/>
        <v>0</v>
      </c>
      <c r="G57" s="8">
        <f t="shared" si="52"/>
        <v>0</v>
      </c>
      <c r="H57" s="8">
        <f t="shared" si="52"/>
        <v>0</v>
      </c>
      <c r="I57" s="8">
        <f t="shared" si="52"/>
        <v>0</v>
      </c>
      <c r="J57" s="8">
        <f t="shared" si="52"/>
        <v>0</v>
      </c>
      <c r="K57" s="8">
        <f t="shared" si="52"/>
        <v>0</v>
      </c>
      <c r="L57" s="8">
        <f t="shared" si="52"/>
        <v>0</v>
      </c>
      <c r="M57" s="8">
        <f t="shared" si="52"/>
        <v>0</v>
      </c>
      <c r="N57" s="8">
        <f t="shared" si="52"/>
        <v>0</v>
      </c>
      <c r="O57" s="8">
        <f t="shared" si="52"/>
        <v>0</v>
      </c>
      <c r="P57" s="8">
        <f t="shared" si="52"/>
        <v>0</v>
      </c>
      <c r="Q57" s="8">
        <f t="shared" si="52"/>
        <v>0</v>
      </c>
      <c r="R57" s="8">
        <f t="shared" si="52"/>
        <v>0</v>
      </c>
      <c r="S57" s="8">
        <f t="shared" si="52"/>
        <v>0</v>
      </c>
      <c r="T57" s="8">
        <f t="shared" si="52"/>
        <v>0</v>
      </c>
      <c r="U57" s="8">
        <f t="shared" si="52"/>
        <v>0</v>
      </c>
      <c r="V57" s="8">
        <f t="shared" si="52"/>
        <v>0</v>
      </c>
      <c r="W57" s="8">
        <f t="shared" si="52"/>
        <v>0</v>
      </c>
      <c r="X57" s="8">
        <f t="shared" si="52"/>
        <v>0</v>
      </c>
      <c r="Y57" s="8">
        <f t="shared" si="52"/>
        <v>0</v>
      </c>
      <c r="Z57" s="8">
        <f t="shared" si="52"/>
        <v>0</v>
      </c>
      <c r="AA57" s="8">
        <f t="shared" si="52"/>
        <v>0</v>
      </c>
      <c r="AB57" s="8">
        <f t="shared" si="52"/>
        <v>0</v>
      </c>
      <c r="AC57" s="8">
        <f t="shared" si="52"/>
        <v>0</v>
      </c>
      <c r="AD57" s="8">
        <f t="shared" si="52"/>
        <v>0</v>
      </c>
      <c r="AE57" s="8">
        <f t="shared" si="52"/>
        <v>0</v>
      </c>
      <c r="AF57" s="8">
        <f t="shared" si="52"/>
        <v>0</v>
      </c>
      <c r="AG57" s="8">
        <f t="shared" si="51"/>
        <v>0</v>
      </c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  <c r="FK57" s="2"/>
      <c r="FL57" s="2"/>
      <c r="FM57" s="2"/>
      <c r="FN57" s="2"/>
      <c r="FO57" s="2"/>
      <c r="FP57" s="2"/>
      <c r="FQ57" s="2"/>
      <c r="FR57" s="2"/>
      <c r="FS57" s="2"/>
      <c r="FT57" s="2"/>
      <c r="FU57" s="2"/>
      <c r="FV57" s="2"/>
      <c r="FW57" s="2"/>
      <c r="FX57" s="2"/>
      <c r="FY57" s="2"/>
      <c r="FZ57" s="2"/>
      <c r="GA57" s="2"/>
      <c r="GB57" s="2"/>
      <c r="GC57" s="2"/>
      <c r="GD57" s="2"/>
      <c r="GE57" s="2"/>
      <c r="GF57" s="2"/>
      <c r="GG57" s="2"/>
      <c r="GH57" s="2"/>
      <c r="GI57" s="2"/>
      <c r="GJ57" s="2"/>
      <c r="GK57" s="2"/>
      <c r="GL57" s="2"/>
      <c r="GM57" s="2"/>
      <c r="GN57" s="2"/>
      <c r="GO57" s="2"/>
      <c r="GP57" s="2"/>
      <c r="GQ57" s="2"/>
      <c r="GR57" s="2"/>
      <c r="GS57" s="2"/>
      <c r="GT57" s="2"/>
      <c r="GU57" s="2"/>
      <c r="GV57" s="2"/>
      <c r="GW57" s="2"/>
      <c r="GX57" s="2"/>
      <c r="GY57" s="2"/>
      <c r="GZ57" s="2"/>
      <c r="HA57" s="2"/>
      <c r="HB57" s="2"/>
      <c r="HC57" s="2"/>
      <c r="HD57" s="2"/>
      <c r="HE57" s="2"/>
      <c r="HF57" s="2"/>
      <c r="HG57" s="2"/>
      <c r="HH57" s="2"/>
      <c r="HI57" s="2"/>
      <c r="HJ57" s="2"/>
      <c r="HK57" s="2"/>
      <c r="HL57" s="2"/>
      <c r="HM57" s="2"/>
      <c r="HN57" s="2"/>
      <c r="HO57" s="2"/>
      <c r="HP57" s="2"/>
      <c r="HQ57" s="2"/>
      <c r="HR57" s="2"/>
      <c r="HS57" s="2"/>
      <c r="HT57" s="2"/>
      <c r="HU57" s="2"/>
      <c r="HV57" s="2"/>
      <c r="HW57" s="2"/>
      <c r="HX57" s="2"/>
      <c r="HY57" s="2"/>
      <c r="HZ57" s="2"/>
      <c r="IA57" s="2"/>
      <c r="IB57" s="2"/>
      <c r="IC57" s="2"/>
      <c r="ID57" s="2"/>
      <c r="IE57" s="2"/>
      <c r="IF57" s="2"/>
      <c r="IG57" s="2"/>
      <c r="IH57" s="2"/>
      <c r="II57" s="2"/>
      <c r="IJ57" s="2"/>
      <c r="IK57" s="2"/>
      <c r="IL57" s="2"/>
      <c r="IM57" s="2"/>
      <c r="IN57" s="2"/>
      <c r="IO57" s="2"/>
      <c r="IP57" s="2"/>
      <c r="IQ57" s="2"/>
      <c r="IR57" s="2"/>
      <c r="IS57" s="2"/>
      <c r="IT57" s="2"/>
      <c r="IU57" s="2"/>
      <c r="IV57" s="2"/>
      <c r="IW57" s="2"/>
      <c r="IX57" s="2"/>
      <c r="IY57" s="2"/>
      <c r="IZ57" s="2"/>
      <c r="JA57" s="2"/>
      <c r="JB57" s="2"/>
      <c r="JC57" s="2"/>
      <c r="JD57" s="2"/>
      <c r="JE57" s="2"/>
      <c r="JF57" s="2"/>
      <c r="JG57" s="2"/>
      <c r="JH57" s="2"/>
      <c r="JI57" s="2"/>
      <c r="JJ57" s="2"/>
      <c r="JK57" s="2"/>
      <c r="JL57" s="2"/>
      <c r="JM57" s="2"/>
      <c r="JN57" s="2"/>
      <c r="JO57" s="2"/>
      <c r="JP57" s="2"/>
      <c r="JQ57" s="2"/>
      <c r="JR57" s="2"/>
      <c r="JS57" s="2"/>
      <c r="JT57" s="2"/>
      <c r="JU57" s="2"/>
      <c r="JV57" s="2"/>
      <c r="JW57" s="2"/>
      <c r="JX57" s="2"/>
      <c r="JY57" s="2"/>
      <c r="JZ57" s="2"/>
      <c r="KA57" s="2"/>
      <c r="KB57" s="2"/>
      <c r="KC57" s="2"/>
      <c r="KD57" s="2"/>
      <c r="KE57" s="2"/>
      <c r="KF57" s="2"/>
      <c r="KG57" s="2"/>
      <c r="KH57" s="2"/>
      <c r="KI57" s="2"/>
      <c r="KJ57" s="2"/>
      <c r="KK57" s="2"/>
      <c r="KL57" s="2"/>
      <c r="KM57" s="2"/>
      <c r="KN57" s="2"/>
      <c r="KO57" s="2"/>
      <c r="KP57" s="2"/>
      <c r="KQ57" s="2"/>
      <c r="KR57" s="2"/>
      <c r="KS57" s="2"/>
      <c r="KT57" s="2"/>
      <c r="KU57" s="2"/>
      <c r="KV57" s="2"/>
      <c r="KW57" s="2"/>
      <c r="KX57" s="2"/>
      <c r="KY57" s="2"/>
      <c r="KZ57" s="2"/>
      <c r="LA57" s="2"/>
      <c r="LB57" s="2"/>
      <c r="LC57" s="2"/>
      <c r="LD57" s="2"/>
      <c r="LE57" s="2"/>
      <c r="LF57" s="2"/>
      <c r="LG57" s="2"/>
      <c r="LH57" s="2"/>
      <c r="LI57" s="2"/>
      <c r="LJ57" s="2"/>
      <c r="LK57" s="2"/>
      <c r="LL57" s="2"/>
      <c r="LM57" s="2"/>
      <c r="LN57" s="2"/>
      <c r="LO57" s="2"/>
      <c r="LP57" s="2"/>
      <c r="LQ57" s="2"/>
      <c r="LR57" s="2"/>
      <c r="LS57" s="2"/>
      <c r="LT57" s="2"/>
      <c r="LU57" s="2"/>
      <c r="LV57" s="2"/>
      <c r="LW57" s="2"/>
      <c r="LX57" s="2"/>
      <c r="LY57" s="2"/>
      <c r="LZ57" s="2"/>
      <c r="MA57" s="2"/>
      <c r="MB57" s="2"/>
      <c r="MC57" s="2"/>
      <c r="MD57" s="2"/>
      <c r="ME57" s="2"/>
      <c r="MF57" s="2"/>
      <c r="MG57" s="2"/>
      <c r="MH57" s="2"/>
      <c r="MI57" s="2"/>
      <c r="MJ57" s="2"/>
      <c r="MK57" s="2"/>
      <c r="ML57" s="2"/>
      <c r="MM57" s="2"/>
      <c r="MN57" s="2"/>
      <c r="MO57" s="2"/>
      <c r="MP57" s="2"/>
      <c r="MQ57" s="2"/>
      <c r="MR57" s="2"/>
      <c r="MS57" s="2"/>
      <c r="MT57" s="2"/>
      <c r="MU57" s="2"/>
      <c r="MV57" s="2"/>
      <c r="MW57" s="2"/>
      <c r="MX57" s="2"/>
      <c r="MY57" s="2"/>
      <c r="MZ57" s="2"/>
      <c r="NA57" s="2"/>
      <c r="NB57" s="2"/>
      <c r="NC57" s="2"/>
      <c r="ND57" s="2"/>
      <c r="NE57" s="2"/>
      <c r="NF57" s="2"/>
      <c r="NG57" s="2"/>
      <c r="NH57" s="2"/>
      <c r="NI57" s="2"/>
      <c r="NJ57" s="2"/>
      <c r="NK57" s="2"/>
      <c r="NL57" s="2"/>
      <c r="NM57" s="2"/>
      <c r="NN57" s="2"/>
      <c r="NO57" s="2"/>
      <c r="NP57" s="2"/>
      <c r="NQ57" s="2"/>
      <c r="NR57" s="2"/>
      <c r="NS57" s="2"/>
      <c r="NT57" s="2"/>
      <c r="NU57" s="2"/>
      <c r="NV57" s="2"/>
      <c r="NW57" s="2"/>
      <c r="NX57" s="2"/>
      <c r="NY57" s="2"/>
      <c r="NZ57" s="2"/>
      <c r="OA57" s="2"/>
      <c r="OB57" s="2"/>
      <c r="OC57" s="2"/>
      <c r="OD57" s="2"/>
      <c r="OE57" s="2"/>
      <c r="OF57" s="2"/>
      <c r="OG57" s="2"/>
      <c r="OH57" s="2"/>
      <c r="OI57" s="2"/>
      <c r="OJ57" s="2"/>
      <c r="OK57" s="2"/>
      <c r="OL57" s="2"/>
      <c r="OM57" s="2"/>
      <c r="ON57" s="2"/>
      <c r="OO57" s="2"/>
      <c r="OP57" s="2"/>
      <c r="OQ57" s="2"/>
      <c r="OR57" s="2"/>
      <c r="OS57" s="2"/>
      <c r="OT57" s="2"/>
      <c r="OU57" s="2"/>
      <c r="OV57" s="2"/>
      <c r="OW57" s="2"/>
      <c r="OX57" s="2"/>
      <c r="OY57" s="2"/>
      <c r="OZ57" s="2"/>
      <c r="PA57" s="2"/>
      <c r="PB57" s="2"/>
      <c r="PC57" s="2"/>
      <c r="PD57" s="2"/>
      <c r="PE57" s="2"/>
      <c r="PF57" s="2"/>
      <c r="PG57" s="2"/>
      <c r="PH57" s="2"/>
      <c r="PI57" s="2"/>
      <c r="PJ57" s="2"/>
      <c r="PK57" s="2"/>
      <c r="PL57" s="2"/>
      <c r="PM57" s="2"/>
      <c r="PN57" s="2"/>
      <c r="PO57" s="2"/>
      <c r="PP57" s="2"/>
      <c r="PQ57" s="2"/>
      <c r="PR57" s="2"/>
      <c r="PS57" s="2"/>
      <c r="PT57" s="2"/>
      <c r="PU57" s="2"/>
      <c r="PV57" s="2"/>
      <c r="PW57" s="2"/>
      <c r="PX57" s="2"/>
      <c r="PY57" s="2"/>
      <c r="PZ57" s="2"/>
      <c r="QA57" s="2"/>
      <c r="QB57" s="2"/>
      <c r="QC57" s="2"/>
      <c r="QD57" s="2"/>
      <c r="QE57" s="2"/>
      <c r="QF57" s="2"/>
      <c r="QG57" s="2"/>
      <c r="QH57" s="2"/>
      <c r="QI57" s="2"/>
      <c r="QJ57" s="2"/>
      <c r="QK57" s="2"/>
      <c r="QL57" s="2"/>
      <c r="QM57" s="2"/>
      <c r="QN57" s="2"/>
      <c r="QO57" s="2"/>
      <c r="QP57" s="2"/>
      <c r="QQ57" s="2"/>
      <c r="QR57" s="2"/>
      <c r="QS57" s="2"/>
      <c r="QT57" s="2"/>
      <c r="QU57" s="2"/>
      <c r="QV57" s="2"/>
      <c r="QW57" s="2"/>
      <c r="QX57" s="2"/>
      <c r="QY57" s="2"/>
      <c r="QZ57" s="2"/>
      <c r="RA57" s="2"/>
      <c r="RB57" s="2"/>
      <c r="RC57" s="2"/>
      <c r="RD57" s="2"/>
      <c r="RE57" s="2"/>
      <c r="RF57" s="2"/>
      <c r="RG57" s="2"/>
      <c r="RH57" s="2"/>
      <c r="RI57" s="2"/>
      <c r="RJ57" s="2"/>
      <c r="RK57" s="2"/>
      <c r="RL57" s="2"/>
      <c r="RM57" s="2"/>
      <c r="RN57" s="2"/>
      <c r="RO57" s="2"/>
      <c r="RP57" s="2"/>
      <c r="RQ57" s="2"/>
      <c r="RR57" s="2"/>
      <c r="RS57" s="2"/>
      <c r="RT57" s="2"/>
      <c r="RU57" s="2"/>
      <c r="RV57" s="2"/>
      <c r="RW57" s="2"/>
      <c r="RX57" s="2"/>
      <c r="RY57" s="2"/>
      <c r="RZ57" s="2"/>
      <c r="SA57" s="2"/>
      <c r="SB57" s="2"/>
      <c r="SC57" s="2"/>
      <c r="SD57" s="2"/>
      <c r="SE57" s="2"/>
      <c r="SF57" s="2"/>
      <c r="SG57" s="2"/>
      <c r="SH57" s="2"/>
      <c r="SI57" s="2"/>
      <c r="SJ57" s="2"/>
      <c r="SK57" s="2"/>
      <c r="SL57" s="2"/>
      <c r="SM57" s="2"/>
      <c r="SN57" s="2"/>
      <c r="SO57" s="2"/>
      <c r="SP57" s="2"/>
      <c r="SQ57" s="2"/>
      <c r="SR57" s="2"/>
      <c r="SS57" s="2"/>
      <c r="ST57" s="2"/>
      <c r="SU57" s="2"/>
      <c r="SV57" s="2"/>
      <c r="SW57" s="2"/>
      <c r="SX57" s="2"/>
    </row>
    <row r="58" spans="1:518" x14ac:dyDescent="0.25">
      <c r="A58" s="214" t="s">
        <v>96</v>
      </c>
      <c r="B58" s="69" t="s">
        <v>55</v>
      </c>
      <c r="C58" s="12">
        <f>'PAP_09_23   '!$AG$3</f>
        <v>0</v>
      </c>
      <c r="D58" s="12">
        <f>'PAP_09_23   '!$AG$4</f>
        <v>0</v>
      </c>
      <c r="E58" s="12">
        <f>'PAP_09_23   '!$AG$5</f>
        <v>0</v>
      </c>
      <c r="F58" s="12">
        <f>'PAP_09_23   '!$AG$6</f>
        <v>0</v>
      </c>
      <c r="G58" s="12">
        <f>'PAP_09_23   '!$AG$7</f>
        <v>0</v>
      </c>
      <c r="H58" s="12">
        <f>'PAP_09_23   '!$AG$8</f>
        <v>0</v>
      </c>
      <c r="I58" s="12">
        <f>'PAP_09_23   '!$AG$9</f>
        <v>0</v>
      </c>
      <c r="J58" s="12">
        <f>'PAP_09_23   '!$AG$10</f>
        <v>0</v>
      </c>
      <c r="K58" s="12">
        <f>'PAP_09_23   '!$AG$11</f>
        <v>0</v>
      </c>
      <c r="L58" s="12">
        <f>'PAP_09_23   '!$AG$12</f>
        <v>0</v>
      </c>
      <c r="M58" s="12">
        <f>'PAP_09_23   '!$AG$13</f>
        <v>0</v>
      </c>
      <c r="N58" s="12">
        <f>'PAP_09_23   '!$AG$14</f>
        <v>0</v>
      </c>
      <c r="O58" s="12">
        <f>'PAP_09_23   '!$AG$15</f>
        <v>0</v>
      </c>
      <c r="P58" s="12">
        <f>'PAP_09_23   '!$AG$16</f>
        <v>0</v>
      </c>
      <c r="Q58" s="12">
        <f>'PAP_09_23   '!$AG$17</f>
        <v>0</v>
      </c>
      <c r="R58" s="12">
        <f>'PAP_09_23   '!$AG$18</f>
        <v>0</v>
      </c>
      <c r="S58" s="12">
        <f>'PAP_09_23   '!$AG$19</f>
        <v>0</v>
      </c>
      <c r="T58" s="12">
        <f>'PAP_09_23   '!$AG$20</f>
        <v>0</v>
      </c>
      <c r="U58" s="12">
        <f>'PAP_09_23   '!$AG$21</f>
        <v>0</v>
      </c>
      <c r="V58" s="12">
        <f>'PAP_09_23   '!$AG$22</f>
        <v>0</v>
      </c>
      <c r="W58" s="12">
        <f>'PAP_09_23   '!$AG$23</f>
        <v>0</v>
      </c>
      <c r="X58" s="12">
        <f>'PAP_09_23   '!$AG$24</f>
        <v>0</v>
      </c>
      <c r="Y58" s="12">
        <f>'PAP_09_23   '!$AG$25</f>
        <v>0</v>
      </c>
      <c r="Z58" s="12">
        <f>'PAP_09_23   '!$AG$26</f>
        <v>0</v>
      </c>
      <c r="AA58" s="12">
        <f>'PAP_09_23   '!$AG$27</f>
        <v>0</v>
      </c>
      <c r="AB58" s="12">
        <f>'PAP_09_23   '!$AG$28</f>
        <v>0</v>
      </c>
      <c r="AC58" s="12">
        <f>'PAP_09_23   '!$AG$29</f>
        <v>0</v>
      </c>
      <c r="AD58" s="12">
        <f>'PAP_09_23   '!$AG$30</f>
        <v>0</v>
      </c>
      <c r="AE58" s="12">
        <f>'PAP_09_23   '!$AG$31</f>
        <v>0</v>
      </c>
      <c r="AF58" s="12">
        <f>'PAP_09_23   '!$AG$32</f>
        <v>0</v>
      </c>
      <c r="AG58" s="8">
        <f t="shared" si="51"/>
        <v>0</v>
      </c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  <c r="FK58" s="2"/>
      <c r="FL58" s="2"/>
      <c r="FM58" s="2"/>
      <c r="FN58" s="2"/>
      <c r="FO58" s="2"/>
      <c r="FP58" s="2"/>
      <c r="FQ58" s="2"/>
      <c r="FR58" s="2"/>
      <c r="FS58" s="2"/>
      <c r="FT58" s="2"/>
      <c r="FU58" s="2"/>
      <c r="FV58" s="2"/>
      <c r="FW58" s="2"/>
      <c r="FX58" s="2"/>
      <c r="FY58" s="2"/>
      <c r="FZ58" s="2"/>
      <c r="GA58" s="2"/>
      <c r="GB58" s="2"/>
      <c r="GC58" s="2"/>
      <c r="GD58" s="2"/>
      <c r="GE58" s="2"/>
      <c r="GF58" s="2"/>
      <c r="GG58" s="2"/>
      <c r="GH58" s="2"/>
      <c r="GI58" s="2"/>
      <c r="GJ58" s="2"/>
      <c r="GK58" s="2"/>
      <c r="GL58" s="2"/>
      <c r="GM58" s="2"/>
      <c r="GN58" s="2"/>
      <c r="GO58" s="2"/>
      <c r="GP58" s="2"/>
      <c r="GQ58" s="2"/>
      <c r="GR58" s="2"/>
      <c r="GS58" s="2"/>
      <c r="GT58" s="2"/>
      <c r="GU58" s="2"/>
      <c r="GV58" s="2"/>
      <c r="GW58" s="2"/>
      <c r="GX58" s="2"/>
      <c r="GY58" s="2"/>
      <c r="GZ58" s="2"/>
      <c r="HA58" s="2"/>
      <c r="HB58" s="2"/>
      <c r="HC58" s="2"/>
      <c r="HD58" s="2"/>
      <c r="HE58" s="2"/>
      <c r="HF58" s="2"/>
      <c r="HG58" s="2"/>
      <c r="HH58" s="2"/>
      <c r="HI58" s="2"/>
      <c r="HJ58" s="2"/>
      <c r="HK58" s="2"/>
      <c r="HL58" s="2"/>
      <c r="HM58" s="2"/>
      <c r="HN58" s="2"/>
      <c r="HO58" s="2"/>
      <c r="HP58" s="2"/>
      <c r="HQ58" s="2"/>
      <c r="HR58" s="2"/>
      <c r="HS58" s="2"/>
      <c r="HT58" s="2"/>
      <c r="HU58" s="2"/>
      <c r="HV58" s="2"/>
      <c r="HW58" s="2"/>
      <c r="HX58" s="2"/>
      <c r="HY58" s="2"/>
      <c r="HZ58" s="2"/>
      <c r="IA58" s="2"/>
      <c r="IB58" s="2"/>
      <c r="IC58" s="2"/>
      <c r="ID58" s="2"/>
      <c r="IE58" s="2"/>
      <c r="IF58" s="2"/>
      <c r="IG58" s="2"/>
      <c r="IH58" s="2"/>
      <c r="II58" s="2"/>
      <c r="IJ58" s="2"/>
      <c r="IK58" s="2"/>
      <c r="IL58" s="2"/>
      <c r="IM58" s="2"/>
      <c r="IN58" s="2"/>
      <c r="IO58" s="2"/>
      <c r="IP58" s="2"/>
      <c r="IQ58" s="2"/>
      <c r="IR58" s="2"/>
      <c r="IS58" s="2"/>
      <c r="IT58" s="2"/>
      <c r="IU58" s="2"/>
      <c r="IV58" s="2"/>
      <c r="IW58" s="2"/>
      <c r="IX58" s="2"/>
      <c r="IY58" s="2"/>
      <c r="IZ58" s="2"/>
      <c r="JA58" s="2"/>
      <c r="JB58" s="2"/>
      <c r="JC58" s="2"/>
      <c r="JD58" s="2"/>
      <c r="JE58" s="2"/>
      <c r="JF58" s="2"/>
      <c r="JG58" s="2"/>
      <c r="JH58" s="2"/>
      <c r="JI58" s="2"/>
      <c r="JJ58" s="2"/>
      <c r="JK58" s="2"/>
      <c r="JL58" s="2"/>
      <c r="JM58" s="2"/>
      <c r="JN58" s="2"/>
      <c r="JO58" s="2"/>
      <c r="JP58" s="2"/>
      <c r="JQ58" s="2"/>
      <c r="JR58" s="2"/>
      <c r="JS58" s="2"/>
      <c r="JT58" s="2"/>
      <c r="JU58" s="2"/>
      <c r="JV58" s="2"/>
      <c r="JW58" s="2"/>
      <c r="JX58" s="2"/>
      <c r="JY58" s="2"/>
      <c r="JZ58" s="2"/>
      <c r="KA58" s="2"/>
      <c r="KB58" s="2"/>
      <c r="KC58" s="2"/>
      <c r="KD58" s="2"/>
      <c r="KE58" s="2"/>
      <c r="KF58" s="2"/>
      <c r="KG58" s="2"/>
      <c r="KH58" s="2"/>
      <c r="KI58" s="2"/>
      <c r="KJ58" s="2"/>
      <c r="KK58" s="2"/>
      <c r="KL58" s="2"/>
      <c r="KM58" s="2"/>
      <c r="KN58" s="2"/>
      <c r="KO58" s="2"/>
      <c r="KP58" s="2"/>
      <c r="KQ58" s="2"/>
      <c r="KR58" s="2"/>
      <c r="KS58" s="2"/>
      <c r="KT58" s="2"/>
      <c r="KU58" s="2"/>
      <c r="KV58" s="2"/>
      <c r="KW58" s="2"/>
      <c r="KX58" s="2"/>
      <c r="KY58" s="2"/>
      <c r="KZ58" s="2"/>
      <c r="LA58" s="2"/>
      <c r="LB58" s="2"/>
      <c r="LC58" s="2"/>
      <c r="LD58" s="2"/>
      <c r="LE58" s="2"/>
      <c r="LF58" s="2"/>
      <c r="LG58" s="2"/>
      <c r="LH58" s="2"/>
      <c r="LI58" s="2"/>
      <c r="LJ58" s="2"/>
      <c r="LK58" s="2"/>
      <c r="LL58" s="2"/>
      <c r="LM58" s="2"/>
      <c r="LN58" s="2"/>
      <c r="LO58" s="2"/>
      <c r="LP58" s="2"/>
      <c r="LQ58" s="2"/>
      <c r="LR58" s="2"/>
      <c r="LS58" s="2"/>
      <c r="LT58" s="2"/>
      <c r="LU58" s="2"/>
      <c r="LV58" s="2"/>
      <c r="LW58" s="2"/>
      <c r="LX58" s="2"/>
      <c r="LY58" s="2"/>
      <c r="LZ58" s="2"/>
      <c r="MA58" s="2"/>
      <c r="MB58" s="2"/>
      <c r="MC58" s="2"/>
      <c r="MD58" s="2"/>
      <c r="ME58" s="2"/>
      <c r="MF58" s="2"/>
      <c r="MG58" s="2"/>
      <c r="MH58" s="2"/>
      <c r="MI58" s="2"/>
      <c r="MJ58" s="2"/>
      <c r="MK58" s="2"/>
      <c r="ML58" s="2"/>
      <c r="MM58" s="2"/>
      <c r="MN58" s="2"/>
      <c r="MO58" s="2"/>
      <c r="MP58" s="2"/>
      <c r="MQ58" s="2"/>
      <c r="MR58" s="2"/>
      <c r="MS58" s="2"/>
      <c r="MT58" s="2"/>
      <c r="MU58" s="2"/>
      <c r="MV58" s="2"/>
      <c r="MW58" s="2"/>
      <c r="MX58" s="2"/>
      <c r="MY58" s="2"/>
      <c r="MZ58" s="2"/>
      <c r="NA58" s="2"/>
      <c r="NB58" s="2"/>
      <c r="NC58" s="2"/>
      <c r="ND58" s="2"/>
      <c r="NE58" s="2"/>
      <c r="NF58" s="2"/>
      <c r="NG58" s="2"/>
      <c r="NH58" s="2"/>
      <c r="NI58" s="2"/>
      <c r="NJ58" s="2"/>
      <c r="NK58" s="2"/>
      <c r="NL58" s="2"/>
      <c r="NM58" s="2"/>
      <c r="NN58" s="2"/>
      <c r="NO58" s="2"/>
      <c r="NP58" s="2"/>
      <c r="NQ58" s="2"/>
      <c r="NR58" s="2"/>
      <c r="NS58" s="2"/>
      <c r="NT58" s="2"/>
      <c r="NU58" s="2"/>
      <c r="NV58" s="2"/>
      <c r="NW58" s="2"/>
      <c r="NX58" s="2"/>
      <c r="NY58" s="2"/>
      <c r="NZ58" s="2"/>
      <c r="OA58" s="2"/>
      <c r="OB58" s="2"/>
      <c r="OC58" s="2"/>
      <c r="OD58" s="2"/>
      <c r="OE58" s="2"/>
      <c r="OF58" s="2"/>
      <c r="OG58" s="2"/>
      <c r="OH58" s="2"/>
      <c r="OI58" s="2"/>
      <c r="OJ58" s="2"/>
      <c r="OK58" s="2"/>
      <c r="OL58" s="2"/>
      <c r="OM58" s="2"/>
      <c r="ON58" s="2"/>
      <c r="OO58" s="2"/>
      <c r="OP58" s="2"/>
      <c r="OQ58" s="2"/>
      <c r="OR58" s="2"/>
      <c r="OS58" s="2"/>
      <c r="OT58" s="2"/>
      <c r="OU58" s="2"/>
      <c r="OV58" s="2"/>
      <c r="OW58" s="2"/>
      <c r="OX58" s="2"/>
      <c r="OY58" s="2"/>
      <c r="OZ58" s="2"/>
      <c r="PA58" s="2"/>
      <c r="PB58" s="2"/>
      <c r="PC58" s="2"/>
      <c r="PD58" s="2"/>
      <c r="PE58" s="2"/>
      <c r="PF58" s="2"/>
      <c r="PG58" s="2"/>
      <c r="PH58" s="2"/>
      <c r="PI58" s="2"/>
      <c r="PJ58" s="2"/>
      <c r="PK58" s="2"/>
      <c r="PL58" s="2"/>
      <c r="PM58" s="2"/>
      <c r="PN58" s="2"/>
      <c r="PO58" s="2"/>
      <c r="PP58" s="2"/>
      <c r="PQ58" s="2"/>
      <c r="PR58" s="2"/>
      <c r="PS58" s="2"/>
      <c r="PT58" s="2"/>
      <c r="PU58" s="2"/>
      <c r="PV58" s="2"/>
      <c r="PW58" s="2"/>
      <c r="PX58" s="2"/>
      <c r="PY58" s="2"/>
      <c r="PZ58" s="2"/>
      <c r="QA58" s="2"/>
      <c r="QB58" s="2"/>
      <c r="QC58" s="2"/>
      <c r="QD58" s="2"/>
      <c r="QE58" s="2"/>
      <c r="QF58" s="2"/>
      <c r="QG58" s="2"/>
      <c r="QH58" s="2"/>
      <c r="QI58" s="2"/>
      <c r="QJ58" s="2"/>
      <c r="QK58" s="2"/>
      <c r="QL58" s="2"/>
      <c r="QM58" s="2"/>
      <c r="QN58" s="2"/>
      <c r="QO58" s="2"/>
      <c r="QP58" s="2"/>
      <c r="QQ58" s="2"/>
      <c r="QR58" s="2"/>
      <c r="QS58" s="2"/>
      <c r="QT58" s="2"/>
      <c r="QU58" s="2"/>
      <c r="QV58" s="2"/>
      <c r="QW58" s="2"/>
      <c r="QX58" s="2"/>
      <c r="QY58" s="2"/>
      <c r="QZ58" s="2"/>
      <c r="RA58" s="2"/>
      <c r="RB58" s="2"/>
      <c r="RC58" s="2"/>
      <c r="RD58" s="2"/>
      <c r="RE58" s="2"/>
      <c r="RF58" s="2"/>
      <c r="RG58" s="2"/>
      <c r="RH58" s="2"/>
      <c r="RI58" s="2"/>
      <c r="RJ58" s="2"/>
      <c r="RK58" s="2"/>
      <c r="RL58" s="2"/>
      <c r="RM58" s="2"/>
      <c r="RN58" s="2"/>
      <c r="RO58" s="2"/>
      <c r="RP58" s="2"/>
      <c r="RQ58" s="2"/>
      <c r="RR58" s="2"/>
      <c r="RS58" s="2"/>
      <c r="RT58" s="2"/>
      <c r="RU58" s="2"/>
      <c r="RV58" s="2"/>
      <c r="RW58" s="2"/>
      <c r="RX58" s="2"/>
      <c r="RY58" s="2"/>
      <c r="RZ58" s="2"/>
      <c r="SA58" s="2"/>
      <c r="SB58" s="2"/>
      <c r="SC58" s="2"/>
      <c r="SD58" s="2"/>
      <c r="SE58" s="2"/>
      <c r="SF58" s="2"/>
      <c r="SG58" s="2"/>
      <c r="SH58" s="2"/>
      <c r="SI58" s="2"/>
      <c r="SJ58" s="2"/>
      <c r="SK58" s="2"/>
      <c r="SL58" s="2"/>
      <c r="SM58" s="2"/>
      <c r="SN58" s="2"/>
      <c r="SO58" s="2"/>
      <c r="SP58" s="2"/>
      <c r="SQ58" s="2"/>
      <c r="SR58" s="2"/>
      <c r="SS58" s="2"/>
      <c r="ST58" s="2"/>
      <c r="SU58" s="2"/>
      <c r="SV58" s="2"/>
      <c r="SW58" s="2"/>
      <c r="SX58" s="2"/>
    </row>
    <row r="59" spans="1:518" x14ac:dyDescent="0.25">
      <c r="A59" s="214"/>
      <c r="B59" s="69" t="s">
        <v>56</v>
      </c>
      <c r="C59" s="12">
        <f>'PLA_09_23 '!$AG$3</f>
        <v>0</v>
      </c>
      <c r="D59" s="12">
        <f>'PLA_09_23 '!$AG$4</f>
        <v>0</v>
      </c>
      <c r="E59" s="12">
        <f>'PLA_09_23 '!$AG$5</f>
        <v>0</v>
      </c>
      <c r="F59" s="12">
        <f>'PLA_09_23 '!$AG$6</f>
        <v>0</v>
      </c>
      <c r="G59" s="12">
        <f>'PLA_09_23 '!$AG$7</f>
        <v>0</v>
      </c>
      <c r="H59" s="12">
        <f>'PLA_09_23 '!$AG$8</f>
        <v>0</v>
      </c>
      <c r="I59" s="12">
        <f>'PLA_09_23 '!$AG$9</f>
        <v>0</v>
      </c>
      <c r="J59" s="12">
        <f>'PLA_09_23 '!$AG$10</f>
        <v>0</v>
      </c>
      <c r="K59" s="12">
        <f>'PLA_09_23 '!$AG$11</f>
        <v>0</v>
      </c>
      <c r="L59" s="12">
        <f>'PLA_09_23 '!$AG$12</f>
        <v>0</v>
      </c>
      <c r="M59" s="12">
        <f>'PLA_09_23 '!$AG$13</f>
        <v>0</v>
      </c>
      <c r="N59" s="12">
        <f>'PLA_09_23 '!$AG$14</f>
        <v>0</v>
      </c>
      <c r="O59" s="12">
        <f>'PLA_09_23 '!$AG$15</f>
        <v>0</v>
      </c>
      <c r="P59" s="12">
        <f>'PLA_09_23 '!$AG$16</f>
        <v>0</v>
      </c>
      <c r="Q59" s="12">
        <f>'PLA_09_23 '!$AG$17</f>
        <v>0</v>
      </c>
      <c r="R59" s="12">
        <f>'PLA_09_23 '!$AG$18</f>
        <v>0</v>
      </c>
      <c r="S59" s="12">
        <f>'PLA_09_23 '!$AG$19</f>
        <v>0</v>
      </c>
      <c r="T59" s="12">
        <f>'PLA_09_23 '!$AG$20</f>
        <v>0</v>
      </c>
      <c r="U59" s="12">
        <f>'PLA_09_23 '!$AG$21</f>
        <v>0</v>
      </c>
      <c r="V59" s="12">
        <f>'PLA_09_23 '!$AG$22</f>
        <v>0</v>
      </c>
      <c r="W59" s="12">
        <f>'PLA_09_23 '!$AG$23</f>
        <v>0</v>
      </c>
      <c r="X59" s="12">
        <f>'PLA_09_23 '!$AG$24</f>
        <v>0</v>
      </c>
      <c r="Y59" s="12">
        <f>'PLA_09_23 '!$AG$25</f>
        <v>0</v>
      </c>
      <c r="Z59" s="12">
        <f>'PLA_09_23 '!$AG$26</f>
        <v>0</v>
      </c>
      <c r="AA59" s="12">
        <f>'PLA_09_23 '!$AG$27</f>
        <v>0</v>
      </c>
      <c r="AB59" s="12">
        <f>'PLA_09_23 '!$AG$28</f>
        <v>0</v>
      </c>
      <c r="AC59" s="12">
        <f>'PLA_09_23 '!$AG$29</f>
        <v>0</v>
      </c>
      <c r="AD59" s="12">
        <f>'PLA_09_23 '!$AG$30</f>
        <v>0</v>
      </c>
      <c r="AE59" s="12">
        <f>'PLA_09_23 '!$AG$31</f>
        <v>0</v>
      </c>
      <c r="AF59" s="12">
        <f>'PLA_09_23 '!$AG$32</f>
        <v>0</v>
      </c>
      <c r="AG59" s="8">
        <f t="shared" si="51"/>
        <v>0</v>
      </c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  <c r="FK59" s="2"/>
      <c r="FL59" s="2"/>
      <c r="FM59" s="2"/>
      <c r="FN59" s="2"/>
      <c r="FO59" s="2"/>
      <c r="FP59" s="2"/>
      <c r="FQ59" s="2"/>
      <c r="FR59" s="2"/>
      <c r="FS59" s="2"/>
      <c r="FT59" s="2"/>
      <c r="FU59" s="2"/>
      <c r="FV59" s="2"/>
      <c r="FW59" s="2"/>
      <c r="FX59" s="2"/>
      <c r="FY59" s="2"/>
      <c r="FZ59" s="2"/>
      <c r="GA59" s="2"/>
      <c r="GB59" s="2"/>
      <c r="GC59" s="2"/>
      <c r="GD59" s="2"/>
      <c r="GE59" s="2"/>
      <c r="GF59" s="2"/>
      <c r="GG59" s="2"/>
      <c r="GH59" s="2"/>
      <c r="GI59" s="2"/>
      <c r="GJ59" s="2"/>
      <c r="GK59" s="2"/>
      <c r="GL59" s="2"/>
      <c r="GM59" s="2"/>
      <c r="GN59" s="2"/>
      <c r="GO59" s="2"/>
      <c r="GP59" s="2"/>
      <c r="GQ59" s="2"/>
      <c r="GR59" s="2"/>
      <c r="GS59" s="2"/>
      <c r="GT59" s="2"/>
      <c r="GU59" s="2"/>
      <c r="GV59" s="2"/>
      <c r="GW59" s="2"/>
      <c r="GX59" s="2"/>
      <c r="GY59" s="2"/>
      <c r="GZ59" s="2"/>
      <c r="HA59" s="2"/>
      <c r="HB59" s="2"/>
      <c r="HC59" s="2"/>
      <c r="HD59" s="2"/>
      <c r="HE59" s="2"/>
      <c r="HF59" s="2"/>
      <c r="HG59" s="2"/>
      <c r="HH59" s="2"/>
      <c r="HI59" s="2"/>
      <c r="HJ59" s="2"/>
      <c r="HK59" s="2"/>
      <c r="HL59" s="2"/>
      <c r="HM59" s="2"/>
      <c r="HN59" s="2"/>
      <c r="HO59" s="2"/>
      <c r="HP59" s="2"/>
      <c r="HQ59" s="2"/>
      <c r="HR59" s="2"/>
      <c r="HS59" s="2"/>
      <c r="HT59" s="2"/>
      <c r="HU59" s="2"/>
      <c r="HV59" s="2"/>
      <c r="HW59" s="2"/>
      <c r="HX59" s="2"/>
      <c r="HY59" s="2"/>
      <c r="HZ59" s="2"/>
      <c r="IA59" s="2"/>
      <c r="IB59" s="2"/>
      <c r="IC59" s="2"/>
      <c r="ID59" s="2"/>
      <c r="IE59" s="2"/>
      <c r="IF59" s="2"/>
      <c r="IG59" s="2"/>
      <c r="IH59" s="2"/>
      <c r="II59" s="2"/>
      <c r="IJ59" s="2"/>
      <c r="IK59" s="2"/>
      <c r="IL59" s="2"/>
      <c r="IM59" s="2"/>
      <c r="IN59" s="2"/>
      <c r="IO59" s="2"/>
      <c r="IP59" s="2"/>
      <c r="IQ59" s="2"/>
      <c r="IR59" s="2"/>
      <c r="IS59" s="2"/>
      <c r="IT59" s="2"/>
      <c r="IU59" s="2"/>
      <c r="IV59" s="2"/>
      <c r="IW59" s="2"/>
      <c r="IX59" s="2"/>
      <c r="IY59" s="2"/>
      <c r="IZ59" s="2"/>
      <c r="JA59" s="2"/>
      <c r="JB59" s="2"/>
      <c r="JC59" s="2"/>
      <c r="JD59" s="2"/>
      <c r="JE59" s="2"/>
      <c r="JF59" s="2"/>
      <c r="JG59" s="2"/>
      <c r="JH59" s="2"/>
      <c r="JI59" s="2"/>
      <c r="JJ59" s="2"/>
      <c r="JK59" s="2"/>
      <c r="JL59" s="2"/>
      <c r="JM59" s="2"/>
      <c r="JN59" s="2"/>
      <c r="JO59" s="2"/>
      <c r="JP59" s="2"/>
      <c r="JQ59" s="2"/>
      <c r="JR59" s="2"/>
      <c r="JS59" s="2"/>
      <c r="JT59" s="2"/>
      <c r="JU59" s="2"/>
      <c r="JV59" s="2"/>
      <c r="JW59" s="2"/>
      <c r="JX59" s="2"/>
      <c r="JY59" s="2"/>
      <c r="JZ59" s="2"/>
      <c r="KA59" s="2"/>
      <c r="KB59" s="2"/>
      <c r="KC59" s="2"/>
      <c r="KD59" s="2"/>
      <c r="KE59" s="2"/>
      <c r="KF59" s="2"/>
      <c r="KG59" s="2"/>
      <c r="KH59" s="2"/>
      <c r="KI59" s="2"/>
      <c r="KJ59" s="2"/>
      <c r="KK59" s="2"/>
      <c r="KL59" s="2"/>
      <c r="KM59" s="2"/>
      <c r="KN59" s="2"/>
      <c r="KO59" s="2"/>
      <c r="KP59" s="2"/>
      <c r="KQ59" s="2"/>
      <c r="KR59" s="2"/>
      <c r="KS59" s="2"/>
      <c r="KT59" s="2"/>
      <c r="KU59" s="2"/>
      <c r="KV59" s="2"/>
      <c r="KW59" s="2"/>
      <c r="KX59" s="2"/>
      <c r="KY59" s="2"/>
      <c r="KZ59" s="2"/>
      <c r="LA59" s="2"/>
      <c r="LB59" s="2"/>
      <c r="LC59" s="2"/>
      <c r="LD59" s="2"/>
      <c r="LE59" s="2"/>
      <c r="LF59" s="2"/>
      <c r="LG59" s="2"/>
      <c r="LH59" s="2"/>
      <c r="LI59" s="2"/>
      <c r="LJ59" s="2"/>
      <c r="LK59" s="2"/>
      <c r="LL59" s="2"/>
      <c r="LM59" s="2"/>
      <c r="LN59" s="2"/>
      <c r="LO59" s="2"/>
      <c r="LP59" s="2"/>
      <c r="LQ59" s="2"/>
      <c r="LR59" s="2"/>
      <c r="LS59" s="2"/>
      <c r="LT59" s="2"/>
      <c r="LU59" s="2"/>
      <c r="LV59" s="2"/>
      <c r="LW59" s="2"/>
      <c r="LX59" s="2"/>
      <c r="LY59" s="2"/>
      <c r="LZ59" s="2"/>
      <c r="MA59" s="2"/>
      <c r="MB59" s="2"/>
      <c r="MC59" s="2"/>
      <c r="MD59" s="2"/>
      <c r="ME59" s="2"/>
      <c r="MF59" s="2"/>
      <c r="MG59" s="2"/>
      <c r="MH59" s="2"/>
      <c r="MI59" s="2"/>
      <c r="MJ59" s="2"/>
      <c r="MK59" s="2"/>
      <c r="ML59" s="2"/>
      <c r="MM59" s="2"/>
      <c r="MN59" s="2"/>
      <c r="MO59" s="2"/>
      <c r="MP59" s="2"/>
      <c r="MQ59" s="2"/>
      <c r="MR59" s="2"/>
      <c r="MS59" s="2"/>
      <c r="MT59" s="2"/>
      <c r="MU59" s="2"/>
      <c r="MV59" s="2"/>
      <c r="MW59" s="2"/>
      <c r="MX59" s="2"/>
      <c r="MY59" s="2"/>
      <c r="MZ59" s="2"/>
      <c r="NA59" s="2"/>
      <c r="NB59" s="2"/>
      <c r="NC59" s="2"/>
      <c r="ND59" s="2"/>
      <c r="NE59" s="2"/>
      <c r="NF59" s="2"/>
      <c r="NG59" s="2"/>
      <c r="NH59" s="2"/>
      <c r="NI59" s="2"/>
      <c r="NJ59" s="2"/>
      <c r="NK59" s="2"/>
      <c r="NL59" s="2"/>
      <c r="NM59" s="2"/>
      <c r="NN59" s="2"/>
      <c r="NO59" s="2"/>
      <c r="NP59" s="2"/>
      <c r="NQ59" s="2"/>
      <c r="NR59" s="2"/>
      <c r="NS59" s="2"/>
      <c r="NT59" s="2"/>
      <c r="NU59" s="2"/>
      <c r="NV59" s="2"/>
      <c r="NW59" s="2"/>
      <c r="NX59" s="2"/>
      <c r="NY59" s="2"/>
      <c r="NZ59" s="2"/>
      <c r="OA59" s="2"/>
      <c r="OB59" s="2"/>
      <c r="OC59" s="2"/>
      <c r="OD59" s="2"/>
      <c r="OE59" s="2"/>
      <c r="OF59" s="2"/>
      <c r="OG59" s="2"/>
      <c r="OH59" s="2"/>
      <c r="OI59" s="2"/>
      <c r="OJ59" s="2"/>
      <c r="OK59" s="2"/>
      <c r="OL59" s="2"/>
      <c r="OM59" s="2"/>
      <c r="ON59" s="2"/>
      <c r="OO59" s="2"/>
      <c r="OP59" s="2"/>
      <c r="OQ59" s="2"/>
      <c r="OR59" s="2"/>
      <c r="OS59" s="2"/>
      <c r="OT59" s="2"/>
      <c r="OU59" s="2"/>
      <c r="OV59" s="2"/>
      <c r="OW59" s="2"/>
      <c r="OX59" s="2"/>
      <c r="OY59" s="2"/>
      <c r="OZ59" s="2"/>
      <c r="PA59" s="2"/>
      <c r="PB59" s="2"/>
      <c r="PC59" s="2"/>
      <c r="PD59" s="2"/>
      <c r="PE59" s="2"/>
      <c r="PF59" s="2"/>
      <c r="PG59" s="2"/>
      <c r="PH59" s="2"/>
      <c r="PI59" s="2"/>
      <c r="PJ59" s="2"/>
      <c r="PK59" s="2"/>
      <c r="PL59" s="2"/>
      <c r="PM59" s="2"/>
      <c r="PN59" s="2"/>
      <c r="PO59" s="2"/>
      <c r="PP59" s="2"/>
      <c r="PQ59" s="2"/>
      <c r="PR59" s="2"/>
      <c r="PS59" s="2"/>
      <c r="PT59" s="2"/>
      <c r="PU59" s="2"/>
      <c r="PV59" s="2"/>
      <c r="PW59" s="2"/>
      <c r="PX59" s="2"/>
      <c r="PY59" s="2"/>
      <c r="PZ59" s="2"/>
      <c r="QA59" s="2"/>
      <c r="QB59" s="2"/>
      <c r="QC59" s="2"/>
      <c r="QD59" s="2"/>
      <c r="QE59" s="2"/>
      <c r="QF59" s="2"/>
      <c r="QG59" s="2"/>
      <c r="QH59" s="2"/>
      <c r="QI59" s="2"/>
      <c r="QJ59" s="2"/>
      <c r="QK59" s="2"/>
      <c r="QL59" s="2"/>
      <c r="QM59" s="2"/>
      <c r="QN59" s="2"/>
      <c r="QO59" s="2"/>
      <c r="QP59" s="2"/>
      <c r="QQ59" s="2"/>
      <c r="QR59" s="2"/>
      <c r="QS59" s="2"/>
      <c r="QT59" s="2"/>
      <c r="QU59" s="2"/>
      <c r="QV59" s="2"/>
      <c r="QW59" s="2"/>
      <c r="QX59" s="2"/>
      <c r="QY59" s="2"/>
      <c r="QZ59" s="2"/>
      <c r="RA59" s="2"/>
      <c r="RB59" s="2"/>
      <c r="RC59" s="2"/>
      <c r="RD59" s="2"/>
      <c r="RE59" s="2"/>
      <c r="RF59" s="2"/>
      <c r="RG59" s="2"/>
      <c r="RH59" s="2"/>
      <c r="RI59" s="2"/>
      <c r="RJ59" s="2"/>
      <c r="RK59" s="2"/>
      <c r="RL59" s="2"/>
      <c r="RM59" s="2"/>
      <c r="RN59" s="2"/>
      <c r="RO59" s="2"/>
      <c r="RP59" s="2"/>
      <c r="RQ59" s="2"/>
      <c r="RR59" s="2"/>
      <c r="RS59" s="2"/>
      <c r="RT59" s="2"/>
      <c r="RU59" s="2"/>
      <c r="RV59" s="2"/>
      <c r="RW59" s="2"/>
      <c r="RX59" s="2"/>
      <c r="RY59" s="2"/>
      <c r="RZ59" s="2"/>
      <c r="SA59" s="2"/>
      <c r="SB59" s="2"/>
      <c r="SC59" s="2"/>
      <c r="SD59" s="2"/>
      <c r="SE59" s="2"/>
      <c r="SF59" s="2"/>
      <c r="SG59" s="2"/>
      <c r="SH59" s="2"/>
      <c r="SI59" s="2"/>
      <c r="SJ59" s="2"/>
      <c r="SK59" s="2"/>
      <c r="SL59" s="2"/>
      <c r="SM59" s="2"/>
      <c r="SN59" s="2"/>
      <c r="SO59" s="2"/>
      <c r="SP59" s="2"/>
      <c r="SQ59" s="2"/>
      <c r="SR59" s="2"/>
      <c r="SS59" s="2"/>
      <c r="ST59" s="2"/>
      <c r="SU59" s="2"/>
      <c r="SV59" s="2"/>
      <c r="SW59" s="2"/>
      <c r="SX59" s="2"/>
    </row>
    <row r="60" spans="1:518" x14ac:dyDescent="0.25">
      <c r="A60" s="214"/>
      <c r="B60" s="69" t="s">
        <v>57</v>
      </c>
      <c r="C60" s="12">
        <f>GRI_09_23!AG3</f>
        <v>0</v>
      </c>
      <c r="D60" s="12">
        <f>GRI_09_23!AG4</f>
        <v>0</v>
      </c>
      <c r="E60" s="12">
        <f>GRI_09_23!AG5</f>
        <v>0</v>
      </c>
      <c r="F60" s="12">
        <f>GRI_09_23!AG6</f>
        <v>0</v>
      </c>
      <c r="G60" s="12">
        <f>GRI_09_23!AG7</f>
        <v>0</v>
      </c>
      <c r="H60" s="12">
        <f>GRI_09_23!AG8</f>
        <v>0</v>
      </c>
      <c r="I60" s="12">
        <f>GRI_09_23!AG9</f>
        <v>0</v>
      </c>
      <c r="J60" s="12">
        <f>GRI_09_23!AG10</f>
        <v>0</v>
      </c>
      <c r="K60" s="12">
        <f>GRI_09_23!AG11</f>
        <v>0</v>
      </c>
      <c r="L60" s="12">
        <f>GRI_09_23!AG12</f>
        <v>0</v>
      </c>
      <c r="M60" s="12">
        <f>GRI_09_23!AG13</f>
        <v>0</v>
      </c>
      <c r="N60" s="12">
        <f>GRI_09_23!AG14</f>
        <v>0</v>
      </c>
      <c r="O60" s="12">
        <f>GRI_09_23!AG15</f>
        <v>0</v>
      </c>
      <c r="P60" s="12">
        <f>GRI_09_23!AG16</f>
        <v>0</v>
      </c>
      <c r="Q60" s="12">
        <f>GRI_09_23!AG17</f>
        <v>0</v>
      </c>
      <c r="R60" s="12">
        <f>GRI_09_23!AG18</f>
        <v>0</v>
      </c>
      <c r="S60" s="12">
        <f>GRI_09_23!AG19</f>
        <v>0</v>
      </c>
      <c r="T60" s="12">
        <f>GRI_09_23!AG20</f>
        <v>0</v>
      </c>
      <c r="U60" s="12">
        <f>GRI_09_23!AG21</f>
        <v>0</v>
      </c>
      <c r="V60" s="12">
        <f>GRI_09_23!AG22</f>
        <v>0</v>
      </c>
      <c r="W60" s="12">
        <f>GRI_09_23!AG23</f>
        <v>0</v>
      </c>
      <c r="X60" s="12">
        <f>GRI_09_23!AG24</f>
        <v>0</v>
      </c>
      <c r="Y60" s="12">
        <f>GRI_09_23!AG25</f>
        <v>0</v>
      </c>
      <c r="Z60" s="12">
        <f>GRI_09_23!AG26</f>
        <v>0</v>
      </c>
      <c r="AA60" s="12">
        <f>GRI_09_23!AG27</f>
        <v>0</v>
      </c>
      <c r="AB60" s="12">
        <f>GRI_09_23!AG28</f>
        <v>0</v>
      </c>
      <c r="AC60" s="12">
        <f>GRI_09_23!AG29</f>
        <v>0</v>
      </c>
      <c r="AD60" s="12">
        <f>GRI_09_23!AG30</f>
        <v>0</v>
      </c>
      <c r="AE60" s="12">
        <f>GRI_09_23!AG31</f>
        <v>0</v>
      </c>
      <c r="AF60" s="12">
        <f>GRI_09_23!AG32</f>
        <v>0</v>
      </c>
      <c r="AG60" s="8">
        <f t="shared" si="51"/>
        <v>0</v>
      </c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  <c r="FK60" s="2"/>
      <c r="FL60" s="2"/>
      <c r="FM60" s="2"/>
      <c r="FN60" s="2"/>
      <c r="FO60" s="2"/>
      <c r="FP60" s="2"/>
      <c r="FQ60" s="2"/>
      <c r="FR60" s="2"/>
      <c r="FS60" s="2"/>
      <c r="FT60" s="2"/>
      <c r="FU60" s="2"/>
      <c r="FV60" s="2"/>
      <c r="FW60" s="2"/>
      <c r="FX60" s="2"/>
      <c r="FY60" s="2"/>
      <c r="FZ60" s="2"/>
      <c r="GA60" s="2"/>
      <c r="GB60" s="2"/>
      <c r="GC60" s="2"/>
      <c r="GD60" s="2"/>
      <c r="GE60" s="2"/>
      <c r="GF60" s="2"/>
      <c r="GG60" s="2"/>
      <c r="GH60" s="2"/>
      <c r="GI60" s="2"/>
      <c r="GJ60" s="2"/>
      <c r="GK60" s="2"/>
      <c r="GL60" s="2"/>
      <c r="GM60" s="2"/>
      <c r="GN60" s="2"/>
      <c r="GO60" s="2"/>
      <c r="GP60" s="2"/>
      <c r="GQ60" s="2"/>
      <c r="GR60" s="2"/>
      <c r="GS60" s="2"/>
      <c r="GT60" s="2"/>
      <c r="GU60" s="2"/>
      <c r="GV60" s="2"/>
      <c r="GW60" s="2"/>
      <c r="GX60" s="2"/>
      <c r="GY60" s="2"/>
      <c r="GZ60" s="2"/>
      <c r="HA60" s="2"/>
      <c r="HB60" s="2"/>
      <c r="HC60" s="2"/>
      <c r="HD60" s="2"/>
      <c r="HE60" s="2"/>
      <c r="HF60" s="2"/>
      <c r="HG60" s="2"/>
      <c r="HH60" s="2"/>
      <c r="HI60" s="2"/>
      <c r="HJ60" s="2"/>
      <c r="HK60" s="2"/>
      <c r="HL60" s="2"/>
      <c r="HM60" s="2"/>
      <c r="HN60" s="2"/>
      <c r="HO60" s="2"/>
      <c r="HP60" s="2"/>
      <c r="HQ60" s="2"/>
      <c r="HR60" s="2"/>
      <c r="HS60" s="2"/>
      <c r="HT60" s="2"/>
      <c r="HU60" s="2"/>
      <c r="HV60" s="2"/>
      <c r="HW60" s="2"/>
      <c r="HX60" s="2"/>
      <c r="HY60" s="2"/>
      <c r="HZ60" s="2"/>
      <c r="IA60" s="2"/>
      <c r="IB60" s="2"/>
      <c r="IC60" s="2"/>
      <c r="ID60" s="2"/>
      <c r="IE60" s="2"/>
      <c r="IF60" s="2"/>
      <c r="IG60" s="2"/>
      <c r="IH60" s="2"/>
      <c r="II60" s="2"/>
      <c r="IJ60" s="2"/>
      <c r="IK60" s="2"/>
      <c r="IL60" s="2"/>
      <c r="IM60" s="2"/>
      <c r="IN60" s="2"/>
      <c r="IO60" s="2"/>
      <c r="IP60" s="2"/>
      <c r="IQ60" s="2"/>
      <c r="IR60" s="2"/>
      <c r="IS60" s="2"/>
      <c r="IT60" s="2"/>
      <c r="IU60" s="2"/>
      <c r="IV60" s="2"/>
      <c r="IW60" s="2"/>
      <c r="IX60" s="2"/>
      <c r="IY60" s="2"/>
      <c r="IZ60" s="2"/>
      <c r="JA60" s="2"/>
      <c r="JB60" s="2"/>
      <c r="JC60" s="2"/>
      <c r="JD60" s="2"/>
      <c r="JE60" s="2"/>
      <c r="JF60" s="2"/>
      <c r="JG60" s="2"/>
      <c r="JH60" s="2"/>
      <c r="JI60" s="2"/>
      <c r="JJ60" s="2"/>
      <c r="JK60" s="2"/>
      <c r="JL60" s="2"/>
      <c r="JM60" s="2"/>
      <c r="JN60" s="2"/>
      <c r="JO60" s="2"/>
      <c r="JP60" s="2"/>
      <c r="JQ60" s="2"/>
      <c r="JR60" s="2"/>
      <c r="JS60" s="2"/>
      <c r="JT60" s="2"/>
      <c r="JU60" s="2"/>
      <c r="JV60" s="2"/>
      <c r="JW60" s="2"/>
      <c r="JX60" s="2"/>
      <c r="JY60" s="2"/>
      <c r="JZ60" s="2"/>
      <c r="KA60" s="2"/>
      <c r="KB60" s="2"/>
      <c r="KC60" s="2"/>
      <c r="KD60" s="2"/>
      <c r="KE60" s="2"/>
      <c r="KF60" s="2"/>
      <c r="KG60" s="2"/>
      <c r="KH60" s="2"/>
      <c r="KI60" s="2"/>
      <c r="KJ60" s="2"/>
      <c r="KK60" s="2"/>
      <c r="KL60" s="2"/>
      <c r="KM60" s="2"/>
      <c r="KN60" s="2"/>
      <c r="KO60" s="2"/>
      <c r="KP60" s="2"/>
      <c r="KQ60" s="2"/>
      <c r="KR60" s="2"/>
      <c r="KS60" s="2"/>
      <c r="KT60" s="2"/>
      <c r="KU60" s="2"/>
      <c r="KV60" s="2"/>
      <c r="KW60" s="2"/>
      <c r="KX60" s="2"/>
      <c r="KY60" s="2"/>
      <c r="KZ60" s="2"/>
      <c r="LA60" s="2"/>
      <c r="LB60" s="2"/>
      <c r="LC60" s="2"/>
      <c r="LD60" s="2"/>
      <c r="LE60" s="2"/>
      <c r="LF60" s="2"/>
      <c r="LG60" s="2"/>
      <c r="LH60" s="2"/>
      <c r="LI60" s="2"/>
      <c r="LJ60" s="2"/>
      <c r="LK60" s="2"/>
      <c r="LL60" s="2"/>
      <c r="LM60" s="2"/>
      <c r="LN60" s="2"/>
      <c r="LO60" s="2"/>
      <c r="LP60" s="2"/>
      <c r="LQ60" s="2"/>
      <c r="LR60" s="2"/>
      <c r="LS60" s="2"/>
      <c r="LT60" s="2"/>
      <c r="LU60" s="2"/>
      <c r="LV60" s="2"/>
      <c r="LW60" s="2"/>
      <c r="LX60" s="2"/>
      <c r="LY60" s="2"/>
      <c r="LZ60" s="2"/>
      <c r="MA60" s="2"/>
      <c r="MB60" s="2"/>
      <c r="MC60" s="2"/>
      <c r="MD60" s="2"/>
      <c r="ME60" s="2"/>
      <c r="MF60" s="2"/>
      <c r="MG60" s="2"/>
      <c r="MH60" s="2"/>
      <c r="MI60" s="2"/>
      <c r="MJ60" s="2"/>
      <c r="MK60" s="2"/>
      <c r="ML60" s="2"/>
      <c r="MM60" s="2"/>
      <c r="MN60" s="2"/>
      <c r="MO60" s="2"/>
      <c r="MP60" s="2"/>
      <c r="MQ60" s="2"/>
      <c r="MR60" s="2"/>
      <c r="MS60" s="2"/>
      <c r="MT60" s="2"/>
      <c r="MU60" s="2"/>
      <c r="MV60" s="2"/>
      <c r="MW60" s="2"/>
      <c r="MX60" s="2"/>
      <c r="MY60" s="2"/>
      <c r="MZ60" s="2"/>
      <c r="NA60" s="2"/>
      <c r="NB60" s="2"/>
      <c r="NC60" s="2"/>
      <c r="ND60" s="2"/>
      <c r="NE60" s="2"/>
      <c r="NF60" s="2"/>
      <c r="NG60" s="2"/>
      <c r="NH60" s="2"/>
      <c r="NI60" s="2"/>
      <c r="NJ60" s="2"/>
      <c r="NK60" s="2"/>
      <c r="NL60" s="2"/>
      <c r="NM60" s="2"/>
      <c r="NN60" s="2"/>
      <c r="NO60" s="2"/>
      <c r="NP60" s="2"/>
      <c r="NQ60" s="2"/>
      <c r="NR60" s="2"/>
      <c r="NS60" s="2"/>
      <c r="NT60" s="2"/>
      <c r="NU60" s="2"/>
      <c r="NV60" s="2"/>
      <c r="NW60" s="2"/>
      <c r="NX60" s="2"/>
      <c r="NY60" s="2"/>
      <c r="NZ60" s="2"/>
      <c r="OA60" s="2"/>
      <c r="OB60" s="2"/>
      <c r="OC60" s="2"/>
      <c r="OD60" s="2"/>
      <c r="OE60" s="2"/>
      <c r="OF60" s="2"/>
      <c r="OG60" s="2"/>
      <c r="OH60" s="2"/>
      <c r="OI60" s="2"/>
      <c r="OJ60" s="2"/>
      <c r="OK60" s="2"/>
      <c r="OL60" s="2"/>
      <c r="OM60" s="2"/>
      <c r="ON60" s="2"/>
      <c r="OO60" s="2"/>
      <c r="OP60" s="2"/>
      <c r="OQ60" s="2"/>
      <c r="OR60" s="2"/>
      <c r="OS60" s="2"/>
      <c r="OT60" s="2"/>
      <c r="OU60" s="2"/>
      <c r="OV60" s="2"/>
      <c r="OW60" s="2"/>
      <c r="OX60" s="2"/>
      <c r="OY60" s="2"/>
      <c r="OZ60" s="2"/>
      <c r="PA60" s="2"/>
      <c r="PB60" s="2"/>
      <c r="PC60" s="2"/>
      <c r="PD60" s="2"/>
      <c r="PE60" s="2"/>
      <c r="PF60" s="2"/>
      <c r="PG60" s="2"/>
      <c r="PH60" s="2"/>
      <c r="PI60" s="2"/>
      <c r="PJ60" s="2"/>
      <c r="PK60" s="2"/>
      <c r="PL60" s="2"/>
      <c r="PM60" s="2"/>
      <c r="PN60" s="2"/>
      <c r="PO60" s="2"/>
      <c r="PP60" s="2"/>
      <c r="PQ60" s="2"/>
      <c r="PR60" s="2"/>
      <c r="PS60" s="2"/>
      <c r="PT60" s="2"/>
      <c r="PU60" s="2"/>
      <c r="PV60" s="2"/>
      <c r="PW60" s="2"/>
      <c r="PX60" s="2"/>
      <c r="PY60" s="2"/>
      <c r="PZ60" s="2"/>
      <c r="QA60" s="2"/>
      <c r="QB60" s="2"/>
      <c r="QC60" s="2"/>
      <c r="QD60" s="2"/>
      <c r="QE60" s="2"/>
      <c r="QF60" s="2"/>
      <c r="QG60" s="2"/>
      <c r="QH60" s="2"/>
      <c r="QI60" s="2"/>
      <c r="QJ60" s="2"/>
      <c r="QK60" s="2"/>
      <c r="QL60" s="2"/>
      <c r="QM60" s="2"/>
      <c r="QN60" s="2"/>
      <c r="QO60" s="2"/>
      <c r="QP60" s="2"/>
      <c r="QQ60" s="2"/>
      <c r="QR60" s="2"/>
      <c r="QS60" s="2"/>
      <c r="QT60" s="2"/>
      <c r="QU60" s="2"/>
      <c r="QV60" s="2"/>
      <c r="QW60" s="2"/>
      <c r="QX60" s="2"/>
      <c r="QY60" s="2"/>
      <c r="QZ60" s="2"/>
      <c r="RA60" s="2"/>
      <c r="RB60" s="2"/>
      <c r="RC60" s="2"/>
      <c r="RD60" s="2"/>
      <c r="RE60" s="2"/>
      <c r="RF60" s="2"/>
      <c r="RG60" s="2"/>
      <c r="RH60" s="2"/>
      <c r="RI60" s="2"/>
      <c r="RJ60" s="2"/>
      <c r="RK60" s="2"/>
      <c r="RL60" s="2"/>
      <c r="RM60" s="2"/>
      <c r="RN60" s="2"/>
      <c r="RO60" s="2"/>
      <c r="RP60" s="2"/>
      <c r="RQ60" s="2"/>
      <c r="RR60" s="2"/>
      <c r="RS60" s="2"/>
      <c r="RT60" s="2"/>
      <c r="RU60" s="2"/>
      <c r="RV60" s="2"/>
      <c r="RW60" s="2"/>
      <c r="RX60" s="2"/>
      <c r="RY60" s="2"/>
      <c r="RZ60" s="2"/>
      <c r="SA60" s="2"/>
      <c r="SB60" s="2"/>
      <c r="SC60" s="2"/>
      <c r="SD60" s="2"/>
      <c r="SE60" s="2"/>
      <c r="SF60" s="2"/>
      <c r="SG60" s="2"/>
      <c r="SH60" s="2"/>
      <c r="SI60" s="2"/>
      <c r="SJ60" s="2"/>
      <c r="SK60" s="2"/>
      <c r="SL60" s="2"/>
      <c r="SM60" s="2"/>
      <c r="SN60" s="2"/>
      <c r="SO60" s="2"/>
      <c r="SP60" s="2"/>
      <c r="SQ60" s="2"/>
      <c r="SR60" s="2"/>
      <c r="SS60" s="2"/>
      <c r="ST60" s="2"/>
      <c r="SU60" s="2"/>
      <c r="SV60" s="2"/>
      <c r="SW60" s="2"/>
      <c r="SX60" s="2"/>
    </row>
    <row r="61" spans="1:518" x14ac:dyDescent="0.25">
      <c r="A61" s="214"/>
      <c r="B61" s="69" t="s">
        <v>58</v>
      </c>
      <c r="C61" s="12">
        <f>VER_09_23!$AG$3</f>
        <v>0</v>
      </c>
      <c r="D61" s="12">
        <f>VER_09_23!$AG$4</f>
        <v>0</v>
      </c>
      <c r="E61" s="12">
        <f>VER_09_23!$AG$5</f>
        <v>0</v>
      </c>
      <c r="F61" s="12">
        <f>VER_09_23!$AG$6</f>
        <v>0</v>
      </c>
      <c r="G61" s="12">
        <f>VER_09_23!$AG$7</f>
        <v>0</v>
      </c>
      <c r="H61" s="12">
        <f>VER_09_23!$AG$8</f>
        <v>0</v>
      </c>
      <c r="I61" s="12">
        <f>VER_09_23!$AG$9</f>
        <v>0</v>
      </c>
      <c r="J61" s="12">
        <f>VER_09_23!$AG$10</f>
        <v>0</v>
      </c>
      <c r="K61" s="12">
        <f>VER_09_23!$AG$11</f>
        <v>0</v>
      </c>
      <c r="L61" s="12">
        <f>VER_09_23!$AG$12</f>
        <v>0</v>
      </c>
      <c r="M61" s="12">
        <f>VER_09_23!$AG$13</f>
        <v>0</v>
      </c>
      <c r="N61" s="12">
        <f>VER_09_23!$AG$14</f>
        <v>0</v>
      </c>
      <c r="O61" s="12">
        <f>VER_09_23!$AG$15</f>
        <v>0</v>
      </c>
      <c r="P61" s="12">
        <f>VER_09_23!$AG$16</f>
        <v>0</v>
      </c>
      <c r="Q61" s="12">
        <f>VER_09_23!$AG$17</f>
        <v>0</v>
      </c>
      <c r="R61" s="12">
        <f>VER_09_23!$AG$18</f>
        <v>0</v>
      </c>
      <c r="S61" s="12">
        <f>VER_09_23!$AG$19</f>
        <v>0</v>
      </c>
      <c r="T61" s="12">
        <f>VER_09_23!$AG$20</f>
        <v>0</v>
      </c>
      <c r="U61" s="12">
        <f>VER_09_23!$AG$21</f>
        <v>0</v>
      </c>
      <c r="V61" s="12">
        <f>VER_09_23!$AG$22</f>
        <v>0</v>
      </c>
      <c r="W61" s="12">
        <f>VER_09_23!$AG$23</f>
        <v>0</v>
      </c>
      <c r="X61" s="12">
        <f>VER_09_23!$AG$24</f>
        <v>0</v>
      </c>
      <c r="Y61" s="12">
        <f>VER_09_23!$AG$25</f>
        <v>0</v>
      </c>
      <c r="Z61" s="12">
        <f>VER_09_23!$AG$26</f>
        <v>0</v>
      </c>
      <c r="AA61" s="12">
        <f>VER_09_23!$AG$27</f>
        <v>0</v>
      </c>
      <c r="AB61" s="12">
        <f>VER_09_23!$AG$28</f>
        <v>0</v>
      </c>
      <c r="AC61" s="12">
        <f>VER_09_23!$AG$29</f>
        <v>0</v>
      </c>
      <c r="AD61" s="12">
        <f>VER_09_23!$AG$30</f>
        <v>0</v>
      </c>
      <c r="AE61" s="12">
        <f>VER_09_23!$AG$31</f>
        <v>0</v>
      </c>
      <c r="AF61" s="12">
        <f>VER_09_23!$AG$32</f>
        <v>0</v>
      </c>
      <c r="AG61" s="8">
        <f t="shared" si="51"/>
        <v>0</v>
      </c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  <c r="FK61" s="2"/>
      <c r="FL61" s="2"/>
      <c r="FM61" s="2"/>
      <c r="FN61" s="2"/>
      <c r="FO61" s="2"/>
      <c r="FP61" s="2"/>
      <c r="FQ61" s="2"/>
      <c r="FR61" s="2"/>
      <c r="FS61" s="2"/>
      <c r="FT61" s="2"/>
      <c r="FU61" s="2"/>
      <c r="FV61" s="2"/>
      <c r="FW61" s="2"/>
      <c r="FX61" s="2"/>
      <c r="FY61" s="2"/>
      <c r="FZ61" s="2"/>
      <c r="GA61" s="2"/>
      <c r="GB61" s="2"/>
      <c r="GC61" s="2"/>
      <c r="GD61" s="2"/>
      <c r="GE61" s="2"/>
      <c r="GF61" s="2"/>
      <c r="GG61" s="2"/>
      <c r="GH61" s="2"/>
      <c r="GI61" s="2"/>
      <c r="GJ61" s="2"/>
      <c r="GK61" s="2"/>
      <c r="GL61" s="2"/>
      <c r="GM61" s="2"/>
      <c r="GN61" s="2"/>
      <c r="GO61" s="2"/>
      <c r="GP61" s="2"/>
      <c r="GQ61" s="2"/>
      <c r="GR61" s="2"/>
      <c r="GS61" s="2"/>
      <c r="GT61" s="2"/>
      <c r="GU61" s="2"/>
      <c r="GV61" s="2"/>
      <c r="GW61" s="2"/>
      <c r="GX61" s="2"/>
      <c r="GY61" s="2"/>
      <c r="GZ61" s="2"/>
      <c r="HA61" s="2"/>
      <c r="HB61" s="2"/>
      <c r="HC61" s="2"/>
      <c r="HD61" s="2"/>
      <c r="HE61" s="2"/>
      <c r="HF61" s="2"/>
      <c r="HG61" s="2"/>
      <c r="HH61" s="2"/>
      <c r="HI61" s="2"/>
      <c r="HJ61" s="2"/>
      <c r="HK61" s="2"/>
      <c r="HL61" s="2"/>
      <c r="HM61" s="2"/>
      <c r="HN61" s="2"/>
      <c r="HO61" s="2"/>
      <c r="HP61" s="2"/>
      <c r="HQ61" s="2"/>
      <c r="HR61" s="2"/>
      <c r="HS61" s="2"/>
      <c r="HT61" s="2"/>
      <c r="HU61" s="2"/>
      <c r="HV61" s="2"/>
      <c r="HW61" s="2"/>
      <c r="HX61" s="2"/>
      <c r="HY61" s="2"/>
      <c r="HZ61" s="2"/>
      <c r="IA61" s="2"/>
      <c r="IB61" s="2"/>
      <c r="IC61" s="2"/>
      <c r="ID61" s="2"/>
      <c r="IE61" s="2"/>
      <c r="IF61" s="2"/>
      <c r="IG61" s="2"/>
      <c r="IH61" s="2"/>
      <c r="II61" s="2"/>
      <c r="IJ61" s="2"/>
      <c r="IK61" s="2"/>
      <c r="IL61" s="2"/>
      <c r="IM61" s="2"/>
      <c r="IN61" s="2"/>
      <c r="IO61" s="2"/>
      <c r="IP61" s="2"/>
      <c r="IQ61" s="2"/>
      <c r="IR61" s="2"/>
      <c r="IS61" s="2"/>
      <c r="IT61" s="2"/>
      <c r="IU61" s="2"/>
      <c r="IV61" s="2"/>
      <c r="IW61" s="2"/>
      <c r="IX61" s="2"/>
      <c r="IY61" s="2"/>
      <c r="IZ61" s="2"/>
      <c r="JA61" s="2"/>
      <c r="JB61" s="2"/>
      <c r="JC61" s="2"/>
      <c r="JD61" s="2"/>
      <c r="JE61" s="2"/>
      <c r="JF61" s="2"/>
      <c r="JG61" s="2"/>
      <c r="JH61" s="2"/>
      <c r="JI61" s="2"/>
      <c r="JJ61" s="2"/>
      <c r="JK61" s="2"/>
      <c r="JL61" s="2"/>
      <c r="JM61" s="2"/>
      <c r="JN61" s="2"/>
      <c r="JO61" s="2"/>
      <c r="JP61" s="2"/>
      <c r="JQ61" s="2"/>
      <c r="JR61" s="2"/>
      <c r="JS61" s="2"/>
      <c r="JT61" s="2"/>
      <c r="JU61" s="2"/>
      <c r="JV61" s="2"/>
      <c r="JW61" s="2"/>
      <c r="JX61" s="2"/>
      <c r="JY61" s="2"/>
      <c r="JZ61" s="2"/>
      <c r="KA61" s="2"/>
      <c r="KB61" s="2"/>
      <c r="KC61" s="2"/>
      <c r="KD61" s="2"/>
      <c r="KE61" s="2"/>
      <c r="KF61" s="2"/>
      <c r="KG61" s="2"/>
      <c r="KH61" s="2"/>
      <c r="KI61" s="2"/>
      <c r="KJ61" s="2"/>
      <c r="KK61" s="2"/>
      <c r="KL61" s="2"/>
      <c r="KM61" s="2"/>
      <c r="KN61" s="2"/>
      <c r="KO61" s="2"/>
      <c r="KP61" s="2"/>
      <c r="KQ61" s="2"/>
      <c r="KR61" s="2"/>
      <c r="KS61" s="2"/>
      <c r="KT61" s="2"/>
      <c r="KU61" s="2"/>
      <c r="KV61" s="2"/>
      <c r="KW61" s="2"/>
      <c r="KX61" s="2"/>
      <c r="KY61" s="2"/>
      <c r="KZ61" s="2"/>
      <c r="LA61" s="2"/>
      <c r="LB61" s="2"/>
      <c r="LC61" s="2"/>
      <c r="LD61" s="2"/>
      <c r="LE61" s="2"/>
      <c r="LF61" s="2"/>
      <c r="LG61" s="2"/>
      <c r="LH61" s="2"/>
      <c r="LI61" s="2"/>
      <c r="LJ61" s="2"/>
      <c r="LK61" s="2"/>
      <c r="LL61" s="2"/>
      <c r="LM61" s="2"/>
      <c r="LN61" s="2"/>
      <c r="LO61" s="2"/>
      <c r="LP61" s="2"/>
      <c r="LQ61" s="2"/>
      <c r="LR61" s="2"/>
      <c r="LS61" s="2"/>
      <c r="LT61" s="2"/>
      <c r="LU61" s="2"/>
      <c r="LV61" s="2"/>
      <c r="LW61" s="2"/>
      <c r="LX61" s="2"/>
      <c r="LY61" s="2"/>
      <c r="LZ61" s="2"/>
      <c r="MA61" s="2"/>
      <c r="MB61" s="2"/>
      <c r="MC61" s="2"/>
      <c r="MD61" s="2"/>
      <c r="ME61" s="2"/>
      <c r="MF61" s="2"/>
      <c r="MG61" s="2"/>
      <c r="MH61" s="2"/>
      <c r="MI61" s="2"/>
      <c r="MJ61" s="2"/>
      <c r="MK61" s="2"/>
      <c r="ML61" s="2"/>
      <c r="MM61" s="2"/>
      <c r="MN61" s="2"/>
      <c r="MO61" s="2"/>
      <c r="MP61" s="2"/>
      <c r="MQ61" s="2"/>
      <c r="MR61" s="2"/>
      <c r="MS61" s="2"/>
      <c r="MT61" s="2"/>
      <c r="MU61" s="2"/>
      <c r="MV61" s="2"/>
      <c r="MW61" s="2"/>
      <c r="MX61" s="2"/>
      <c r="MY61" s="2"/>
      <c r="MZ61" s="2"/>
      <c r="NA61" s="2"/>
      <c r="NB61" s="2"/>
      <c r="NC61" s="2"/>
      <c r="ND61" s="2"/>
      <c r="NE61" s="2"/>
      <c r="NF61" s="2"/>
      <c r="NG61" s="2"/>
      <c r="NH61" s="2"/>
      <c r="NI61" s="2"/>
      <c r="NJ61" s="2"/>
      <c r="NK61" s="2"/>
      <c r="NL61" s="2"/>
      <c r="NM61" s="2"/>
      <c r="NN61" s="2"/>
      <c r="NO61" s="2"/>
      <c r="NP61" s="2"/>
      <c r="NQ61" s="2"/>
      <c r="NR61" s="2"/>
      <c r="NS61" s="2"/>
      <c r="NT61" s="2"/>
      <c r="NU61" s="2"/>
      <c r="NV61" s="2"/>
      <c r="NW61" s="2"/>
      <c r="NX61" s="2"/>
      <c r="NY61" s="2"/>
      <c r="NZ61" s="2"/>
      <c r="OA61" s="2"/>
      <c r="OB61" s="2"/>
      <c r="OC61" s="2"/>
      <c r="OD61" s="2"/>
      <c r="OE61" s="2"/>
      <c r="OF61" s="2"/>
      <c r="OG61" s="2"/>
      <c r="OH61" s="2"/>
      <c r="OI61" s="2"/>
      <c r="OJ61" s="2"/>
      <c r="OK61" s="2"/>
      <c r="OL61" s="2"/>
      <c r="OM61" s="2"/>
      <c r="ON61" s="2"/>
      <c r="OO61" s="2"/>
      <c r="OP61" s="2"/>
      <c r="OQ61" s="2"/>
      <c r="OR61" s="2"/>
      <c r="OS61" s="2"/>
      <c r="OT61" s="2"/>
      <c r="OU61" s="2"/>
      <c r="OV61" s="2"/>
      <c r="OW61" s="2"/>
      <c r="OX61" s="2"/>
      <c r="OY61" s="2"/>
      <c r="OZ61" s="2"/>
      <c r="PA61" s="2"/>
      <c r="PB61" s="2"/>
      <c r="PC61" s="2"/>
      <c r="PD61" s="2"/>
      <c r="PE61" s="2"/>
      <c r="PF61" s="2"/>
      <c r="PG61" s="2"/>
      <c r="PH61" s="2"/>
      <c r="PI61" s="2"/>
      <c r="PJ61" s="2"/>
      <c r="PK61" s="2"/>
      <c r="PL61" s="2"/>
      <c r="PM61" s="2"/>
      <c r="PN61" s="2"/>
      <c r="PO61" s="2"/>
      <c r="PP61" s="2"/>
      <c r="PQ61" s="2"/>
      <c r="PR61" s="2"/>
      <c r="PS61" s="2"/>
      <c r="PT61" s="2"/>
      <c r="PU61" s="2"/>
      <c r="PV61" s="2"/>
      <c r="PW61" s="2"/>
      <c r="PX61" s="2"/>
      <c r="PY61" s="2"/>
      <c r="PZ61" s="2"/>
      <c r="QA61" s="2"/>
      <c r="QB61" s="2"/>
      <c r="QC61" s="2"/>
      <c r="QD61" s="2"/>
      <c r="QE61" s="2"/>
      <c r="QF61" s="2"/>
      <c r="QG61" s="2"/>
      <c r="QH61" s="2"/>
      <c r="QI61" s="2"/>
      <c r="QJ61" s="2"/>
      <c r="QK61" s="2"/>
      <c r="QL61" s="2"/>
      <c r="QM61" s="2"/>
      <c r="QN61" s="2"/>
      <c r="QO61" s="2"/>
      <c r="QP61" s="2"/>
      <c r="QQ61" s="2"/>
      <c r="QR61" s="2"/>
      <c r="QS61" s="2"/>
      <c r="QT61" s="2"/>
      <c r="QU61" s="2"/>
      <c r="QV61" s="2"/>
      <c r="QW61" s="2"/>
      <c r="QX61" s="2"/>
      <c r="QY61" s="2"/>
      <c r="QZ61" s="2"/>
      <c r="RA61" s="2"/>
      <c r="RB61" s="2"/>
      <c r="RC61" s="2"/>
      <c r="RD61" s="2"/>
      <c r="RE61" s="2"/>
      <c r="RF61" s="2"/>
      <c r="RG61" s="2"/>
      <c r="RH61" s="2"/>
      <c r="RI61" s="2"/>
      <c r="RJ61" s="2"/>
      <c r="RK61" s="2"/>
      <c r="RL61" s="2"/>
      <c r="RM61" s="2"/>
      <c r="RN61" s="2"/>
      <c r="RO61" s="2"/>
      <c r="RP61" s="2"/>
      <c r="RQ61" s="2"/>
      <c r="RR61" s="2"/>
      <c r="RS61" s="2"/>
      <c r="RT61" s="2"/>
      <c r="RU61" s="2"/>
      <c r="RV61" s="2"/>
      <c r="RW61" s="2"/>
      <c r="RX61" s="2"/>
      <c r="RY61" s="2"/>
      <c r="RZ61" s="2"/>
      <c r="SA61" s="2"/>
      <c r="SB61" s="2"/>
      <c r="SC61" s="2"/>
      <c r="SD61" s="2"/>
      <c r="SE61" s="2"/>
      <c r="SF61" s="2"/>
      <c r="SG61" s="2"/>
      <c r="SH61" s="2"/>
      <c r="SI61" s="2"/>
      <c r="SJ61" s="2"/>
      <c r="SK61" s="2"/>
      <c r="SL61" s="2"/>
      <c r="SM61" s="2"/>
      <c r="SN61" s="2"/>
      <c r="SO61" s="2"/>
      <c r="SP61" s="2"/>
      <c r="SQ61" s="2"/>
      <c r="SR61" s="2"/>
      <c r="SS61" s="2"/>
      <c r="ST61" s="2"/>
      <c r="SU61" s="2"/>
      <c r="SV61" s="2"/>
      <c r="SW61" s="2"/>
      <c r="SX61" s="2"/>
    </row>
    <row r="62" spans="1:518" x14ac:dyDescent="0.25">
      <c r="A62" s="214"/>
      <c r="B62" s="69" t="s">
        <v>59</v>
      </c>
      <c r="C62" s="12">
        <f>NEG_9_23!AG$3</f>
        <v>0</v>
      </c>
      <c r="D62" s="12">
        <f>NEG_9_23!AG$4</f>
        <v>0</v>
      </c>
      <c r="E62" s="12">
        <f>NEG_9_23!AG$5</f>
        <v>0</v>
      </c>
      <c r="F62" s="12">
        <f>NEG_9_23!AG$6</f>
        <v>0</v>
      </c>
      <c r="G62" s="12">
        <f>NEG_9_23!AG$7</f>
        <v>0</v>
      </c>
      <c r="H62" s="12">
        <f>NEG_9_23!AG$8</f>
        <v>0</v>
      </c>
      <c r="I62" s="12">
        <f>NEG_9_23!AG$9</f>
        <v>0</v>
      </c>
      <c r="J62" s="12">
        <f>NEG_9_23!AG$10</f>
        <v>0</v>
      </c>
      <c r="K62" s="12">
        <f>NEG_9_23!AG$11</f>
        <v>0</v>
      </c>
      <c r="L62" s="12">
        <f>NEG_9_23!AG$12</f>
        <v>0</v>
      </c>
      <c r="M62" s="12">
        <f>NEG_9_23!AG$13</f>
        <v>0</v>
      </c>
      <c r="N62" s="12">
        <f>NEG_9_23!AG$14</f>
        <v>0</v>
      </c>
      <c r="O62" s="12">
        <f>NEG_9_23!AG$15</f>
        <v>0</v>
      </c>
      <c r="P62" s="12">
        <f>NEG_9_23!AG$16</f>
        <v>0</v>
      </c>
      <c r="Q62" s="12">
        <f>NEG_9_23!AG$17</f>
        <v>0</v>
      </c>
      <c r="R62" s="12">
        <f>NEG_9_23!AG$18</f>
        <v>0</v>
      </c>
      <c r="S62" s="12">
        <f>NEG_9_23!AG$19</f>
        <v>0</v>
      </c>
      <c r="T62" s="12">
        <f>NEG_9_23!AG$20</f>
        <v>0</v>
      </c>
      <c r="U62" s="12">
        <f>NEG_9_23!AG$21</f>
        <v>0</v>
      </c>
      <c r="V62" s="12">
        <f>NEG_9_23!AG$22</f>
        <v>0</v>
      </c>
      <c r="W62" s="12">
        <f>NEG_9_23!AG$23</f>
        <v>0</v>
      </c>
      <c r="X62" s="12">
        <f>NEG_9_23!AG$24</f>
        <v>0</v>
      </c>
      <c r="Y62" s="12">
        <f>NEG_9_23!AG$25</f>
        <v>0</v>
      </c>
      <c r="Z62" s="12">
        <f>NEG_9_23!AG$26</f>
        <v>0</v>
      </c>
      <c r="AA62" s="12">
        <f>NEG_9_23!AG$27</f>
        <v>0</v>
      </c>
      <c r="AB62" s="12">
        <f>NEG_9_23!AG$28</f>
        <v>0</v>
      </c>
      <c r="AC62" s="12">
        <f>NEG_9_23!AG$29</f>
        <v>0</v>
      </c>
      <c r="AD62" s="12">
        <f>NEG_9_23!AG$30</f>
        <v>0</v>
      </c>
      <c r="AE62" s="12">
        <f>NEG_9_23!AG$31</f>
        <v>0</v>
      </c>
      <c r="AF62" s="12">
        <f>NEG_9_23!AG$32</f>
        <v>0</v>
      </c>
      <c r="AG62" s="8">
        <f t="shared" si="51"/>
        <v>0</v>
      </c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  <c r="FK62" s="2"/>
      <c r="FL62" s="2"/>
      <c r="FM62" s="2"/>
      <c r="FN62" s="2"/>
      <c r="FO62" s="2"/>
      <c r="FP62" s="2"/>
      <c r="FQ62" s="2"/>
      <c r="FR62" s="2"/>
      <c r="FS62" s="2"/>
      <c r="FT62" s="2"/>
      <c r="FU62" s="2"/>
      <c r="FV62" s="2"/>
      <c r="FW62" s="2"/>
      <c r="FX62" s="2"/>
      <c r="FY62" s="2"/>
      <c r="FZ62" s="2"/>
      <c r="GA62" s="2"/>
      <c r="GB62" s="2"/>
      <c r="GC62" s="2"/>
      <c r="GD62" s="2"/>
      <c r="GE62" s="2"/>
      <c r="GF62" s="2"/>
      <c r="GG62" s="2"/>
      <c r="GH62" s="2"/>
      <c r="GI62" s="2"/>
      <c r="GJ62" s="2"/>
      <c r="GK62" s="2"/>
      <c r="GL62" s="2"/>
      <c r="GM62" s="2"/>
      <c r="GN62" s="2"/>
      <c r="GO62" s="2"/>
      <c r="GP62" s="2"/>
      <c r="GQ62" s="2"/>
      <c r="GR62" s="2"/>
      <c r="GS62" s="2"/>
      <c r="GT62" s="2"/>
      <c r="GU62" s="2"/>
      <c r="GV62" s="2"/>
      <c r="GW62" s="2"/>
      <c r="GX62" s="2"/>
      <c r="GY62" s="2"/>
      <c r="GZ62" s="2"/>
      <c r="HA62" s="2"/>
      <c r="HB62" s="2"/>
      <c r="HC62" s="2"/>
      <c r="HD62" s="2"/>
      <c r="HE62" s="2"/>
      <c r="HF62" s="2"/>
      <c r="HG62" s="2"/>
      <c r="HH62" s="2"/>
      <c r="HI62" s="2"/>
      <c r="HJ62" s="2"/>
      <c r="HK62" s="2"/>
      <c r="HL62" s="2"/>
      <c r="HM62" s="2"/>
      <c r="HN62" s="2"/>
      <c r="HO62" s="2"/>
      <c r="HP62" s="2"/>
      <c r="HQ62" s="2"/>
      <c r="HR62" s="2"/>
      <c r="HS62" s="2"/>
      <c r="HT62" s="2"/>
      <c r="HU62" s="2"/>
      <c r="HV62" s="2"/>
      <c r="HW62" s="2"/>
      <c r="HX62" s="2"/>
      <c r="HY62" s="2"/>
      <c r="HZ62" s="2"/>
      <c r="IA62" s="2"/>
      <c r="IB62" s="2"/>
      <c r="IC62" s="2"/>
      <c r="ID62" s="2"/>
      <c r="IE62" s="2"/>
      <c r="IF62" s="2"/>
      <c r="IG62" s="2"/>
      <c r="IH62" s="2"/>
      <c r="II62" s="2"/>
      <c r="IJ62" s="2"/>
      <c r="IK62" s="2"/>
      <c r="IL62" s="2"/>
      <c r="IM62" s="2"/>
      <c r="IN62" s="2"/>
      <c r="IO62" s="2"/>
      <c r="IP62" s="2"/>
      <c r="IQ62" s="2"/>
      <c r="IR62" s="2"/>
      <c r="IS62" s="2"/>
      <c r="IT62" s="2"/>
      <c r="IU62" s="2"/>
      <c r="IV62" s="2"/>
      <c r="IW62" s="2"/>
      <c r="IX62" s="2"/>
      <c r="IY62" s="2"/>
      <c r="IZ62" s="2"/>
      <c r="JA62" s="2"/>
      <c r="JB62" s="2"/>
      <c r="JC62" s="2"/>
      <c r="JD62" s="2"/>
      <c r="JE62" s="2"/>
      <c r="JF62" s="2"/>
      <c r="JG62" s="2"/>
      <c r="JH62" s="2"/>
      <c r="JI62" s="2"/>
      <c r="JJ62" s="2"/>
      <c r="JK62" s="2"/>
      <c r="JL62" s="2"/>
      <c r="JM62" s="2"/>
      <c r="JN62" s="2"/>
      <c r="JO62" s="2"/>
      <c r="JP62" s="2"/>
      <c r="JQ62" s="2"/>
      <c r="JR62" s="2"/>
      <c r="JS62" s="2"/>
      <c r="JT62" s="2"/>
      <c r="JU62" s="2"/>
      <c r="JV62" s="2"/>
      <c r="JW62" s="2"/>
      <c r="JX62" s="2"/>
      <c r="JY62" s="2"/>
      <c r="JZ62" s="2"/>
      <c r="KA62" s="2"/>
      <c r="KB62" s="2"/>
      <c r="KC62" s="2"/>
      <c r="KD62" s="2"/>
      <c r="KE62" s="2"/>
      <c r="KF62" s="2"/>
      <c r="KG62" s="2"/>
      <c r="KH62" s="2"/>
      <c r="KI62" s="2"/>
      <c r="KJ62" s="2"/>
      <c r="KK62" s="2"/>
      <c r="KL62" s="2"/>
      <c r="KM62" s="2"/>
      <c r="KN62" s="2"/>
      <c r="KO62" s="2"/>
      <c r="KP62" s="2"/>
      <c r="KQ62" s="2"/>
      <c r="KR62" s="2"/>
      <c r="KS62" s="2"/>
      <c r="KT62" s="2"/>
      <c r="KU62" s="2"/>
      <c r="KV62" s="2"/>
      <c r="KW62" s="2"/>
      <c r="KX62" s="2"/>
      <c r="KY62" s="2"/>
      <c r="KZ62" s="2"/>
      <c r="LA62" s="2"/>
      <c r="LB62" s="2"/>
      <c r="LC62" s="2"/>
      <c r="LD62" s="2"/>
      <c r="LE62" s="2"/>
      <c r="LF62" s="2"/>
      <c r="LG62" s="2"/>
      <c r="LH62" s="2"/>
      <c r="LI62" s="2"/>
      <c r="LJ62" s="2"/>
      <c r="LK62" s="2"/>
      <c r="LL62" s="2"/>
      <c r="LM62" s="2"/>
      <c r="LN62" s="2"/>
      <c r="LO62" s="2"/>
      <c r="LP62" s="2"/>
      <c r="LQ62" s="2"/>
      <c r="LR62" s="2"/>
      <c r="LS62" s="2"/>
      <c r="LT62" s="2"/>
      <c r="LU62" s="2"/>
      <c r="LV62" s="2"/>
      <c r="LW62" s="2"/>
      <c r="LX62" s="2"/>
      <c r="LY62" s="2"/>
      <c r="LZ62" s="2"/>
      <c r="MA62" s="2"/>
      <c r="MB62" s="2"/>
      <c r="MC62" s="2"/>
      <c r="MD62" s="2"/>
      <c r="ME62" s="2"/>
      <c r="MF62" s="2"/>
      <c r="MG62" s="2"/>
      <c r="MH62" s="2"/>
      <c r="MI62" s="2"/>
      <c r="MJ62" s="2"/>
      <c r="MK62" s="2"/>
      <c r="ML62" s="2"/>
      <c r="MM62" s="2"/>
      <c r="MN62" s="2"/>
      <c r="MO62" s="2"/>
      <c r="MP62" s="2"/>
      <c r="MQ62" s="2"/>
      <c r="MR62" s="2"/>
      <c r="MS62" s="2"/>
      <c r="MT62" s="2"/>
      <c r="MU62" s="2"/>
      <c r="MV62" s="2"/>
      <c r="MW62" s="2"/>
      <c r="MX62" s="2"/>
      <c r="MY62" s="2"/>
      <c r="MZ62" s="2"/>
      <c r="NA62" s="2"/>
      <c r="NB62" s="2"/>
      <c r="NC62" s="2"/>
      <c r="ND62" s="2"/>
      <c r="NE62" s="2"/>
      <c r="NF62" s="2"/>
      <c r="NG62" s="2"/>
      <c r="NH62" s="2"/>
      <c r="NI62" s="2"/>
      <c r="NJ62" s="2"/>
      <c r="NK62" s="2"/>
      <c r="NL62" s="2"/>
      <c r="NM62" s="2"/>
      <c r="NN62" s="2"/>
      <c r="NO62" s="2"/>
      <c r="NP62" s="2"/>
      <c r="NQ62" s="2"/>
      <c r="NR62" s="2"/>
      <c r="NS62" s="2"/>
      <c r="NT62" s="2"/>
      <c r="NU62" s="2"/>
      <c r="NV62" s="2"/>
      <c r="NW62" s="2"/>
      <c r="NX62" s="2"/>
      <c r="NY62" s="2"/>
      <c r="NZ62" s="2"/>
      <c r="OA62" s="2"/>
      <c r="OB62" s="2"/>
      <c r="OC62" s="2"/>
      <c r="OD62" s="2"/>
      <c r="OE62" s="2"/>
      <c r="OF62" s="2"/>
      <c r="OG62" s="2"/>
      <c r="OH62" s="2"/>
      <c r="OI62" s="2"/>
      <c r="OJ62" s="2"/>
      <c r="OK62" s="2"/>
      <c r="OL62" s="2"/>
      <c r="OM62" s="2"/>
      <c r="ON62" s="2"/>
      <c r="OO62" s="2"/>
      <c r="OP62" s="2"/>
      <c r="OQ62" s="2"/>
      <c r="OR62" s="2"/>
      <c r="OS62" s="2"/>
      <c r="OT62" s="2"/>
      <c r="OU62" s="2"/>
      <c r="OV62" s="2"/>
      <c r="OW62" s="2"/>
      <c r="OX62" s="2"/>
      <c r="OY62" s="2"/>
      <c r="OZ62" s="2"/>
      <c r="PA62" s="2"/>
      <c r="PB62" s="2"/>
      <c r="PC62" s="2"/>
      <c r="PD62" s="2"/>
      <c r="PE62" s="2"/>
      <c r="PF62" s="2"/>
      <c r="PG62" s="2"/>
      <c r="PH62" s="2"/>
      <c r="PI62" s="2"/>
      <c r="PJ62" s="2"/>
      <c r="PK62" s="2"/>
      <c r="PL62" s="2"/>
      <c r="PM62" s="2"/>
      <c r="PN62" s="2"/>
      <c r="PO62" s="2"/>
      <c r="PP62" s="2"/>
      <c r="PQ62" s="2"/>
      <c r="PR62" s="2"/>
      <c r="PS62" s="2"/>
      <c r="PT62" s="2"/>
      <c r="PU62" s="2"/>
      <c r="PV62" s="2"/>
      <c r="PW62" s="2"/>
      <c r="PX62" s="2"/>
      <c r="PY62" s="2"/>
      <c r="PZ62" s="2"/>
      <c r="QA62" s="2"/>
      <c r="QB62" s="2"/>
      <c r="QC62" s="2"/>
      <c r="QD62" s="2"/>
      <c r="QE62" s="2"/>
      <c r="QF62" s="2"/>
      <c r="QG62" s="2"/>
      <c r="QH62" s="2"/>
      <c r="QI62" s="2"/>
      <c r="QJ62" s="2"/>
      <c r="QK62" s="2"/>
      <c r="QL62" s="2"/>
      <c r="QM62" s="2"/>
      <c r="QN62" s="2"/>
      <c r="QO62" s="2"/>
      <c r="QP62" s="2"/>
      <c r="QQ62" s="2"/>
      <c r="QR62" s="2"/>
      <c r="QS62" s="2"/>
      <c r="QT62" s="2"/>
      <c r="QU62" s="2"/>
      <c r="QV62" s="2"/>
      <c r="QW62" s="2"/>
      <c r="QX62" s="2"/>
      <c r="QY62" s="2"/>
      <c r="QZ62" s="2"/>
      <c r="RA62" s="2"/>
      <c r="RB62" s="2"/>
      <c r="RC62" s="2"/>
      <c r="RD62" s="2"/>
      <c r="RE62" s="2"/>
      <c r="RF62" s="2"/>
      <c r="RG62" s="2"/>
      <c r="RH62" s="2"/>
      <c r="RI62" s="2"/>
      <c r="RJ62" s="2"/>
      <c r="RK62" s="2"/>
      <c r="RL62" s="2"/>
      <c r="RM62" s="2"/>
      <c r="RN62" s="2"/>
      <c r="RO62" s="2"/>
      <c r="RP62" s="2"/>
      <c r="RQ62" s="2"/>
      <c r="RR62" s="2"/>
      <c r="RS62" s="2"/>
      <c r="RT62" s="2"/>
      <c r="RU62" s="2"/>
      <c r="RV62" s="2"/>
      <c r="RW62" s="2"/>
      <c r="RX62" s="2"/>
      <c r="RY62" s="2"/>
      <c r="RZ62" s="2"/>
      <c r="SA62" s="2"/>
      <c r="SB62" s="2"/>
      <c r="SC62" s="2"/>
      <c r="SD62" s="2"/>
      <c r="SE62" s="2"/>
      <c r="SF62" s="2"/>
      <c r="SG62" s="2"/>
      <c r="SH62" s="2"/>
      <c r="SI62" s="2"/>
      <c r="SJ62" s="2"/>
      <c r="SK62" s="2"/>
      <c r="SL62" s="2"/>
      <c r="SM62" s="2"/>
      <c r="SN62" s="2"/>
      <c r="SO62" s="2"/>
      <c r="SP62" s="2"/>
      <c r="SQ62" s="2"/>
      <c r="SR62" s="2"/>
      <c r="SS62" s="2"/>
      <c r="ST62" s="2"/>
      <c r="SU62" s="2"/>
      <c r="SV62" s="2"/>
      <c r="SW62" s="2"/>
      <c r="SX62" s="2"/>
    </row>
    <row r="63" spans="1:518" x14ac:dyDescent="0.25">
      <c r="A63" s="214"/>
      <c r="B63" s="69" t="s">
        <v>60</v>
      </c>
      <c r="C63" s="12"/>
      <c r="D63" s="3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9"/>
      <c r="Z63" s="9"/>
      <c r="AA63" s="9"/>
      <c r="AB63" s="9"/>
      <c r="AC63" s="9"/>
      <c r="AD63" s="9"/>
      <c r="AE63" s="9"/>
      <c r="AF63" s="9"/>
      <c r="AG63" s="8">
        <f t="shared" si="51"/>
        <v>0</v>
      </c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  <c r="FK63" s="2"/>
      <c r="FL63" s="2"/>
      <c r="FM63" s="2"/>
      <c r="FN63" s="2"/>
      <c r="FO63" s="2"/>
      <c r="FP63" s="2"/>
      <c r="FQ63" s="2"/>
      <c r="FR63" s="2"/>
      <c r="FS63" s="2"/>
      <c r="FT63" s="2"/>
      <c r="FU63" s="2"/>
      <c r="FV63" s="2"/>
      <c r="FW63" s="2"/>
      <c r="FX63" s="2"/>
      <c r="FY63" s="2"/>
      <c r="FZ63" s="2"/>
      <c r="GA63" s="2"/>
      <c r="GB63" s="2"/>
      <c r="GC63" s="2"/>
      <c r="GD63" s="2"/>
      <c r="GE63" s="2"/>
      <c r="GF63" s="2"/>
      <c r="GG63" s="2"/>
      <c r="GH63" s="2"/>
      <c r="GI63" s="2"/>
      <c r="GJ63" s="2"/>
      <c r="GK63" s="2"/>
      <c r="GL63" s="2"/>
      <c r="GM63" s="2"/>
      <c r="GN63" s="2"/>
      <c r="GO63" s="2"/>
      <c r="GP63" s="2"/>
      <c r="GQ63" s="2"/>
      <c r="GR63" s="2"/>
      <c r="GS63" s="2"/>
      <c r="GT63" s="2"/>
      <c r="GU63" s="2"/>
      <c r="GV63" s="2"/>
      <c r="GW63" s="2"/>
      <c r="GX63" s="2"/>
      <c r="GY63" s="2"/>
      <c r="GZ63" s="2"/>
      <c r="HA63" s="2"/>
      <c r="HB63" s="2"/>
      <c r="HC63" s="2"/>
      <c r="HD63" s="2"/>
      <c r="HE63" s="2"/>
      <c r="HF63" s="2"/>
      <c r="HG63" s="2"/>
      <c r="HH63" s="2"/>
      <c r="HI63" s="2"/>
      <c r="HJ63" s="2"/>
      <c r="HK63" s="2"/>
      <c r="HL63" s="2"/>
      <c r="HM63" s="2"/>
      <c r="HN63" s="2"/>
      <c r="HO63" s="2"/>
      <c r="HP63" s="2"/>
      <c r="HQ63" s="2"/>
      <c r="HR63" s="2"/>
      <c r="HS63" s="2"/>
      <c r="HT63" s="2"/>
      <c r="HU63" s="2"/>
      <c r="HV63" s="2"/>
      <c r="HW63" s="2"/>
      <c r="HX63" s="2"/>
      <c r="HY63" s="2"/>
      <c r="HZ63" s="2"/>
      <c r="IA63" s="2"/>
      <c r="IB63" s="2"/>
      <c r="IC63" s="2"/>
      <c r="ID63" s="2"/>
      <c r="IE63" s="2"/>
      <c r="IF63" s="2"/>
      <c r="IG63" s="2"/>
      <c r="IH63" s="2"/>
      <c r="II63" s="2"/>
      <c r="IJ63" s="2"/>
      <c r="IK63" s="2"/>
      <c r="IL63" s="2"/>
      <c r="IM63" s="2"/>
      <c r="IN63" s="2"/>
      <c r="IO63" s="2"/>
      <c r="IP63" s="2"/>
      <c r="IQ63" s="2"/>
      <c r="IR63" s="2"/>
      <c r="IS63" s="2"/>
      <c r="IT63" s="2"/>
      <c r="IU63" s="2"/>
      <c r="IV63" s="2"/>
      <c r="IW63" s="2"/>
      <c r="IX63" s="2"/>
      <c r="IY63" s="2"/>
      <c r="IZ63" s="2"/>
      <c r="JA63" s="2"/>
      <c r="JB63" s="2"/>
      <c r="JC63" s="2"/>
      <c r="JD63" s="2"/>
      <c r="JE63" s="2"/>
      <c r="JF63" s="2"/>
      <c r="JG63" s="2"/>
      <c r="JH63" s="2"/>
      <c r="JI63" s="2"/>
      <c r="JJ63" s="2"/>
      <c r="JK63" s="2"/>
      <c r="JL63" s="2"/>
      <c r="JM63" s="2"/>
      <c r="JN63" s="2"/>
      <c r="JO63" s="2"/>
      <c r="JP63" s="2"/>
      <c r="JQ63" s="2"/>
      <c r="JR63" s="2"/>
      <c r="JS63" s="2"/>
      <c r="JT63" s="2"/>
      <c r="JU63" s="2"/>
      <c r="JV63" s="2"/>
      <c r="JW63" s="2"/>
      <c r="JX63" s="2"/>
      <c r="JY63" s="2"/>
      <c r="JZ63" s="2"/>
      <c r="KA63" s="2"/>
      <c r="KB63" s="2"/>
      <c r="KC63" s="2"/>
      <c r="KD63" s="2"/>
      <c r="KE63" s="2"/>
      <c r="KF63" s="2"/>
      <c r="KG63" s="2"/>
      <c r="KH63" s="2"/>
      <c r="KI63" s="2"/>
      <c r="KJ63" s="2"/>
      <c r="KK63" s="2"/>
      <c r="KL63" s="2"/>
      <c r="KM63" s="2"/>
      <c r="KN63" s="2"/>
      <c r="KO63" s="2"/>
      <c r="KP63" s="2"/>
      <c r="KQ63" s="2"/>
      <c r="KR63" s="2"/>
      <c r="KS63" s="2"/>
      <c r="KT63" s="2"/>
      <c r="KU63" s="2"/>
      <c r="KV63" s="2"/>
      <c r="KW63" s="2"/>
      <c r="KX63" s="2"/>
      <c r="KY63" s="2"/>
      <c r="KZ63" s="2"/>
      <c r="LA63" s="2"/>
      <c r="LB63" s="2"/>
      <c r="LC63" s="2"/>
      <c r="LD63" s="2"/>
      <c r="LE63" s="2"/>
      <c r="LF63" s="2"/>
      <c r="LG63" s="2"/>
      <c r="LH63" s="2"/>
      <c r="LI63" s="2"/>
      <c r="LJ63" s="2"/>
      <c r="LK63" s="2"/>
      <c r="LL63" s="2"/>
      <c r="LM63" s="2"/>
      <c r="LN63" s="2"/>
      <c r="LO63" s="2"/>
      <c r="LP63" s="2"/>
      <c r="LQ63" s="2"/>
      <c r="LR63" s="2"/>
      <c r="LS63" s="2"/>
      <c r="LT63" s="2"/>
      <c r="LU63" s="2"/>
      <c r="LV63" s="2"/>
      <c r="LW63" s="2"/>
      <c r="LX63" s="2"/>
      <c r="LY63" s="2"/>
      <c r="LZ63" s="2"/>
      <c r="MA63" s="2"/>
      <c r="MB63" s="2"/>
      <c r="MC63" s="2"/>
      <c r="MD63" s="2"/>
      <c r="ME63" s="2"/>
      <c r="MF63" s="2"/>
      <c r="MG63" s="2"/>
      <c r="MH63" s="2"/>
      <c r="MI63" s="2"/>
      <c r="MJ63" s="2"/>
      <c r="MK63" s="2"/>
      <c r="ML63" s="2"/>
      <c r="MM63" s="2"/>
      <c r="MN63" s="2"/>
      <c r="MO63" s="2"/>
      <c r="MP63" s="2"/>
      <c r="MQ63" s="2"/>
      <c r="MR63" s="2"/>
      <c r="MS63" s="2"/>
      <c r="MT63" s="2"/>
      <c r="MU63" s="2"/>
      <c r="MV63" s="2"/>
      <c r="MW63" s="2"/>
      <c r="MX63" s="2"/>
      <c r="MY63" s="2"/>
      <c r="MZ63" s="2"/>
      <c r="NA63" s="2"/>
      <c r="NB63" s="2"/>
      <c r="NC63" s="2"/>
      <c r="ND63" s="2"/>
      <c r="NE63" s="2"/>
      <c r="NF63" s="2"/>
      <c r="NG63" s="2"/>
      <c r="NH63" s="2"/>
      <c r="NI63" s="2"/>
      <c r="NJ63" s="2"/>
      <c r="NK63" s="2"/>
      <c r="NL63" s="2"/>
      <c r="NM63" s="2"/>
      <c r="NN63" s="2"/>
      <c r="NO63" s="2"/>
      <c r="NP63" s="2"/>
      <c r="NQ63" s="2"/>
      <c r="NR63" s="2"/>
      <c r="NS63" s="2"/>
      <c r="NT63" s="2"/>
      <c r="NU63" s="2"/>
      <c r="NV63" s="2"/>
      <c r="NW63" s="2"/>
      <c r="NX63" s="2"/>
      <c r="NY63" s="2"/>
      <c r="NZ63" s="2"/>
      <c r="OA63" s="2"/>
      <c r="OB63" s="2"/>
      <c r="OC63" s="2"/>
      <c r="OD63" s="2"/>
      <c r="OE63" s="2"/>
      <c r="OF63" s="2"/>
      <c r="OG63" s="2"/>
      <c r="OH63" s="2"/>
      <c r="OI63" s="2"/>
      <c r="OJ63" s="2"/>
      <c r="OK63" s="2"/>
      <c r="OL63" s="2"/>
      <c r="OM63" s="2"/>
      <c r="ON63" s="2"/>
      <c r="OO63" s="2"/>
      <c r="OP63" s="2"/>
      <c r="OQ63" s="2"/>
      <c r="OR63" s="2"/>
      <c r="OS63" s="2"/>
      <c r="OT63" s="2"/>
      <c r="OU63" s="2"/>
      <c r="OV63" s="2"/>
      <c r="OW63" s="2"/>
      <c r="OX63" s="2"/>
      <c r="OY63" s="2"/>
      <c r="OZ63" s="2"/>
      <c r="PA63" s="2"/>
      <c r="PB63" s="2"/>
      <c r="PC63" s="2"/>
      <c r="PD63" s="2"/>
      <c r="PE63" s="2"/>
      <c r="PF63" s="2"/>
      <c r="PG63" s="2"/>
      <c r="PH63" s="2"/>
      <c r="PI63" s="2"/>
      <c r="PJ63" s="2"/>
      <c r="PK63" s="2"/>
      <c r="PL63" s="2"/>
      <c r="PM63" s="2"/>
      <c r="PN63" s="2"/>
      <c r="PO63" s="2"/>
      <c r="PP63" s="2"/>
      <c r="PQ63" s="2"/>
      <c r="PR63" s="2"/>
      <c r="PS63" s="2"/>
      <c r="PT63" s="2"/>
      <c r="PU63" s="2"/>
      <c r="PV63" s="2"/>
      <c r="PW63" s="2"/>
      <c r="PX63" s="2"/>
      <c r="PY63" s="2"/>
      <c r="PZ63" s="2"/>
      <c r="QA63" s="2"/>
      <c r="QB63" s="2"/>
      <c r="QC63" s="2"/>
      <c r="QD63" s="2"/>
      <c r="QE63" s="2"/>
      <c r="QF63" s="2"/>
      <c r="QG63" s="2"/>
      <c r="QH63" s="2"/>
      <c r="QI63" s="2"/>
      <c r="QJ63" s="2"/>
      <c r="QK63" s="2"/>
      <c r="QL63" s="2"/>
      <c r="QM63" s="2"/>
      <c r="QN63" s="2"/>
      <c r="QO63" s="2"/>
      <c r="QP63" s="2"/>
      <c r="QQ63" s="2"/>
      <c r="QR63" s="2"/>
      <c r="QS63" s="2"/>
      <c r="QT63" s="2"/>
      <c r="QU63" s="2"/>
      <c r="QV63" s="2"/>
      <c r="QW63" s="2"/>
      <c r="QX63" s="2"/>
      <c r="QY63" s="2"/>
      <c r="QZ63" s="2"/>
      <c r="RA63" s="2"/>
      <c r="RB63" s="2"/>
      <c r="RC63" s="2"/>
      <c r="RD63" s="2"/>
      <c r="RE63" s="2"/>
      <c r="RF63" s="2"/>
      <c r="RG63" s="2"/>
      <c r="RH63" s="2"/>
      <c r="RI63" s="2"/>
      <c r="RJ63" s="2"/>
      <c r="RK63" s="2"/>
      <c r="RL63" s="2"/>
      <c r="RM63" s="2"/>
      <c r="RN63" s="2"/>
      <c r="RO63" s="2"/>
      <c r="RP63" s="2"/>
      <c r="RQ63" s="2"/>
      <c r="RR63" s="2"/>
      <c r="RS63" s="2"/>
      <c r="RT63" s="2"/>
      <c r="RU63" s="2"/>
      <c r="RV63" s="2"/>
      <c r="RW63" s="2"/>
      <c r="RX63" s="2"/>
      <c r="RY63" s="2"/>
      <c r="RZ63" s="2"/>
      <c r="SA63" s="2"/>
      <c r="SB63" s="2"/>
      <c r="SC63" s="2"/>
      <c r="SD63" s="2"/>
      <c r="SE63" s="2"/>
      <c r="SF63" s="2"/>
      <c r="SG63" s="2"/>
      <c r="SH63" s="2"/>
      <c r="SI63" s="2"/>
      <c r="SJ63" s="2"/>
      <c r="SK63" s="2"/>
      <c r="SL63" s="2"/>
      <c r="SM63" s="2"/>
      <c r="SN63" s="2"/>
      <c r="SO63" s="2"/>
      <c r="SP63" s="2"/>
      <c r="SQ63" s="2"/>
      <c r="SR63" s="2"/>
      <c r="SS63" s="2"/>
      <c r="ST63" s="2"/>
      <c r="SU63" s="2"/>
      <c r="SV63" s="2"/>
      <c r="SW63" s="2"/>
      <c r="SX63" s="2"/>
    </row>
    <row r="64" spans="1:518" s="4" customFormat="1" x14ac:dyDescent="0.25">
      <c r="A64" s="207" t="s">
        <v>97</v>
      </c>
      <c r="B64" s="208"/>
      <c r="C64" s="64">
        <f>SUM(C58:C63)</f>
        <v>0</v>
      </c>
      <c r="D64" s="8">
        <f>SUM(D58:D63)</f>
        <v>0</v>
      </c>
      <c r="E64" s="8">
        <f t="shared" ref="E64:AF64" si="53">SUM(E58:E63)</f>
        <v>0</v>
      </c>
      <c r="F64" s="8">
        <f t="shared" si="53"/>
        <v>0</v>
      </c>
      <c r="G64" s="8">
        <f t="shared" si="53"/>
        <v>0</v>
      </c>
      <c r="H64" s="8">
        <f t="shared" si="53"/>
        <v>0</v>
      </c>
      <c r="I64" s="8">
        <f t="shared" si="53"/>
        <v>0</v>
      </c>
      <c r="J64" s="8">
        <f t="shared" si="53"/>
        <v>0</v>
      </c>
      <c r="K64" s="8">
        <f t="shared" si="53"/>
        <v>0</v>
      </c>
      <c r="L64" s="8">
        <f t="shared" si="53"/>
        <v>0</v>
      </c>
      <c r="M64" s="8">
        <f t="shared" si="53"/>
        <v>0</v>
      </c>
      <c r="N64" s="8">
        <f t="shared" si="53"/>
        <v>0</v>
      </c>
      <c r="O64" s="8">
        <f t="shared" si="53"/>
        <v>0</v>
      </c>
      <c r="P64" s="8">
        <f t="shared" si="53"/>
        <v>0</v>
      </c>
      <c r="Q64" s="8">
        <f t="shared" si="53"/>
        <v>0</v>
      </c>
      <c r="R64" s="8">
        <f t="shared" si="53"/>
        <v>0</v>
      </c>
      <c r="S64" s="8">
        <f t="shared" si="53"/>
        <v>0</v>
      </c>
      <c r="T64" s="8">
        <f t="shared" si="53"/>
        <v>0</v>
      </c>
      <c r="U64" s="8">
        <f t="shared" si="53"/>
        <v>0</v>
      </c>
      <c r="V64" s="8">
        <f t="shared" si="53"/>
        <v>0</v>
      </c>
      <c r="W64" s="8">
        <f t="shared" si="53"/>
        <v>0</v>
      </c>
      <c r="X64" s="8">
        <f t="shared" si="53"/>
        <v>0</v>
      </c>
      <c r="Y64" s="8">
        <f t="shared" si="53"/>
        <v>0</v>
      </c>
      <c r="Z64" s="8">
        <f t="shared" si="53"/>
        <v>0</v>
      </c>
      <c r="AA64" s="8">
        <f t="shared" si="53"/>
        <v>0</v>
      </c>
      <c r="AB64" s="8">
        <f t="shared" si="53"/>
        <v>0</v>
      </c>
      <c r="AC64" s="8">
        <f t="shared" si="53"/>
        <v>0</v>
      </c>
      <c r="AD64" s="8">
        <f t="shared" si="53"/>
        <v>0</v>
      </c>
      <c r="AE64" s="8">
        <f t="shared" si="53"/>
        <v>0</v>
      </c>
      <c r="AF64" s="8">
        <f t="shared" si="53"/>
        <v>0</v>
      </c>
      <c r="AG64" s="8">
        <f t="shared" si="51"/>
        <v>0</v>
      </c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  <c r="FK64" s="2"/>
      <c r="FL64" s="2"/>
      <c r="FM64" s="2"/>
      <c r="FN64" s="2"/>
      <c r="FO64" s="2"/>
      <c r="FP64" s="2"/>
      <c r="FQ64" s="2"/>
      <c r="FR64" s="2"/>
      <c r="FS64" s="2"/>
      <c r="FT64" s="2"/>
      <c r="FU64" s="2"/>
      <c r="FV64" s="2"/>
      <c r="FW64" s="2"/>
      <c r="FX64" s="2"/>
      <c r="FY64" s="2"/>
      <c r="FZ64" s="2"/>
      <c r="GA64" s="2"/>
      <c r="GB64" s="2"/>
      <c r="GC64" s="2"/>
      <c r="GD64" s="2"/>
      <c r="GE64" s="2"/>
      <c r="GF64" s="2"/>
      <c r="GG64" s="2"/>
      <c r="GH64" s="2"/>
      <c r="GI64" s="2"/>
      <c r="GJ64" s="2"/>
      <c r="GK64" s="2"/>
      <c r="GL64" s="2"/>
      <c r="GM64" s="2"/>
      <c r="GN64" s="2"/>
      <c r="GO64" s="2"/>
      <c r="GP64" s="2"/>
      <c r="GQ64" s="2"/>
      <c r="GR64" s="2"/>
      <c r="GS64" s="2"/>
      <c r="GT64" s="2"/>
      <c r="GU64" s="2"/>
      <c r="GV64" s="2"/>
      <c r="GW64" s="2"/>
      <c r="GX64" s="2"/>
      <c r="GY64" s="2"/>
      <c r="GZ64" s="2"/>
      <c r="HA64" s="2"/>
      <c r="HB64" s="2"/>
      <c r="HC64" s="2"/>
      <c r="HD64" s="2"/>
      <c r="HE64" s="2"/>
      <c r="HF64" s="2"/>
      <c r="HG64" s="2"/>
      <c r="HH64" s="2"/>
      <c r="HI64" s="2"/>
      <c r="HJ64" s="2"/>
      <c r="HK64" s="2"/>
      <c r="HL64" s="2"/>
      <c r="HM64" s="2"/>
      <c r="HN64" s="2"/>
      <c r="HO64" s="2"/>
      <c r="HP64" s="2"/>
      <c r="HQ64" s="2"/>
      <c r="HR64" s="2"/>
      <c r="HS64" s="2"/>
      <c r="HT64" s="2"/>
      <c r="HU64" s="2"/>
      <c r="HV64" s="2"/>
      <c r="HW64" s="2"/>
      <c r="HX64" s="2"/>
      <c r="HY64" s="2"/>
      <c r="HZ64" s="2"/>
      <c r="IA64" s="2"/>
      <c r="IB64" s="2"/>
      <c r="IC64" s="2"/>
      <c r="ID64" s="2"/>
      <c r="IE64" s="2"/>
      <c r="IF64" s="2"/>
      <c r="IG64" s="2"/>
      <c r="IH64" s="2"/>
      <c r="II64" s="2"/>
      <c r="IJ64" s="2"/>
      <c r="IK64" s="2"/>
      <c r="IL64" s="2"/>
      <c r="IM64" s="2"/>
      <c r="IN64" s="2"/>
      <c r="IO64" s="2"/>
      <c r="IP64" s="2"/>
      <c r="IQ64" s="2"/>
      <c r="IR64" s="2"/>
      <c r="IS64" s="2"/>
      <c r="IT64" s="2"/>
      <c r="IU64" s="2"/>
      <c r="IV64" s="2"/>
      <c r="IW64" s="2"/>
      <c r="IX64" s="2"/>
      <c r="IY64" s="2"/>
      <c r="IZ64" s="2"/>
      <c r="JA64" s="2"/>
      <c r="JB64" s="2"/>
      <c r="JC64" s="2"/>
      <c r="JD64" s="2"/>
      <c r="JE64" s="2"/>
      <c r="JF64" s="2"/>
      <c r="JG64" s="2"/>
      <c r="JH64" s="2"/>
      <c r="JI64" s="2"/>
      <c r="JJ64" s="2"/>
      <c r="JK64" s="2"/>
      <c r="JL64" s="2"/>
      <c r="JM64" s="2"/>
      <c r="JN64" s="2"/>
      <c r="JO64" s="2"/>
      <c r="JP64" s="2"/>
      <c r="JQ64" s="2"/>
      <c r="JR64" s="2"/>
      <c r="JS64" s="2"/>
      <c r="JT64" s="2"/>
      <c r="JU64" s="2"/>
      <c r="JV64" s="2"/>
      <c r="JW64" s="2"/>
      <c r="JX64" s="2"/>
      <c r="JY64" s="2"/>
      <c r="JZ64" s="2"/>
      <c r="KA64" s="2"/>
      <c r="KB64" s="2"/>
      <c r="KC64" s="2"/>
      <c r="KD64" s="2"/>
      <c r="KE64" s="2"/>
      <c r="KF64" s="2"/>
      <c r="KG64" s="2"/>
      <c r="KH64" s="2"/>
      <c r="KI64" s="2"/>
      <c r="KJ64" s="2"/>
      <c r="KK64" s="2"/>
      <c r="KL64" s="2"/>
      <c r="KM64" s="2"/>
      <c r="KN64" s="2"/>
      <c r="KO64" s="2"/>
      <c r="KP64" s="2"/>
      <c r="KQ64" s="2"/>
      <c r="KR64" s="2"/>
      <c r="KS64" s="2"/>
      <c r="KT64" s="2"/>
      <c r="KU64" s="2"/>
      <c r="KV64" s="2"/>
      <c r="KW64" s="2"/>
      <c r="KX64" s="2"/>
      <c r="KY64" s="2"/>
      <c r="KZ64" s="2"/>
      <c r="LA64" s="2"/>
      <c r="LB64" s="2"/>
      <c r="LC64" s="2"/>
      <c r="LD64" s="2"/>
      <c r="LE64" s="2"/>
      <c r="LF64" s="2"/>
      <c r="LG64" s="2"/>
      <c r="LH64" s="2"/>
      <c r="LI64" s="2"/>
      <c r="LJ64" s="2"/>
      <c r="LK64" s="2"/>
      <c r="LL64" s="2"/>
      <c r="LM64" s="2"/>
      <c r="LN64" s="2"/>
      <c r="LO64" s="2"/>
      <c r="LP64" s="2"/>
      <c r="LQ64" s="2"/>
      <c r="LR64" s="2"/>
      <c r="LS64" s="2"/>
      <c r="LT64" s="2"/>
      <c r="LU64" s="2"/>
      <c r="LV64" s="2"/>
      <c r="LW64" s="2"/>
      <c r="LX64" s="2"/>
      <c r="LY64" s="2"/>
      <c r="LZ64" s="2"/>
      <c r="MA64" s="2"/>
      <c r="MB64" s="2"/>
      <c r="MC64" s="2"/>
      <c r="MD64" s="2"/>
      <c r="ME64" s="2"/>
      <c r="MF64" s="2"/>
      <c r="MG64" s="2"/>
      <c r="MH64" s="2"/>
      <c r="MI64" s="2"/>
      <c r="MJ64" s="2"/>
      <c r="MK64" s="2"/>
      <c r="ML64" s="2"/>
      <c r="MM64" s="2"/>
      <c r="MN64" s="2"/>
      <c r="MO64" s="2"/>
      <c r="MP64" s="2"/>
      <c r="MQ64" s="2"/>
      <c r="MR64" s="2"/>
      <c r="MS64" s="2"/>
      <c r="MT64" s="2"/>
      <c r="MU64" s="2"/>
      <c r="MV64" s="2"/>
      <c r="MW64" s="2"/>
      <c r="MX64" s="2"/>
      <c r="MY64" s="2"/>
      <c r="MZ64" s="2"/>
      <c r="NA64" s="2"/>
      <c r="NB64" s="2"/>
      <c r="NC64" s="2"/>
      <c r="ND64" s="2"/>
      <c r="NE64" s="2"/>
      <c r="NF64" s="2"/>
      <c r="NG64" s="2"/>
      <c r="NH64" s="2"/>
      <c r="NI64" s="2"/>
      <c r="NJ64" s="2"/>
      <c r="NK64" s="2"/>
      <c r="NL64" s="2"/>
      <c r="NM64" s="2"/>
      <c r="NN64" s="2"/>
      <c r="NO64" s="2"/>
      <c r="NP64" s="2"/>
      <c r="NQ64" s="2"/>
      <c r="NR64" s="2"/>
      <c r="NS64" s="2"/>
      <c r="NT64" s="2"/>
      <c r="NU64" s="2"/>
      <c r="NV64" s="2"/>
      <c r="NW64" s="2"/>
      <c r="NX64" s="2"/>
      <c r="NY64" s="2"/>
      <c r="NZ64" s="2"/>
      <c r="OA64" s="2"/>
      <c r="OB64" s="2"/>
      <c r="OC64" s="2"/>
      <c r="OD64" s="2"/>
      <c r="OE64" s="2"/>
      <c r="OF64" s="2"/>
      <c r="OG64" s="2"/>
      <c r="OH64" s="2"/>
      <c r="OI64" s="2"/>
      <c r="OJ64" s="2"/>
      <c r="OK64" s="2"/>
      <c r="OL64" s="2"/>
      <c r="OM64" s="2"/>
      <c r="ON64" s="2"/>
      <c r="OO64" s="2"/>
      <c r="OP64" s="2"/>
      <c r="OQ64" s="2"/>
      <c r="OR64" s="2"/>
      <c r="OS64" s="2"/>
      <c r="OT64" s="2"/>
      <c r="OU64" s="2"/>
      <c r="OV64" s="2"/>
      <c r="OW64" s="2"/>
      <c r="OX64" s="2"/>
      <c r="OY64" s="2"/>
      <c r="OZ64" s="2"/>
      <c r="PA64" s="2"/>
      <c r="PB64" s="2"/>
      <c r="PC64" s="2"/>
      <c r="PD64" s="2"/>
      <c r="PE64" s="2"/>
      <c r="PF64" s="2"/>
      <c r="PG64" s="2"/>
      <c r="PH64" s="2"/>
      <c r="PI64" s="2"/>
      <c r="PJ64" s="2"/>
      <c r="PK64" s="2"/>
      <c r="PL64" s="2"/>
      <c r="PM64" s="2"/>
      <c r="PN64" s="2"/>
      <c r="PO64" s="2"/>
      <c r="PP64" s="2"/>
      <c r="PQ64" s="2"/>
      <c r="PR64" s="2"/>
      <c r="PS64" s="2"/>
      <c r="PT64" s="2"/>
      <c r="PU64" s="2"/>
      <c r="PV64" s="2"/>
      <c r="PW64" s="2"/>
      <c r="PX64" s="2"/>
      <c r="PY64" s="2"/>
      <c r="PZ64" s="2"/>
      <c r="QA64" s="2"/>
      <c r="QB64" s="2"/>
      <c r="QC64" s="2"/>
      <c r="QD64" s="2"/>
      <c r="QE64" s="2"/>
      <c r="QF64" s="2"/>
      <c r="QG64" s="2"/>
      <c r="QH64" s="2"/>
      <c r="QI64" s="2"/>
      <c r="QJ64" s="2"/>
      <c r="QK64" s="2"/>
      <c r="QL64" s="2"/>
      <c r="QM64" s="2"/>
      <c r="QN64" s="2"/>
      <c r="QO64" s="2"/>
      <c r="QP64" s="2"/>
      <c r="QQ64" s="2"/>
      <c r="QR64" s="2"/>
      <c r="QS64" s="2"/>
      <c r="QT64" s="2"/>
      <c r="QU64" s="2"/>
      <c r="QV64" s="2"/>
      <c r="QW64" s="2"/>
      <c r="QX64" s="2"/>
      <c r="QY64" s="2"/>
      <c r="QZ64" s="2"/>
      <c r="RA64" s="2"/>
      <c r="RB64" s="2"/>
      <c r="RC64" s="2"/>
      <c r="RD64" s="2"/>
      <c r="RE64" s="2"/>
      <c r="RF64" s="2"/>
      <c r="RG64" s="2"/>
      <c r="RH64" s="2"/>
      <c r="RI64" s="2"/>
      <c r="RJ64" s="2"/>
      <c r="RK64" s="2"/>
      <c r="RL64" s="2"/>
      <c r="RM64" s="2"/>
      <c r="RN64" s="2"/>
      <c r="RO64" s="2"/>
      <c r="RP64" s="2"/>
      <c r="RQ64" s="2"/>
      <c r="RR64" s="2"/>
      <c r="RS64" s="2"/>
      <c r="RT64" s="2"/>
      <c r="RU64" s="2"/>
      <c r="RV64" s="2"/>
      <c r="RW64" s="2"/>
      <c r="RX64" s="2"/>
      <c r="RY64" s="2"/>
      <c r="RZ64" s="2"/>
      <c r="SA64" s="2"/>
      <c r="SB64" s="2"/>
      <c r="SC64" s="2"/>
      <c r="SD64" s="2"/>
      <c r="SE64" s="2"/>
      <c r="SF64" s="2"/>
      <c r="SG64" s="2"/>
      <c r="SH64" s="2"/>
      <c r="SI64" s="2"/>
      <c r="SJ64" s="2"/>
      <c r="SK64" s="2"/>
      <c r="SL64" s="2"/>
      <c r="SM64" s="2"/>
      <c r="SN64" s="2"/>
      <c r="SO64" s="2"/>
      <c r="SP64" s="2"/>
      <c r="SQ64" s="2"/>
      <c r="SR64" s="2"/>
      <c r="SS64" s="2"/>
      <c r="ST64" s="2"/>
      <c r="SU64" s="2"/>
      <c r="SV64" s="2"/>
      <c r="SW64" s="2"/>
      <c r="SX64" s="2"/>
    </row>
    <row r="65" spans="1:518" x14ac:dyDescent="0.25">
      <c r="A65" s="214" t="s">
        <v>98</v>
      </c>
      <c r="B65" s="69" t="s">
        <v>124</v>
      </c>
      <c r="C65" s="12">
        <f>'PAP_10_23  '!$AG$3</f>
        <v>0</v>
      </c>
      <c r="D65" s="12">
        <f>'PAP_10_23  '!$AG$4</f>
        <v>0</v>
      </c>
      <c r="E65" s="12">
        <f>'PAP_10_23  '!$AG$5</f>
        <v>0</v>
      </c>
      <c r="F65" s="12">
        <f>'PAP_10_23  '!$AG$6</f>
        <v>0</v>
      </c>
      <c r="G65" s="12">
        <f>'PAP_10_23  '!$AG$7</f>
        <v>0</v>
      </c>
      <c r="H65" s="12">
        <f>'PAP_10_23  '!$AG$8</f>
        <v>0</v>
      </c>
      <c r="I65" s="12">
        <f>'PAP_10_23  '!$AG$9</f>
        <v>0</v>
      </c>
      <c r="J65" s="12">
        <f>'PAP_10_23  '!$AG$10</f>
        <v>0</v>
      </c>
      <c r="K65" s="12">
        <f>'PAP_10_23  '!$AG$11</f>
        <v>0</v>
      </c>
      <c r="L65" s="12">
        <f>'PAP_10_23  '!$AG$12</f>
        <v>0</v>
      </c>
      <c r="M65" s="12">
        <f>'PAP_10_23  '!$AG$13</f>
        <v>0</v>
      </c>
      <c r="N65" s="12">
        <f>'PAP_10_23  '!$AG$14</f>
        <v>0</v>
      </c>
      <c r="O65" s="12">
        <f>'PAP_10_23  '!$AG$15</f>
        <v>0</v>
      </c>
      <c r="P65" s="12">
        <f>'PAP_10_23  '!$AG$16</f>
        <v>0</v>
      </c>
      <c r="Q65" s="12">
        <f>'PAP_10_23  '!$AG$17</f>
        <v>0</v>
      </c>
      <c r="R65" s="12">
        <f>'PAP_10_23  '!$AG$18</f>
        <v>0</v>
      </c>
      <c r="S65" s="12">
        <f>'PAP_10_23  '!$AG$19</f>
        <v>0</v>
      </c>
      <c r="T65" s="12">
        <f>'PAP_10_23  '!$AG$20</f>
        <v>0</v>
      </c>
      <c r="U65" s="12">
        <f>'PAP_10_23  '!$AG$21</f>
        <v>0</v>
      </c>
      <c r="V65" s="12">
        <f>'PAP_10_23  '!$AG$22</f>
        <v>0</v>
      </c>
      <c r="W65" s="12">
        <f>'PAP_10_23  '!$AG$23</f>
        <v>0</v>
      </c>
      <c r="X65" s="12">
        <f>'PAP_10_23  '!$AG$24</f>
        <v>0</v>
      </c>
      <c r="Y65" s="12">
        <f>'PAP_10_23  '!$AG$25</f>
        <v>0</v>
      </c>
      <c r="Z65" s="12">
        <f>'PAP_10_23  '!$AG$26</f>
        <v>0</v>
      </c>
      <c r="AA65" s="12">
        <f>'PAP_10_23  '!$AG$27</f>
        <v>0</v>
      </c>
      <c r="AB65" s="12">
        <f>'PAP_10_23  '!$AG$28</f>
        <v>0</v>
      </c>
      <c r="AC65" s="12">
        <f>'PAP_10_23  '!$AG$29</f>
        <v>0</v>
      </c>
      <c r="AD65" s="12">
        <f>'PAP_10_23  '!$AG$30</f>
        <v>0</v>
      </c>
      <c r="AE65" s="12">
        <f>'PAP_10_23  '!$AG$31</f>
        <v>0</v>
      </c>
      <c r="AF65" s="12">
        <f>'PAP_10_23  '!$AG$32</f>
        <v>0</v>
      </c>
      <c r="AG65" s="8">
        <f t="shared" si="51"/>
        <v>0</v>
      </c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  <c r="FK65" s="2"/>
      <c r="FL65" s="2"/>
      <c r="FM65" s="2"/>
      <c r="FN65" s="2"/>
      <c r="FO65" s="2"/>
      <c r="FP65" s="2"/>
      <c r="FQ65" s="2"/>
      <c r="FR65" s="2"/>
      <c r="FS65" s="2"/>
      <c r="FT65" s="2"/>
      <c r="FU65" s="2"/>
      <c r="FV65" s="2"/>
      <c r="FW65" s="2"/>
      <c r="FX65" s="2"/>
      <c r="FY65" s="2"/>
      <c r="FZ65" s="2"/>
      <c r="GA65" s="2"/>
      <c r="GB65" s="2"/>
      <c r="GC65" s="2"/>
      <c r="GD65" s="2"/>
      <c r="GE65" s="2"/>
      <c r="GF65" s="2"/>
      <c r="GG65" s="2"/>
      <c r="GH65" s="2"/>
      <c r="GI65" s="2"/>
      <c r="GJ65" s="2"/>
      <c r="GK65" s="2"/>
      <c r="GL65" s="2"/>
      <c r="GM65" s="2"/>
      <c r="GN65" s="2"/>
      <c r="GO65" s="2"/>
      <c r="GP65" s="2"/>
      <c r="GQ65" s="2"/>
      <c r="GR65" s="2"/>
      <c r="GS65" s="2"/>
      <c r="GT65" s="2"/>
      <c r="GU65" s="2"/>
      <c r="GV65" s="2"/>
      <c r="GW65" s="2"/>
      <c r="GX65" s="2"/>
      <c r="GY65" s="2"/>
      <c r="GZ65" s="2"/>
      <c r="HA65" s="2"/>
      <c r="HB65" s="2"/>
      <c r="HC65" s="2"/>
      <c r="HD65" s="2"/>
      <c r="HE65" s="2"/>
      <c r="HF65" s="2"/>
      <c r="HG65" s="2"/>
      <c r="HH65" s="2"/>
      <c r="HI65" s="2"/>
      <c r="HJ65" s="2"/>
      <c r="HK65" s="2"/>
      <c r="HL65" s="2"/>
      <c r="HM65" s="2"/>
      <c r="HN65" s="2"/>
      <c r="HO65" s="2"/>
      <c r="HP65" s="2"/>
      <c r="HQ65" s="2"/>
      <c r="HR65" s="2"/>
      <c r="HS65" s="2"/>
      <c r="HT65" s="2"/>
      <c r="HU65" s="2"/>
      <c r="HV65" s="2"/>
      <c r="HW65" s="2"/>
      <c r="HX65" s="2"/>
      <c r="HY65" s="2"/>
      <c r="HZ65" s="2"/>
      <c r="IA65" s="2"/>
      <c r="IB65" s="2"/>
      <c r="IC65" s="2"/>
      <c r="ID65" s="2"/>
      <c r="IE65" s="2"/>
      <c r="IF65" s="2"/>
      <c r="IG65" s="2"/>
      <c r="IH65" s="2"/>
      <c r="II65" s="2"/>
      <c r="IJ65" s="2"/>
      <c r="IK65" s="2"/>
      <c r="IL65" s="2"/>
      <c r="IM65" s="2"/>
      <c r="IN65" s="2"/>
      <c r="IO65" s="2"/>
      <c r="IP65" s="2"/>
      <c r="IQ65" s="2"/>
      <c r="IR65" s="2"/>
      <c r="IS65" s="2"/>
      <c r="IT65" s="2"/>
      <c r="IU65" s="2"/>
      <c r="IV65" s="2"/>
      <c r="IW65" s="2"/>
      <c r="IX65" s="2"/>
      <c r="IY65" s="2"/>
      <c r="IZ65" s="2"/>
      <c r="JA65" s="2"/>
      <c r="JB65" s="2"/>
      <c r="JC65" s="2"/>
      <c r="JD65" s="2"/>
      <c r="JE65" s="2"/>
      <c r="JF65" s="2"/>
      <c r="JG65" s="2"/>
      <c r="JH65" s="2"/>
      <c r="JI65" s="2"/>
      <c r="JJ65" s="2"/>
      <c r="JK65" s="2"/>
      <c r="JL65" s="2"/>
      <c r="JM65" s="2"/>
      <c r="JN65" s="2"/>
      <c r="JO65" s="2"/>
      <c r="JP65" s="2"/>
      <c r="JQ65" s="2"/>
      <c r="JR65" s="2"/>
      <c r="JS65" s="2"/>
      <c r="JT65" s="2"/>
      <c r="JU65" s="2"/>
      <c r="JV65" s="2"/>
      <c r="JW65" s="2"/>
      <c r="JX65" s="2"/>
      <c r="JY65" s="2"/>
      <c r="JZ65" s="2"/>
      <c r="KA65" s="2"/>
      <c r="KB65" s="2"/>
      <c r="KC65" s="2"/>
      <c r="KD65" s="2"/>
      <c r="KE65" s="2"/>
      <c r="KF65" s="2"/>
      <c r="KG65" s="2"/>
      <c r="KH65" s="2"/>
      <c r="KI65" s="2"/>
      <c r="KJ65" s="2"/>
      <c r="KK65" s="2"/>
      <c r="KL65" s="2"/>
      <c r="KM65" s="2"/>
      <c r="KN65" s="2"/>
      <c r="KO65" s="2"/>
      <c r="KP65" s="2"/>
      <c r="KQ65" s="2"/>
      <c r="KR65" s="2"/>
      <c r="KS65" s="2"/>
      <c r="KT65" s="2"/>
      <c r="KU65" s="2"/>
      <c r="KV65" s="2"/>
      <c r="KW65" s="2"/>
      <c r="KX65" s="2"/>
      <c r="KY65" s="2"/>
      <c r="KZ65" s="2"/>
      <c r="LA65" s="2"/>
      <c r="LB65" s="2"/>
      <c r="LC65" s="2"/>
      <c r="LD65" s="2"/>
      <c r="LE65" s="2"/>
      <c r="LF65" s="2"/>
      <c r="LG65" s="2"/>
      <c r="LH65" s="2"/>
      <c r="LI65" s="2"/>
      <c r="LJ65" s="2"/>
      <c r="LK65" s="2"/>
      <c r="LL65" s="2"/>
      <c r="LM65" s="2"/>
      <c r="LN65" s="2"/>
      <c r="LO65" s="2"/>
      <c r="LP65" s="2"/>
      <c r="LQ65" s="2"/>
      <c r="LR65" s="2"/>
      <c r="LS65" s="2"/>
      <c r="LT65" s="2"/>
      <c r="LU65" s="2"/>
      <c r="LV65" s="2"/>
      <c r="LW65" s="2"/>
      <c r="LX65" s="2"/>
      <c r="LY65" s="2"/>
      <c r="LZ65" s="2"/>
      <c r="MA65" s="2"/>
      <c r="MB65" s="2"/>
      <c r="MC65" s="2"/>
      <c r="MD65" s="2"/>
      <c r="ME65" s="2"/>
      <c r="MF65" s="2"/>
      <c r="MG65" s="2"/>
      <c r="MH65" s="2"/>
      <c r="MI65" s="2"/>
      <c r="MJ65" s="2"/>
      <c r="MK65" s="2"/>
      <c r="ML65" s="2"/>
      <c r="MM65" s="2"/>
      <c r="MN65" s="2"/>
      <c r="MO65" s="2"/>
      <c r="MP65" s="2"/>
      <c r="MQ65" s="2"/>
      <c r="MR65" s="2"/>
      <c r="MS65" s="2"/>
      <c r="MT65" s="2"/>
      <c r="MU65" s="2"/>
      <c r="MV65" s="2"/>
      <c r="MW65" s="2"/>
      <c r="MX65" s="2"/>
      <c r="MY65" s="2"/>
      <c r="MZ65" s="2"/>
      <c r="NA65" s="2"/>
      <c r="NB65" s="2"/>
      <c r="NC65" s="2"/>
      <c r="ND65" s="2"/>
      <c r="NE65" s="2"/>
      <c r="NF65" s="2"/>
      <c r="NG65" s="2"/>
      <c r="NH65" s="2"/>
      <c r="NI65" s="2"/>
      <c r="NJ65" s="2"/>
      <c r="NK65" s="2"/>
      <c r="NL65" s="2"/>
      <c r="NM65" s="2"/>
      <c r="NN65" s="2"/>
      <c r="NO65" s="2"/>
      <c r="NP65" s="2"/>
      <c r="NQ65" s="2"/>
      <c r="NR65" s="2"/>
      <c r="NS65" s="2"/>
      <c r="NT65" s="2"/>
      <c r="NU65" s="2"/>
      <c r="NV65" s="2"/>
      <c r="NW65" s="2"/>
      <c r="NX65" s="2"/>
      <c r="NY65" s="2"/>
      <c r="NZ65" s="2"/>
      <c r="OA65" s="2"/>
      <c r="OB65" s="2"/>
      <c r="OC65" s="2"/>
      <c r="OD65" s="2"/>
      <c r="OE65" s="2"/>
      <c r="OF65" s="2"/>
      <c r="OG65" s="2"/>
      <c r="OH65" s="2"/>
      <c r="OI65" s="2"/>
      <c r="OJ65" s="2"/>
      <c r="OK65" s="2"/>
      <c r="OL65" s="2"/>
      <c r="OM65" s="2"/>
      <c r="ON65" s="2"/>
      <c r="OO65" s="2"/>
      <c r="OP65" s="2"/>
      <c r="OQ65" s="2"/>
      <c r="OR65" s="2"/>
      <c r="OS65" s="2"/>
      <c r="OT65" s="2"/>
      <c r="OU65" s="2"/>
      <c r="OV65" s="2"/>
      <c r="OW65" s="2"/>
      <c r="OX65" s="2"/>
      <c r="OY65" s="2"/>
      <c r="OZ65" s="2"/>
      <c r="PA65" s="2"/>
      <c r="PB65" s="2"/>
      <c r="PC65" s="2"/>
      <c r="PD65" s="2"/>
      <c r="PE65" s="2"/>
      <c r="PF65" s="2"/>
      <c r="PG65" s="2"/>
      <c r="PH65" s="2"/>
      <c r="PI65" s="2"/>
      <c r="PJ65" s="2"/>
      <c r="PK65" s="2"/>
      <c r="PL65" s="2"/>
      <c r="PM65" s="2"/>
      <c r="PN65" s="2"/>
      <c r="PO65" s="2"/>
      <c r="PP65" s="2"/>
      <c r="PQ65" s="2"/>
      <c r="PR65" s="2"/>
      <c r="PS65" s="2"/>
      <c r="PT65" s="2"/>
      <c r="PU65" s="2"/>
      <c r="PV65" s="2"/>
      <c r="PW65" s="2"/>
      <c r="PX65" s="2"/>
      <c r="PY65" s="2"/>
      <c r="PZ65" s="2"/>
      <c r="QA65" s="2"/>
      <c r="QB65" s="2"/>
      <c r="QC65" s="2"/>
      <c r="QD65" s="2"/>
      <c r="QE65" s="2"/>
      <c r="QF65" s="2"/>
      <c r="QG65" s="2"/>
      <c r="QH65" s="2"/>
      <c r="QI65" s="2"/>
      <c r="QJ65" s="2"/>
      <c r="QK65" s="2"/>
      <c r="QL65" s="2"/>
      <c r="QM65" s="2"/>
      <c r="QN65" s="2"/>
      <c r="QO65" s="2"/>
      <c r="QP65" s="2"/>
      <c r="QQ65" s="2"/>
      <c r="QR65" s="2"/>
      <c r="QS65" s="2"/>
      <c r="QT65" s="2"/>
      <c r="QU65" s="2"/>
      <c r="QV65" s="2"/>
      <c r="QW65" s="2"/>
      <c r="QX65" s="2"/>
      <c r="QY65" s="2"/>
      <c r="QZ65" s="2"/>
      <c r="RA65" s="2"/>
      <c r="RB65" s="2"/>
      <c r="RC65" s="2"/>
      <c r="RD65" s="2"/>
      <c r="RE65" s="2"/>
      <c r="RF65" s="2"/>
      <c r="RG65" s="2"/>
      <c r="RH65" s="2"/>
      <c r="RI65" s="2"/>
      <c r="RJ65" s="2"/>
      <c r="RK65" s="2"/>
      <c r="RL65" s="2"/>
      <c r="RM65" s="2"/>
      <c r="RN65" s="2"/>
      <c r="RO65" s="2"/>
      <c r="RP65" s="2"/>
      <c r="RQ65" s="2"/>
      <c r="RR65" s="2"/>
      <c r="RS65" s="2"/>
      <c r="RT65" s="2"/>
      <c r="RU65" s="2"/>
      <c r="RV65" s="2"/>
      <c r="RW65" s="2"/>
      <c r="RX65" s="2"/>
      <c r="RY65" s="2"/>
      <c r="RZ65" s="2"/>
      <c r="SA65" s="2"/>
      <c r="SB65" s="2"/>
      <c r="SC65" s="2"/>
      <c r="SD65" s="2"/>
      <c r="SE65" s="2"/>
      <c r="SF65" s="2"/>
      <c r="SG65" s="2"/>
      <c r="SH65" s="2"/>
      <c r="SI65" s="2"/>
      <c r="SJ65" s="2"/>
      <c r="SK65" s="2"/>
      <c r="SL65" s="2"/>
      <c r="SM65" s="2"/>
      <c r="SN65" s="2"/>
      <c r="SO65" s="2"/>
      <c r="SP65" s="2"/>
      <c r="SQ65" s="2"/>
      <c r="SR65" s="2"/>
      <c r="SS65" s="2"/>
      <c r="ST65" s="2"/>
      <c r="SU65" s="2"/>
      <c r="SV65" s="2"/>
      <c r="SW65" s="2"/>
      <c r="SX65" s="2"/>
    </row>
    <row r="66" spans="1:518" x14ac:dyDescent="0.25">
      <c r="A66" s="214"/>
      <c r="B66" s="69" t="s">
        <v>125</v>
      </c>
      <c r="C66" s="12">
        <f>'PLA_10_23 '!$AG$3</f>
        <v>0</v>
      </c>
      <c r="D66" s="12">
        <f>'PLA_10_23 '!$AG$4</f>
        <v>0</v>
      </c>
      <c r="E66" s="12">
        <f>'PLA_10_23 '!$AG$5</f>
        <v>0</v>
      </c>
      <c r="F66" s="12">
        <f>'PLA_10_23 '!$AG$6</f>
        <v>0</v>
      </c>
      <c r="G66" s="12">
        <f>'PLA_10_23 '!$AG$7</f>
        <v>0</v>
      </c>
      <c r="H66" s="12">
        <f>'PLA_10_23 '!$AG$8</f>
        <v>0</v>
      </c>
      <c r="I66" s="12">
        <f>'PLA_10_23 '!$AG$9</f>
        <v>0</v>
      </c>
      <c r="J66" s="12">
        <f>'PLA_10_23 '!$AG$10</f>
        <v>0</v>
      </c>
      <c r="K66" s="12">
        <f>'PLA_10_23 '!$AG$11</f>
        <v>0</v>
      </c>
      <c r="L66" s="12">
        <f>'PLA_10_23 '!$AG$12</f>
        <v>0</v>
      </c>
      <c r="M66" s="12">
        <f>'PLA_10_23 '!$AG$13</f>
        <v>0</v>
      </c>
      <c r="N66" s="12">
        <f>'PLA_10_23 '!$AG$14</f>
        <v>0</v>
      </c>
      <c r="O66" s="12">
        <f>'PLA_10_23 '!$AG$15</f>
        <v>0</v>
      </c>
      <c r="P66" s="12">
        <f>'PLA_10_23 '!$AG$16</f>
        <v>0</v>
      </c>
      <c r="Q66" s="12">
        <f>'PLA_10_23 '!$AG$17</f>
        <v>0</v>
      </c>
      <c r="R66" s="12">
        <f>'PLA_10_23 '!$AG$18</f>
        <v>0</v>
      </c>
      <c r="S66" s="12">
        <f>'PLA_10_23 '!$AG$19</f>
        <v>0</v>
      </c>
      <c r="T66" s="12">
        <f>'PLA_10_23 '!$AG$20</f>
        <v>0</v>
      </c>
      <c r="U66" s="12">
        <f>'PLA_10_23 '!$AG$21</f>
        <v>0</v>
      </c>
      <c r="V66" s="12">
        <f>'PLA_10_23 '!$AG$22</f>
        <v>0</v>
      </c>
      <c r="W66" s="12">
        <f>'PLA_10_23 '!$AG$23</f>
        <v>0</v>
      </c>
      <c r="X66" s="12">
        <f>'PLA_10_23 '!$AG$24</f>
        <v>0</v>
      </c>
      <c r="Y66" s="12">
        <f>'PLA_10_23 '!$AG$25</f>
        <v>0</v>
      </c>
      <c r="Z66" s="12">
        <f>'PLA_10_23 '!$AG$26</f>
        <v>0</v>
      </c>
      <c r="AA66" s="12">
        <f>'PLA_10_23 '!$AG$27</f>
        <v>0</v>
      </c>
      <c r="AB66" s="12">
        <f>'PLA_10_23 '!$AG$28</f>
        <v>0</v>
      </c>
      <c r="AC66" s="12">
        <f>'PLA_10_23 '!$AG$29</f>
        <v>0</v>
      </c>
      <c r="AD66" s="12">
        <f>'PLA_10_23 '!$AG$30</f>
        <v>0</v>
      </c>
      <c r="AE66" s="12">
        <f>'PLA_10_23 '!$AG$31</f>
        <v>0</v>
      </c>
      <c r="AF66" s="12">
        <f>'PLA_10_23 '!$AG$32</f>
        <v>0</v>
      </c>
      <c r="AG66" s="8">
        <f t="shared" si="51"/>
        <v>0</v>
      </c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  <c r="FK66" s="2"/>
      <c r="FL66" s="2"/>
      <c r="FM66" s="2"/>
      <c r="FN66" s="2"/>
      <c r="FO66" s="2"/>
      <c r="FP66" s="2"/>
      <c r="FQ66" s="2"/>
      <c r="FR66" s="2"/>
      <c r="FS66" s="2"/>
      <c r="FT66" s="2"/>
      <c r="FU66" s="2"/>
      <c r="FV66" s="2"/>
      <c r="FW66" s="2"/>
      <c r="FX66" s="2"/>
      <c r="FY66" s="2"/>
      <c r="FZ66" s="2"/>
      <c r="GA66" s="2"/>
      <c r="GB66" s="2"/>
      <c r="GC66" s="2"/>
      <c r="GD66" s="2"/>
      <c r="GE66" s="2"/>
      <c r="GF66" s="2"/>
      <c r="GG66" s="2"/>
      <c r="GH66" s="2"/>
      <c r="GI66" s="2"/>
      <c r="GJ66" s="2"/>
      <c r="GK66" s="2"/>
      <c r="GL66" s="2"/>
      <c r="GM66" s="2"/>
      <c r="GN66" s="2"/>
      <c r="GO66" s="2"/>
      <c r="GP66" s="2"/>
      <c r="GQ66" s="2"/>
      <c r="GR66" s="2"/>
      <c r="GS66" s="2"/>
      <c r="GT66" s="2"/>
      <c r="GU66" s="2"/>
      <c r="GV66" s="2"/>
      <c r="GW66" s="2"/>
      <c r="GX66" s="2"/>
      <c r="GY66" s="2"/>
      <c r="GZ66" s="2"/>
      <c r="HA66" s="2"/>
      <c r="HB66" s="2"/>
      <c r="HC66" s="2"/>
      <c r="HD66" s="2"/>
      <c r="HE66" s="2"/>
      <c r="HF66" s="2"/>
      <c r="HG66" s="2"/>
      <c r="HH66" s="2"/>
      <c r="HI66" s="2"/>
      <c r="HJ66" s="2"/>
      <c r="HK66" s="2"/>
      <c r="HL66" s="2"/>
      <c r="HM66" s="2"/>
      <c r="HN66" s="2"/>
      <c r="HO66" s="2"/>
      <c r="HP66" s="2"/>
      <c r="HQ66" s="2"/>
      <c r="HR66" s="2"/>
      <c r="HS66" s="2"/>
      <c r="HT66" s="2"/>
      <c r="HU66" s="2"/>
      <c r="HV66" s="2"/>
      <c r="HW66" s="2"/>
      <c r="HX66" s="2"/>
      <c r="HY66" s="2"/>
      <c r="HZ66" s="2"/>
      <c r="IA66" s="2"/>
      <c r="IB66" s="2"/>
      <c r="IC66" s="2"/>
      <c r="ID66" s="2"/>
      <c r="IE66" s="2"/>
      <c r="IF66" s="2"/>
      <c r="IG66" s="2"/>
      <c r="IH66" s="2"/>
      <c r="II66" s="2"/>
      <c r="IJ66" s="2"/>
      <c r="IK66" s="2"/>
      <c r="IL66" s="2"/>
      <c r="IM66" s="2"/>
      <c r="IN66" s="2"/>
      <c r="IO66" s="2"/>
      <c r="IP66" s="2"/>
      <c r="IQ66" s="2"/>
      <c r="IR66" s="2"/>
      <c r="IS66" s="2"/>
      <c r="IT66" s="2"/>
      <c r="IU66" s="2"/>
      <c r="IV66" s="2"/>
      <c r="IW66" s="2"/>
      <c r="IX66" s="2"/>
      <c r="IY66" s="2"/>
      <c r="IZ66" s="2"/>
      <c r="JA66" s="2"/>
      <c r="JB66" s="2"/>
      <c r="JC66" s="2"/>
      <c r="JD66" s="2"/>
      <c r="JE66" s="2"/>
      <c r="JF66" s="2"/>
      <c r="JG66" s="2"/>
      <c r="JH66" s="2"/>
      <c r="JI66" s="2"/>
      <c r="JJ66" s="2"/>
      <c r="JK66" s="2"/>
      <c r="JL66" s="2"/>
      <c r="JM66" s="2"/>
      <c r="JN66" s="2"/>
      <c r="JO66" s="2"/>
      <c r="JP66" s="2"/>
      <c r="JQ66" s="2"/>
      <c r="JR66" s="2"/>
      <c r="JS66" s="2"/>
      <c r="JT66" s="2"/>
      <c r="JU66" s="2"/>
      <c r="JV66" s="2"/>
      <c r="JW66" s="2"/>
      <c r="JX66" s="2"/>
      <c r="JY66" s="2"/>
      <c r="JZ66" s="2"/>
      <c r="KA66" s="2"/>
      <c r="KB66" s="2"/>
      <c r="KC66" s="2"/>
      <c r="KD66" s="2"/>
      <c r="KE66" s="2"/>
      <c r="KF66" s="2"/>
      <c r="KG66" s="2"/>
      <c r="KH66" s="2"/>
      <c r="KI66" s="2"/>
      <c r="KJ66" s="2"/>
      <c r="KK66" s="2"/>
      <c r="KL66" s="2"/>
      <c r="KM66" s="2"/>
      <c r="KN66" s="2"/>
      <c r="KO66" s="2"/>
      <c r="KP66" s="2"/>
      <c r="KQ66" s="2"/>
      <c r="KR66" s="2"/>
      <c r="KS66" s="2"/>
      <c r="KT66" s="2"/>
      <c r="KU66" s="2"/>
      <c r="KV66" s="2"/>
      <c r="KW66" s="2"/>
      <c r="KX66" s="2"/>
      <c r="KY66" s="2"/>
      <c r="KZ66" s="2"/>
      <c r="LA66" s="2"/>
      <c r="LB66" s="2"/>
      <c r="LC66" s="2"/>
      <c r="LD66" s="2"/>
      <c r="LE66" s="2"/>
      <c r="LF66" s="2"/>
      <c r="LG66" s="2"/>
      <c r="LH66" s="2"/>
      <c r="LI66" s="2"/>
      <c r="LJ66" s="2"/>
      <c r="LK66" s="2"/>
      <c r="LL66" s="2"/>
      <c r="LM66" s="2"/>
      <c r="LN66" s="2"/>
      <c r="LO66" s="2"/>
      <c r="LP66" s="2"/>
      <c r="LQ66" s="2"/>
      <c r="LR66" s="2"/>
      <c r="LS66" s="2"/>
      <c r="LT66" s="2"/>
      <c r="LU66" s="2"/>
      <c r="LV66" s="2"/>
      <c r="LW66" s="2"/>
      <c r="LX66" s="2"/>
      <c r="LY66" s="2"/>
      <c r="LZ66" s="2"/>
      <c r="MA66" s="2"/>
      <c r="MB66" s="2"/>
      <c r="MC66" s="2"/>
      <c r="MD66" s="2"/>
      <c r="ME66" s="2"/>
      <c r="MF66" s="2"/>
      <c r="MG66" s="2"/>
      <c r="MH66" s="2"/>
      <c r="MI66" s="2"/>
      <c r="MJ66" s="2"/>
      <c r="MK66" s="2"/>
      <c r="ML66" s="2"/>
      <c r="MM66" s="2"/>
      <c r="MN66" s="2"/>
      <c r="MO66" s="2"/>
      <c r="MP66" s="2"/>
      <c r="MQ66" s="2"/>
      <c r="MR66" s="2"/>
      <c r="MS66" s="2"/>
      <c r="MT66" s="2"/>
      <c r="MU66" s="2"/>
      <c r="MV66" s="2"/>
      <c r="MW66" s="2"/>
      <c r="MX66" s="2"/>
      <c r="MY66" s="2"/>
      <c r="MZ66" s="2"/>
      <c r="NA66" s="2"/>
      <c r="NB66" s="2"/>
      <c r="NC66" s="2"/>
      <c r="ND66" s="2"/>
      <c r="NE66" s="2"/>
      <c r="NF66" s="2"/>
      <c r="NG66" s="2"/>
      <c r="NH66" s="2"/>
      <c r="NI66" s="2"/>
      <c r="NJ66" s="2"/>
      <c r="NK66" s="2"/>
      <c r="NL66" s="2"/>
      <c r="NM66" s="2"/>
      <c r="NN66" s="2"/>
      <c r="NO66" s="2"/>
      <c r="NP66" s="2"/>
      <c r="NQ66" s="2"/>
      <c r="NR66" s="2"/>
      <c r="NS66" s="2"/>
      <c r="NT66" s="2"/>
      <c r="NU66" s="2"/>
      <c r="NV66" s="2"/>
      <c r="NW66" s="2"/>
      <c r="NX66" s="2"/>
      <c r="NY66" s="2"/>
      <c r="NZ66" s="2"/>
      <c r="OA66" s="2"/>
      <c r="OB66" s="2"/>
      <c r="OC66" s="2"/>
      <c r="OD66" s="2"/>
      <c r="OE66" s="2"/>
      <c r="OF66" s="2"/>
      <c r="OG66" s="2"/>
      <c r="OH66" s="2"/>
      <c r="OI66" s="2"/>
      <c r="OJ66" s="2"/>
      <c r="OK66" s="2"/>
      <c r="OL66" s="2"/>
      <c r="OM66" s="2"/>
      <c r="ON66" s="2"/>
      <c r="OO66" s="2"/>
      <c r="OP66" s="2"/>
      <c r="OQ66" s="2"/>
      <c r="OR66" s="2"/>
      <c r="OS66" s="2"/>
      <c r="OT66" s="2"/>
      <c r="OU66" s="2"/>
      <c r="OV66" s="2"/>
      <c r="OW66" s="2"/>
      <c r="OX66" s="2"/>
      <c r="OY66" s="2"/>
      <c r="OZ66" s="2"/>
      <c r="PA66" s="2"/>
      <c r="PB66" s="2"/>
      <c r="PC66" s="2"/>
      <c r="PD66" s="2"/>
      <c r="PE66" s="2"/>
      <c r="PF66" s="2"/>
      <c r="PG66" s="2"/>
      <c r="PH66" s="2"/>
      <c r="PI66" s="2"/>
      <c r="PJ66" s="2"/>
      <c r="PK66" s="2"/>
      <c r="PL66" s="2"/>
      <c r="PM66" s="2"/>
      <c r="PN66" s="2"/>
      <c r="PO66" s="2"/>
      <c r="PP66" s="2"/>
      <c r="PQ66" s="2"/>
      <c r="PR66" s="2"/>
      <c r="PS66" s="2"/>
      <c r="PT66" s="2"/>
      <c r="PU66" s="2"/>
      <c r="PV66" s="2"/>
      <c r="PW66" s="2"/>
      <c r="PX66" s="2"/>
      <c r="PY66" s="2"/>
      <c r="PZ66" s="2"/>
      <c r="QA66" s="2"/>
      <c r="QB66" s="2"/>
      <c r="QC66" s="2"/>
      <c r="QD66" s="2"/>
      <c r="QE66" s="2"/>
      <c r="QF66" s="2"/>
      <c r="QG66" s="2"/>
      <c r="QH66" s="2"/>
      <c r="QI66" s="2"/>
      <c r="QJ66" s="2"/>
      <c r="QK66" s="2"/>
      <c r="QL66" s="2"/>
      <c r="QM66" s="2"/>
      <c r="QN66" s="2"/>
      <c r="QO66" s="2"/>
      <c r="QP66" s="2"/>
      <c r="QQ66" s="2"/>
      <c r="QR66" s="2"/>
      <c r="QS66" s="2"/>
      <c r="QT66" s="2"/>
      <c r="QU66" s="2"/>
      <c r="QV66" s="2"/>
      <c r="QW66" s="2"/>
      <c r="QX66" s="2"/>
      <c r="QY66" s="2"/>
      <c r="QZ66" s="2"/>
      <c r="RA66" s="2"/>
      <c r="RB66" s="2"/>
      <c r="RC66" s="2"/>
      <c r="RD66" s="2"/>
      <c r="RE66" s="2"/>
      <c r="RF66" s="2"/>
      <c r="RG66" s="2"/>
      <c r="RH66" s="2"/>
      <c r="RI66" s="2"/>
      <c r="RJ66" s="2"/>
      <c r="RK66" s="2"/>
      <c r="RL66" s="2"/>
      <c r="RM66" s="2"/>
      <c r="RN66" s="2"/>
      <c r="RO66" s="2"/>
      <c r="RP66" s="2"/>
      <c r="RQ66" s="2"/>
      <c r="RR66" s="2"/>
      <c r="RS66" s="2"/>
      <c r="RT66" s="2"/>
      <c r="RU66" s="2"/>
      <c r="RV66" s="2"/>
      <c r="RW66" s="2"/>
      <c r="RX66" s="2"/>
      <c r="RY66" s="2"/>
      <c r="RZ66" s="2"/>
      <c r="SA66" s="2"/>
      <c r="SB66" s="2"/>
      <c r="SC66" s="2"/>
      <c r="SD66" s="2"/>
      <c r="SE66" s="2"/>
      <c r="SF66" s="2"/>
      <c r="SG66" s="2"/>
      <c r="SH66" s="2"/>
      <c r="SI66" s="2"/>
      <c r="SJ66" s="2"/>
      <c r="SK66" s="2"/>
      <c r="SL66" s="2"/>
      <c r="SM66" s="2"/>
      <c r="SN66" s="2"/>
      <c r="SO66" s="2"/>
      <c r="SP66" s="2"/>
      <c r="SQ66" s="2"/>
      <c r="SR66" s="2"/>
      <c r="SS66" s="2"/>
      <c r="ST66" s="2"/>
      <c r="SU66" s="2"/>
      <c r="SV66" s="2"/>
      <c r="SW66" s="2"/>
      <c r="SX66" s="2"/>
    </row>
    <row r="67" spans="1:518" x14ac:dyDescent="0.25">
      <c r="A67" s="214"/>
      <c r="B67" s="69" t="s">
        <v>126</v>
      </c>
      <c r="C67" s="12">
        <f>GRI_10_23!AG3</f>
        <v>0</v>
      </c>
      <c r="D67" s="12">
        <f>GRI_10_23!AG4</f>
        <v>0</v>
      </c>
      <c r="E67" s="12">
        <f>GRI_10_23!AG5</f>
        <v>0</v>
      </c>
      <c r="F67" s="12">
        <f>GRI_10_23!AG6</f>
        <v>0</v>
      </c>
      <c r="G67" s="12">
        <f>GRI_10_23!AG7</f>
        <v>0</v>
      </c>
      <c r="H67" s="12">
        <f>GRI_10_23!AG8</f>
        <v>0</v>
      </c>
      <c r="I67" s="12">
        <f>GRI_10_23!AG9</f>
        <v>0</v>
      </c>
      <c r="J67" s="12">
        <f>GRI_10_23!AG10</f>
        <v>0</v>
      </c>
      <c r="K67" s="12">
        <f>GRI_10_23!AG11</f>
        <v>0</v>
      </c>
      <c r="L67" s="12">
        <f>GRI_10_23!AG12</f>
        <v>0</v>
      </c>
      <c r="M67" s="12">
        <f>GRI_10_23!AG13</f>
        <v>0</v>
      </c>
      <c r="N67" s="12">
        <f>GRI_10_23!AG14</f>
        <v>0</v>
      </c>
      <c r="O67" s="12">
        <f>GRI_10_23!AG15</f>
        <v>0</v>
      </c>
      <c r="P67" s="12">
        <f>GRI_10_23!AG16</f>
        <v>0</v>
      </c>
      <c r="Q67" s="12">
        <f>GRI_10_23!AG17</f>
        <v>0</v>
      </c>
      <c r="R67" s="12">
        <f>GRI_10_23!AG18</f>
        <v>0</v>
      </c>
      <c r="S67" s="12">
        <f>GRI_10_23!AG19</f>
        <v>0</v>
      </c>
      <c r="T67" s="12">
        <f>GRI_10_23!AG20</f>
        <v>0</v>
      </c>
      <c r="U67" s="12">
        <f>GRI_10_23!AG21</f>
        <v>0</v>
      </c>
      <c r="V67" s="12">
        <f>GRI_10_23!AG22</f>
        <v>0</v>
      </c>
      <c r="W67" s="12">
        <f>GRI_10_23!AG23</f>
        <v>0</v>
      </c>
      <c r="X67" s="12">
        <f>GRI_10_23!AG24</f>
        <v>0</v>
      </c>
      <c r="Y67" s="12">
        <f>GRI_10_23!AG25</f>
        <v>0</v>
      </c>
      <c r="Z67" s="12">
        <f>GRI_10_23!AG26</f>
        <v>0</v>
      </c>
      <c r="AA67" s="12">
        <f>GRI_10_23!AG27</f>
        <v>0</v>
      </c>
      <c r="AB67" s="12">
        <f>GRI_10_23!AG28</f>
        <v>0</v>
      </c>
      <c r="AC67" s="12">
        <f>GRI_10_23!AG29</f>
        <v>0</v>
      </c>
      <c r="AD67" s="12">
        <f>GRI_10_23!AG30</f>
        <v>0</v>
      </c>
      <c r="AE67" s="12">
        <f>GRI_10_23!AG31</f>
        <v>0</v>
      </c>
      <c r="AF67" s="12">
        <f>GRI_10_23!AG32</f>
        <v>0</v>
      </c>
      <c r="AG67" s="8">
        <f t="shared" si="51"/>
        <v>0</v>
      </c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  <c r="FK67" s="2"/>
      <c r="FL67" s="2"/>
      <c r="FM67" s="2"/>
      <c r="FN67" s="2"/>
      <c r="FO67" s="2"/>
      <c r="FP67" s="2"/>
      <c r="FQ67" s="2"/>
      <c r="FR67" s="2"/>
      <c r="FS67" s="2"/>
      <c r="FT67" s="2"/>
      <c r="FU67" s="2"/>
      <c r="FV67" s="2"/>
      <c r="FW67" s="2"/>
      <c r="FX67" s="2"/>
      <c r="FY67" s="2"/>
      <c r="FZ67" s="2"/>
      <c r="GA67" s="2"/>
      <c r="GB67" s="2"/>
      <c r="GC67" s="2"/>
      <c r="GD67" s="2"/>
      <c r="GE67" s="2"/>
      <c r="GF67" s="2"/>
      <c r="GG67" s="2"/>
      <c r="GH67" s="2"/>
      <c r="GI67" s="2"/>
      <c r="GJ67" s="2"/>
      <c r="GK67" s="2"/>
      <c r="GL67" s="2"/>
      <c r="GM67" s="2"/>
      <c r="GN67" s="2"/>
      <c r="GO67" s="2"/>
      <c r="GP67" s="2"/>
      <c r="GQ67" s="2"/>
      <c r="GR67" s="2"/>
      <c r="GS67" s="2"/>
      <c r="GT67" s="2"/>
      <c r="GU67" s="2"/>
      <c r="GV67" s="2"/>
      <c r="GW67" s="2"/>
      <c r="GX67" s="2"/>
      <c r="GY67" s="2"/>
      <c r="GZ67" s="2"/>
      <c r="HA67" s="2"/>
      <c r="HB67" s="2"/>
      <c r="HC67" s="2"/>
      <c r="HD67" s="2"/>
      <c r="HE67" s="2"/>
      <c r="HF67" s="2"/>
      <c r="HG67" s="2"/>
      <c r="HH67" s="2"/>
      <c r="HI67" s="2"/>
      <c r="HJ67" s="2"/>
      <c r="HK67" s="2"/>
      <c r="HL67" s="2"/>
      <c r="HM67" s="2"/>
      <c r="HN67" s="2"/>
      <c r="HO67" s="2"/>
      <c r="HP67" s="2"/>
      <c r="HQ67" s="2"/>
      <c r="HR67" s="2"/>
      <c r="HS67" s="2"/>
      <c r="HT67" s="2"/>
      <c r="HU67" s="2"/>
      <c r="HV67" s="2"/>
      <c r="HW67" s="2"/>
      <c r="HX67" s="2"/>
      <c r="HY67" s="2"/>
      <c r="HZ67" s="2"/>
      <c r="IA67" s="2"/>
      <c r="IB67" s="2"/>
      <c r="IC67" s="2"/>
      <c r="ID67" s="2"/>
      <c r="IE67" s="2"/>
      <c r="IF67" s="2"/>
      <c r="IG67" s="2"/>
      <c r="IH67" s="2"/>
      <c r="II67" s="2"/>
      <c r="IJ67" s="2"/>
      <c r="IK67" s="2"/>
      <c r="IL67" s="2"/>
      <c r="IM67" s="2"/>
      <c r="IN67" s="2"/>
      <c r="IO67" s="2"/>
      <c r="IP67" s="2"/>
      <c r="IQ67" s="2"/>
      <c r="IR67" s="2"/>
      <c r="IS67" s="2"/>
      <c r="IT67" s="2"/>
      <c r="IU67" s="2"/>
      <c r="IV67" s="2"/>
      <c r="IW67" s="2"/>
      <c r="IX67" s="2"/>
      <c r="IY67" s="2"/>
      <c r="IZ67" s="2"/>
      <c r="JA67" s="2"/>
      <c r="JB67" s="2"/>
      <c r="JC67" s="2"/>
      <c r="JD67" s="2"/>
      <c r="JE67" s="2"/>
      <c r="JF67" s="2"/>
      <c r="JG67" s="2"/>
      <c r="JH67" s="2"/>
      <c r="JI67" s="2"/>
      <c r="JJ67" s="2"/>
      <c r="JK67" s="2"/>
      <c r="JL67" s="2"/>
      <c r="JM67" s="2"/>
      <c r="JN67" s="2"/>
      <c r="JO67" s="2"/>
      <c r="JP67" s="2"/>
      <c r="JQ67" s="2"/>
      <c r="JR67" s="2"/>
      <c r="JS67" s="2"/>
      <c r="JT67" s="2"/>
      <c r="JU67" s="2"/>
      <c r="JV67" s="2"/>
      <c r="JW67" s="2"/>
      <c r="JX67" s="2"/>
      <c r="JY67" s="2"/>
      <c r="JZ67" s="2"/>
      <c r="KA67" s="2"/>
      <c r="KB67" s="2"/>
      <c r="KC67" s="2"/>
      <c r="KD67" s="2"/>
      <c r="KE67" s="2"/>
      <c r="KF67" s="2"/>
      <c r="KG67" s="2"/>
      <c r="KH67" s="2"/>
      <c r="KI67" s="2"/>
      <c r="KJ67" s="2"/>
      <c r="KK67" s="2"/>
      <c r="KL67" s="2"/>
      <c r="KM67" s="2"/>
      <c r="KN67" s="2"/>
      <c r="KO67" s="2"/>
      <c r="KP67" s="2"/>
      <c r="KQ67" s="2"/>
      <c r="KR67" s="2"/>
      <c r="KS67" s="2"/>
      <c r="KT67" s="2"/>
      <c r="KU67" s="2"/>
      <c r="KV67" s="2"/>
      <c r="KW67" s="2"/>
      <c r="KX67" s="2"/>
      <c r="KY67" s="2"/>
      <c r="KZ67" s="2"/>
      <c r="LA67" s="2"/>
      <c r="LB67" s="2"/>
      <c r="LC67" s="2"/>
      <c r="LD67" s="2"/>
      <c r="LE67" s="2"/>
      <c r="LF67" s="2"/>
      <c r="LG67" s="2"/>
      <c r="LH67" s="2"/>
      <c r="LI67" s="2"/>
      <c r="LJ67" s="2"/>
      <c r="LK67" s="2"/>
      <c r="LL67" s="2"/>
      <c r="LM67" s="2"/>
      <c r="LN67" s="2"/>
      <c r="LO67" s="2"/>
      <c r="LP67" s="2"/>
      <c r="LQ67" s="2"/>
      <c r="LR67" s="2"/>
      <c r="LS67" s="2"/>
      <c r="LT67" s="2"/>
      <c r="LU67" s="2"/>
      <c r="LV67" s="2"/>
      <c r="LW67" s="2"/>
      <c r="LX67" s="2"/>
      <c r="LY67" s="2"/>
      <c r="LZ67" s="2"/>
      <c r="MA67" s="2"/>
      <c r="MB67" s="2"/>
      <c r="MC67" s="2"/>
      <c r="MD67" s="2"/>
      <c r="ME67" s="2"/>
      <c r="MF67" s="2"/>
      <c r="MG67" s="2"/>
      <c r="MH67" s="2"/>
      <c r="MI67" s="2"/>
      <c r="MJ67" s="2"/>
      <c r="MK67" s="2"/>
      <c r="ML67" s="2"/>
      <c r="MM67" s="2"/>
      <c r="MN67" s="2"/>
      <c r="MO67" s="2"/>
      <c r="MP67" s="2"/>
      <c r="MQ67" s="2"/>
      <c r="MR67" s="2"/>
      <c r="MS67" s="2"/>
      <c r="MT67" s="2"/>
      <c r="MU67" s="2"/>
      <c r="MV67" s="2"/>
      <c r="MW67" s="2"/>
      <c r="MX67" s="2"/>
      <c r="MY67" s="2"/>
      <c r="MZ67" s="2"/>
      <c r="NA67" s="2"/>
      <c r="NB67" s="2"/>
      <c r="NC67" s="2"/>
      <c r="ND67" s="2"/>
      <c r="NE67" s="2"/>
      <c r="NF67" s="2"/>
      <c r="NG67" s="2"/>
      <c r="NH67" s="2"/>
      <c r="NI67" s="2"/>
      <c r="NJ67" s="2"/>
      <c r="NK67" s="2"/>
      <c r="NL67" s="2"/>
      <c r="NM67" s="2"/>
      <c r="NN67" s="2"/>
      <c r="NO67" s="2"/>
      <c r="NP67" s="2"/>
      <c r="NQ67" s="2"/>
      <c r="NR67" s="2"/>
      <c r="NS67" s="2"/>
      <c r="NT67" s="2"/>
      <c r="NU67" s="2"/>
      <c r="NV67" s="2"/>
      <c r="NW67" s="2"/>
      <c r="NX67" s="2"/>
      <c r="NY67" s="2"/>
      <c r="NZ67" s="2"/>
      <c r="OA67" s="2"/>
      <c r="OB67" s="2"/>
      <c r="OC67" s="2"/>
      <c r="OD67" s="2"/>
      <c r="OE67" s="2"/>
      <c r="OF67" s="2"/>
      <c r="OG67" s="2"/>
      <c r="OH67" s="2"/>
      <c r="OI67" s="2"/>
      <c r="OJ67" s="2"/>
      <c r="OK67" s="2"/>
      <c r="OL67" s="2"/>
      <c r="OM67" s="2"/>
      <c r="ON67" s="2"/>
      <c r="OO67" s="2"/>
      <c r="OP67" s="2"/>
      <c r="OQ67" s="2"/>
      <c r="OR67" s="2"/>
      <c r="OS67" s="2"/>
      <c r="OT67" s="2"/>
      <c r="OU67" s="2"/>
      <c r="OV67" s="2"/>
      <c r="OW67" s="2"/>
      <c r="OX67" s="2"/>
      <c r="OY67" s="2"/>
      <c r="OZ67" s="2"/>
      <c r="PA67" s="2"/>
      <c r="PB67" s="2"/>
      <c r="PC67" s="2"/>
      <c r="PD67" s="2"/>
      <c r="PE67" s="2"/>
      <c r="PF67" s="2"/>
      <c r="PG67" s="2"/>
      <c r="PH67" s="2"/>
      <c r="PI67" s="2"/>
      <c r="PJ67" s="2"/>
      <c r="PK67" s="2"/>
      <c r="PL67" s="2"/>
      <c r="PM67" s="2"/>
      <c r="PN67" s="2"/>
      <c r="PO67" s="2"/>
      <c r="PP67" s="2"/>
      <c r="PQ67" s="2"/>
      <c r="PR67" s="2"/>
      <c r="PS67" s="2"/>
      <c r="PT67" s="2"/>
      <c r="PU67" s="2"/>
      <c r="PV67" s="2"/>
      <c r="PW67" s="2"/>
      <c r="PX67" s="2"/>
      <c r="PY67" s="2"/>
      <c r="PZ67" s="2"/>
      <c r="QA67" s="2"/>
      <c r="QB67" s="2"/>
      <c r="QC67" s="2"/>
      <c r="QD67" s="2"/>
      <c r="QE67" s="2"/>
      <c r="QF67" s="2"/>
      <c r="QG67" s="2"/>
      <c r="QH67" s="2"/>
      <c r="QI67" s="2"/>
      <c r="QJ67" s="2"/>
      <c r="QK67" s="2"/>
      <c r="QL67" s="2"/>
      <c r="QM67" s="2"/>
      <c r="QN67" s="2"/>
      <c r="QO67" s="2"/>
      <c r="QP67" s="2"/>
      <c r="QQ67" s="2"/>
      <c r="QR67" s="2"/>
      <c r="QS67" s="2"/>
      <c r="QT67" s="2"/>
      <c r="QU67" s="2"/>
      <c r="QV67" s="2"/>
      <c r="QW67" s="2"/>
      <c r="QX67" s="2"/>
      <c r="QY67" s="2"/>
      <c r="QZ67" s="2"/>
      <c r="RA67" s="2"/>
      <c r="RB67" s="2"/>
      <c r="RC67" s="2"/>
      <c r="RD67" s="2"/>
      <c r="RE67" s="2"/>
      <c r="RF67" s="2"/>
      <c r="RG67" s="2"/>
      <c r="RH67" s="2"/>
      <c r="RI67" s="2"/>
      <c r="RJ67" s="2"/>
      <c r="RK67" s="2"/>
      <c r="RL67" s="2"/>
      <c r="RM67" s="2"/>
      <c r="RN67" s="2"/>
      <c r="RO67" s="2"/>
      <c r="RP67" s="2"/>
      <c r="RQ67" s="2"/>
      <c r="RR67" s="2"/>
      <c r="RS67" s="2"/>
      <c r="RT67" s="2"/>
      <c r="RU67" s="2"/>
      <c r="RV67" s="2"/>
      <c r="RW67" s="2"/>
      <c r="RX67" s="2"/>
      <c r="RY67" s="2"/>
      <c r="RZ67" s="2"/>
      <c r="SA67" s="2"/>
      <c r="SB67" s="2"/>
      <c r="SC67" s="2"/>
      <c r="SD67" s="2"/>
      <c r="SE67" s="2"/>
      <c r="SF67" s="2"/>
      <c r="SG67" s="2"/>
      <c r="SH67" s="2"/>
      <c r="SI67" s="2"/>
      <c r="SJ67" s="2"/>
      <c r="SK67" s="2"/>
      <c r="SL67" s="2"/>
      <c r="SM67" s="2"/>
      <c r="SN67" s="2"/>
      <c r="SO67" s="2"/>
      <c r="SP67" s="2"/>
      <c r="SQ67" s="2"/>
      <c r="SR67" s="2"/>
      <c r="SS67" s="2"/>
      <c r="ST67" s="2"/>
      <c r="SU67" s="2"/>
      <c r="SV67" s="2"/>
      <c r="SW67" s="2"/>
      <c r="SX67" s="2"/>
    </row>
    <row r="68" spans="1:518" x14ac:dyDescent="0.25">
      <c r="A68" s="214"/>
      <c r="B68" s="69" t="s">
        <v>127</v>
      </c>
      <c r="C68" s="12">
        <f>'VER_10_23 '!$AG$3</f>
        <v>0</v>
      </c>
      <c r="D68" s="12">
        <f>'VER_10_23 '!$AG$4</f>
        <v>0</v>
      </c>
      <c r="E68" s="12">
        <f>'VER_10_23 '!$AG$5</f>
        <v>0</v>
      </c>
      <c r="F68" s="12">
        <f>'VER_10_23 '!$AG$6</f>
        <v>0</v>
      </c>
      <c r="G68" s="12">
        <f>'VER_10_23 '!$AG$7</f>
        <v>0</v>
      </c>
      <c r="H68" s="12">
        <f>'VER_10_23 '!$AG$8</f>
        <v>0</v>
      </c>
      <c r="I68" s="12">
        <f>'VER_10_23 '!$AG$9</f>
        <v>0</v>
      </c>
      <c r="J68" s="12">
        <f>'VER_10_23 '!$AG$10</f>
        <v>0</v>
      </c>
      <c r="K68" s="12">
        <f>'VER_10_23 '!$AG$11</f>
        <v>0</v>
      </c>
      <c r="L68" s="12">
        <f>'VER_10_23 '!$AG$12</f>
        <v>0</v>
      </c>
      <c r="M68" s="12">
        <f>'VER_10_23 '!$AG$13</f>
        <v>0</v>
      </c>
      <c r="N68" s="12">
        <f>'VER_10_23 '!$AG$14</f>
        <v>0</v>
      </c>
      <c r="O68" s="12">
        <f>'VER_10_23 '!$AG$15</f>
        <v>0</v>
      </c>
      <c r="P68" s="12">
        <f>'VER_10_23 '!$AG$16</f>
        <v>0</v>
      </c>
      <c r="Q68" s="12">
        <f>'VER_10_23 '!$AG$17</f>
        <v>0</v>
      </c>
      <c r="R68" s="12">
        <f>'VER_10_23 '!$AG$18</f>
        <v>0</v>
      </c>
      <c r="S68" s="12">
        <f>'VER_10_23 '!$AG$19</f>
        <v>0</v>
      </c>
      <c r="T68" s="12">
        <f>'VER_10_23 '!$AG$20</f>
        <v>0</v>
      </c>
      <c r="U68" s="12">
        <f>'VER_10_23 '!$AG$21</f>
        <v>0</v>
      </c>
      <c r="V68" s="12">
        <f>'VER_10_23 '!$AG$22</f>
        <v>0</v>
      </c>
      <c r="W68" s="12">
        <f>'VER_10_23 '!$AG$23</f>
        <v>0</v>
      </c>
      <c r="X68" s="12">
        <f>'VER_10_23 '!$AG$24</f>
        <v>0</v>
      </c>
      <c r="Y68" s="12">
        <f>'VER_10_23 '!$AG$25</f>
        <v>0</v>
      </c>
      <c r="Z68" s="12">
        <f>'VER_10_23 '!$AG$26</f>
        <v>0</v>
      </c>
      <c r="AA68" s="12">
        <f>'VER_10_23 '!$AG$27</f>
        <v>0</v>
      </c>
      <c r="AB68" s="12">
        <f>'VER_10_23 '!$AG$28</f>
        <v>0</v>
      </c>
      <c r="AC68" s="12">
        <f>'VER_10_23 '!$AG$29</f>
        <v>0</v>
      </c>
      <c r="AD68" s="12">
        <f>'VER_10_23 '!$AG$30</f>
        <v>0</v>
      </c>
      <c r="AE68" s="12">
        <f>'VER_10_23 '!$AG$31</f>
        <v>0</v>
      </c>
      <c r="AF68" s="12">
        <f>'VER_10_23 '!$AG$32</f>
        <v>0</v>
      </c>
      <c r="AG68" s="8">
        <f t="shared" si="51"/>
        <v>0</v>
      </c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  <c r="RA68" s="2"/>
      <c r="RB68" s="2"/>
      <c r="RC68" s="2"/>
      <c r="RD68" s="2"/>
      <c r="RE68" s="2"/>
      <c r="RF68" s="2"/>
      <c r="RG68" s="2"/>
      <c r="RH68" s="2"/>
      <c r="RI68" s="2"/>
      <c r="RJ68" s="2"/>
      <c r="RK68" s="2"/>
      <c r="RL68" s="2"/>
      <c r="RM68" s="2"/>
      <c r="RN68" s="2"/>
      <c r="RO68" s="2"/>
      <c r="RP68" s="2"/>
      <c r="RQ68" s="2"/>
      <c r="RR68" s="2"/>
      <c r="RS68" s="2"/>
      <c r="RT68" s="2"/>
      <c r="RU68" s="2"/>
      <c r="RV68" s="2"/>
      <c r="RW68" s="2"/>
      <c r="RX68" s="2"/>
      <c r="RY68" s="2"/>
      <c r="RZ68" s="2"/>
      <c r="SA68" s="2"/>
      <c r="SB68" s="2"/>
      <c r="SC68" s="2"/>
      <c r="SD68" s="2"/>
      <c r="SE68" s="2"/>
      <c r="SF68" s="2"/>
      <c r="SG68" s="2"/>
      <c r="SH68" s="2"/>
      <c r="SI68" s="2"/>
      <c r="SJ68" s="2"/>
      <c r="SK68" s="2"/>
      <c r="SL68" s="2"/>
      <c r="SM68" s="2"/>
      <c r="SN68" s="2"/>
      <c r="SO68" s="2"/>
      <c r="SP68" s="2"/>
      <c r="SQ68" s="2"/>
      <c r="SR68" s="2"/>
      <c r="SS68" s="2"/>
      <c r="ST68" s="2"/>
      <c r="SU68" s="2"/>
      <c r="SV68" s="2"/>
      <c r="SW68" s="2"/>
      <c r="SX68" s="2"/>
    </row>
    <row r="69" spans="1:518" x14ac:dyDescent="0.25">
      <c r="A69" s="214"/>
      <c r="B69" s="69" t="s">
        <v>128</v>
      </c>
      <c r="C69" s="12">
        <f>NEG_10_23!AG$3</f>
        <v>0</v>
      </c>
      <c r="D69" s="12">
        <f>NEG_10_23!AG$4</f>
        <v>0</v>
      </c>
      <c r="E69" s="12">
        <f>NEG_10_23!AG$5</f>
        <v>0</v>
      </c>
      <c r="F69" s="12">
        <f>NEG_10_23!AG$6</f>
        <v>0</v>
      </c>
      <c r="G69" s="12">
        <f>NEG_10_23!AG$7</f>
        <v>0</v>
      </c>
      <c r="H69" s="12">
        <f>NEG_10_23!AG$8</f>
        <v>0</v>
      </c>
      <c r="I69" s="12">
        <f>NEG_10_23!AG$9</f>
        <v>0</v>
      </c>
      <c r="J69" s="12">
        <f>NEG_10_23!AG$10</f>
        <v>0</v>
      </c>
      <c r="K69" s="12">
        <f>NEG_10_23!AG$11</f>
        <v>0</v>
      </c>
      <c r="L69" s="12">
        <f>NEG_10_23!AG$12</f>
        <v>0</v>
      </c>
      <c r="M69" s="12">
        <f>NEG_10_23!AG$13</f>
        <v>0</v>
      </c>
      <c r="N69" s="12">
        <f>NEG_10_23!AG$14</f>
        <v>0</v>
      </c>
      <c r="O69" s="12">
        <f>NEG_10_23!AG$15</f>
        <v>0</v>
      </c>
      <c r="P69" s="12">
        <f>NEG_10_23!AG$16</f>
        <v>0</v>
      </c>
      <c r="Q69" s="12">
        <f>NEG_10_23!AG$17</f>
        <v>0</v>
      </c>
      <c r="R69" s="12">
        <f>NEG_10_23!AG$18</f>
        <v>0</v>
      </c>
      <c r="S69" s="12">
        <f>NEG_10_23!AG$19</f>
        <v>0</v>
      </c>
      <c r="T69" s="12">
        <f>NEG_10_23!AG$20</f>
        <v>0</v>
      </c>
      <c r="U69" s="12">
        <f>NEG_10_23!AG$21</f>
        <v>0</v>
      </c>
      <c r="V69" s="12">
        <f>NEG_10_23!AG$22</f>
        <v>0</v>
      </c>
      <c r="W69" s="12">
        <f>NEG_10_23!AG$23</f>
        <v>0</v>
      </c>
      <c r="X69" s="12">
        <f>NEG_10_23!AG$24</f>
        <v>0</v>
      </c>
      <c r="Y69" s="12">
        <f>NEG_10_23!AAG$25</f>
        <v>0</v>
      </c>
      <c r="Z69" s="12">
        <f>NEG_10_23!AG$26</f>
        <v>0</v>
      </c>
      <c r="AA69" s="12">
        <f>NEG_10_23!AG$27</f>
        <v>0</v>
      </c>
      <c r="AB69" s="12">
        <f>NEG_10_23!AGA$28</f>
        <v>0</v>
      </c>
      <c r="AC69" s="12">
        <f>NEG_10_23!AG$29</f>
        <v>0</v>
      </c>
      <c r="AD69" s="12">
        <f>NEG_10_23!AG$30</f>
        <v>0</v>
      </c>
      <c r="AE69" s="12">
        <f>NEG_10_23!AG$31</f>
        <v>0</v>
      </c>
      <c r="AF69" s="12">
        <f>NEG_10_23!AG$32</f>
        <v>0</v>
      </c>
      <c r="AG69" s="8">
        <f t="shared" si="51"/>
        <v>0</v>
      </c>
      <c r="AH69" s="2"/>
      <c r="AI69" s="2"/>
      <c r="AJ69" s="2"/>
      <c r="AK69" s="13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  <c r="RA69" s="2"/>
      <c r="RB69" s="2"/>
      <c r="RC69" s="2"/>
      <c r="RD69" s="2"/>
      <c r="RE69" s="2"/>
      <c r="RF69" s="2"/>
      <c r="RG69" s="2"/>
      <c r="RH69" s="2"/>
      <c r="RI69" s="2"/>
      <c r="RJ69" s="2"/>
      <c r="RK69" s="2"/>
      <c r="RL69" s="2"/>
      <c r="RM69" s="2"/>
      <c r="RN69" s="2"/>
      <c r="RO69" s="2"/>
      <c r="RP69" s="2"/>
      <c r="RQ69" s="2"/>
      <c r="RR69" s="2"/>
      <c r="RS69" s="2"/>
      <c r="RT69" s="2"/>
      <c r="RU69" s="2"/>
      <c r="RV69" s="2"/>
      <c r="RW69" s="2"/>
      <c r="RX69" s="2"/>
      <c r="RY69" s="2"/>
      <c r="RZ69" s="2"/>
      <c r="SA69" s="2"/>
      <c r="SB69" s="2"/>
      <c r="SC69" s="2"/>
      <c r="SD69" s="2"/>
      <c r="SE69" s="2"/>
      <c r="SF69" s="2"/>
      <c r="SG69" s="2"/>
      <c r="SH69" s="2"/>
      <c r="SI69" s="2"/>
      <c r="SJ69" s="2"/>
      <c r="SK69" s="2"/>
      <c r="SL69" s="2"/>
      <c r="SM69" s="2"/>
      <c r="SN69" s="2"/>
      <c r="SO69" s="2"/>
      <c r="SP69" s="2"/>
      <c r="SQ69" s="2"/>
      <c r="SR69" s="2"/>
      <c r="SS69" s="2"/>
      <c r="ST69" s="2"/>
      <c r="SU69" s="2"/>
      <c r="SV69" s="2"/>
      <c r="SW69" s="2"/>
      <c r="SX69" s="2"/>
    </row>
    <row r="70" spans="1:518" x14ac:dyDescent="0.25">
      <c r="A70" s="214"/>
      <c r="B70" s="69" t="s">
        <v>129</v>
      </c>
      <c r="C70" s="12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10"/>
      <c r="Z70" s="10"/>
      <c r="AA70" s="10"/>
      <c r="AB70" s="10"/>
      <c r="AC70" s="10"/>
      <c r="AD70" s="10"/>
      <c r="AE70" s="10"/>
      <c r="AF70" s="10"/>
      <c r="AG70" s="8">
        <f t="shared" si="51"/>
        <v>0</v>
      </c>
      <c r="AH70" s="2"/>
      <c r="AI70" s="2"/>
      <c r="AJ70" s="2"/>
      <c r="AK70" s="13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  <c r="FK70" s="2"/>
      <c r="FL70" s="2"/>
      <c r="FM70" s="2"/>
      <c r="FN70" s="2"/>
      <c r="FO70" s="2"/>
      <c r="FP70" s="2"/>
      <c r="FQ70" s="2"/>
      <c r="FR70" s="2"/>
      <c r="FS70" s="2"/>
      <c r="FT70" s="2"/>
      <c r="FU70" s="2"/>
      <c r="FV70" s="2"/>
      <c r="FW70" s="2"/>
      <c r="FX70" s="2"/>
      <c r="FY70" s="2"/>
      <c r="FZ70" s="2"/>
      <c r="GA70" s="2"/>
      <c r="GB70" s="2"/>
      <c r="GC70" s="2"/>
      <c r="GD70" s="2"/>
      <c r="GE70" s="2"/>
      <c r="GF70" s="2"/>
      <c r="GG70" s="2"/>
      <c r="GH70" s="2"/>
      <c r="GI70" s="2"/>
      <c r="GJ70" s="2"/>
      <c r="GK70" s="2"/>
      <c r="GL70" s="2"/>
      <c r="GM70" s="2"/>
      <c r="GN70" s="2"/>
      <c r="GO70" s="2"/>
      <c r="GP70" s="2"/>
      <c r="GQ70" s="2"/>
      <c r="GR70" s="2"/>
      <c r="GS70" s="2"/>
      <c r="GT70" s="2"/>
      <c r="GU70" s="2"/>
      <c r="GV70" s="2"/>
      <c r="GW70" s="2"/>
      <c r="GX70" s="2"/>
      <c r="GY70" s="2"/>
      <c r="GZ70" s="2"/>
      <c r="HA70" s="2"/>
      <c r="HB70" s="2"/>
      <c r="HC70" s="2"/>
      <c r="HD70" s="2"/>
      <c r="HE70" s="2"/>
      <c r="HF70" s="2"/>
      <c r="HG70" s="2"/>
      <c r="HH70" s="2"/>
      <c r="HI70" s="2"/>
      <c r="HJ70" s="2"/>
      <c r="HK70" s="2"/>
      <c r="HL70" s="2"/>
      <c r="HM70" s="2"/>
      <c r="HN70" s="2"/>
      <c r="HO70" s="2"/>
      <c r="HP70" s="2"/>
      <c r="HQ70" s="2"/>
      <c r="HR70" s="2"/>
      <c r="HS70" s="2"/>
      <c r="HT70" s="2"/>
      <c r="HU70" s="2"/>
      <c r="HV70" s="2"/>
      <c r="HW70" s="2"/>
      <c r="HX70" s="2"/>
      <c r="HY70" s="2"/>
      <c r="HZ70" s="2"/>
      <c r="IA70" s="2"/>
      <c r="IB70" s="2"/>
      <c r="IC70" s="2"/>
      <c r="ID70" s="2"/>
      <c r="IE70" s="2"/>
      <c r="IF70" s="2"/>
      <c r="IG70" s="2"/>
      <c r="IH70" s="2"/>
      <c r="II70" s="2"/>
      <c r="IJ70" s="2"/>
      <c r="IK70" s="2"/>
      <c r="IL70" s="2"/>
      <c r="IM70" s="2"/>
      <c r="IN70" s="2"/>
      <c r="IO70" s="2"/>
      <c r="IP70" s="2"/>
      <c r="IQ70" s="2"/>
      <c r="IR70" s="2"/>
      <c r="IS70" s="2"/>
      <c r="IT70" s="2"/>
      <c r="IU70" s="2"/>
      <c r="IV70" s="2"/>
      <c r="IW70" s="2"/>
      <c r="IX70" s="2"/>
      <c r="IY70" s="2"/>
      <c r="IZ70" s="2"/>
      <c r="JA70" s="2"/>
      <c r="JB70" s="2"/>
      <c r="JC70" s="2"/>
      <c r="JD70" s="2"/>
      <c r="JE70" s="2"/>
      <c r="JF70" s="2"/>
      <c r="JG70" s="2"/>
      <c r="JH70" s="2"/>
      <c r="JI70" s="2"/>
      <c r="JJ70" s="2"/>
      <c r="JK70" s="2"/>
      <c r="JL70" s="2"/>
      <c r="JM70" s="2"/>
      <c r="JN70" s="2"/>
      <c r="JO70" s="2"/>
      <c r="JP70" s="2"/>
      <c r="JQ70" s="2"/>
      <c r="JR70" s="2"/>
      <c r="JS70" s="2"/>
      <c r="JT70" s="2"/>
      <c r="JU70" s="2"/>
      <c r="JV70" s="2"/>
      <c r="JW70" s="2"/>
      <c r="JX70" s="2"/>
      <c r="JY70" s="2"/>
      <c r="JZ70" s="2"/>
      <c r="KA70" s="2"/>
      <c r="KB70" s="2"/>
      <c r="KC70" s="2"/>
      <c r="KD70" s="2"/>
      <c r="KE70" s="2"/>
      <c r="KF70" s="2"/>
      <c r="KG70" s="2"/>
      <c r="KH70" s="2"/>
      <c r="KI70" s="2"/>
      <c r="KJ70" s="2"/>
      <c r="KK70" s="2"/>
      <c r="KL70" s="2"/>
      <c r="KM70" s="2"/>
      <c r="KN70" s="2"/>
      <c r="KO70" s="2"/>
      <c r="KP70" s="2"/>
      <c r="KQ70" s="2"/>
      <c r="KR70" s="2"/>
      <c r="KS70" s="2"/>
      <c r="KT70" s="2"/>
      <c r="KU70" s="2"/>
      <c r="KV70" s="2"/>
      <c r="KW70" s="2"/>
      <c r="KX70" s="2"/>
      <c r="KY70" s="2"/>
      <c r="KZ70" s="2"/>
      <c r="LA70" s="2"/>
      <c r="LB70" s="2"/>
      <c r="LC70" s="2"/>
      <c r="LD70" s="2"/>
      <c r="LE70" s="2"/>
      <c r="LF70" s="2"/>
      <c r="LG70" s="2"/>
      <c r="LH70" s="2"/>
      <c r="LI70" s="2"/>
      <c r="LJ70" s="2"/>
      <c r="LK70" s="2"/>
      <c r="LL70" s="2"/>
      <c r="LM70" s="2"/>
      <c r="LN70" s="2"/>
      <c r="LO70" s="2"/>
      <c r="LP70" s="2"/>
      <c r="LQ70" s="2"/>
      <c r="LR70" s="2"/>
      <c r="LS70" s="2"/>
      <c r="LT70" s="2"/>
      <c r="LU70" s="2"/>
      <c r="LV70" s="2"/>
      <c r="LW70" s="2"/>
      <c r="LX70" s="2"/>
      <c r="LY70" s="2"/>
      <c r="LZ70" s="2"/>
      <c r="MA70" s="2"/>
      <c r="MB70" s="2"/>
      <c r="MC70" s="2"/>
      <c r="MD70" s="2"/>
      <c r="ME70" s="2"/>
      <c r="MF70" s="2"/>
      <c r="MG70" s="2"/>
      <c r="MH70" s="2"/>
      <c r="MI70" s="2"/>
      <c r="MJ70" s="2"/>
      <c r="MK70" s="2"/>
      <c r="ML70" s="2"/>
      <c r="MM70" s="2"/>
      <c r="MN70" s="2"/>
      <c r="MO70" s="2"/>
      <c r="MP70" s="2"/>
      <c r="MQ70" s="2"/>
      <c r="MR70" s="2"/>
      <c r="MS70" s="2"/>
      <c r="MT70" s="2"/>
      <c r="MU70" s="2"/>
      <c r="MV70" s="2"/>
      <c r="MW70" s="2"/>
      <c r="MX70" s="2"/>
      <c r="MY70" s="2"/>
      <c r="MZ70" s="2"/>
      <c r="NA70" s="2"/>
      <c r="NB70" s="2"/>
      <c r="NC70" s="2"/>
      <c r="ND70" s="2"/>
      <c r="NE70" s="2"/>
      <c r="NF70" s="2"/>
      <c r="NG70" s="2"/>
      <c r="NH70" s="2"/>
      <c r="NI70" s="2"/>
      <c r="NJ70" s="2"/>
      <c r="NK70" s="2"/>
      <c r="NL70" s="2"/>
      <c r="NM70" s="2"/>
      <c r="NN70" s="2"/>
      <c r="NO70" s="2"/>
      <c r="NP70" s="2"/>
      <c r="NQ70" s="2"/>
      <c r="NR70" s="2"/>
      <c r="NS70" s="2"/>
      <c r="NT70" s="2"/>
      <c r="NU70" s="2"/>
      <c r="NV70" s="2"/>
      <c r="NW70" s="2"/>
      <c r="NX70" s="2"/>
      <c r="NY70" s="2"/>
      <c r="NZ70" s="2"/>
      <c r="OA70" s="2"/>
      <c r="OB70" s="2"/>
      <c r="OC70" s="2"/>
      <c r="OD70" s="2"/>
      <c r="OE70" s="2"/>
      <c r="OF70" s="2"/>
      <c r="OG70" s="2"/>
      <c r="OH70" s="2"/>
      <c r="OI70" s="2"/>
      <c r="OJ70" s="2"/>
      <c r="OK70" s="2"/>
      <c r="OL70" s="2"/>
      <c r="OM70" s="2"/>
      <c r="ON70" s="2"/>
      <c r="OO70" s="2"/>
      <c r="OP70" s="2"/>
      <c r="OQ70" s="2"/>
      <c r="OR70" s="2"/>
      <c r="OS70" s="2"/>
      <c r="OT70" s="2"/>
      <c r="OU70" s="2"/>
      <c r="OV70" s="2"/>
      <c r="OW70" s="2"/>
      <c r="OX70" s="2"/>
      <c r="OY70" s="2"/>
      <c r="OZ70" s="2"/>
      <c r="PA70" s="2"/>
      <c r="PB70" s="2"/>
      <c r="PC70" s="2"/>
      <c r="PD70" s="2"/>
      <c r="PE70" s="2"/>
      <c r="PF70" s="2"/>
      <c r="PG70" s="2"/>
      <c r="PH70" s="2"/>
      <c r="PI70" s="2"/>
      <c r="PJ70" s="2"/>
      <c r="PK70" s="2"/>
      <c r="PL70" s="2"/>
      <c r="PM70" s="2"/>
      <c r="PN70" s="2"/>
      <c r="PO70" s="2"/>
      <c r="PP70" s="2"/>
      <c r="PQ70" s="2"/>
      <c r="PR70" s="2"/>
      <c r="PS70" s="2"/>
      <c r="PT70" s="2"/>
      <c r="PU70" s="2"/>
      <c r="PV70" s="2"/>
      <c r="PW70" s="2"/>
      <c r="PX70" s="2"/>
      <c r="PY70" s="2"/>
      <c r="PZ70" s="2"/>
      <c r="QA70" s="2"/>
      <c r="QB70" s="2"/>
      <c r="QC70" s="2"/>
      <c r="QD70" s="2"/>
      <c r="QE70" s="2"/>
      <c r="QF70" s="2"/>
      <c r="QG70" s="2"/>
      <c r="QH70" s="2"/>
      <c r="QI70" s="2"/>
      <c r="QJ70" s="2"/>
      <c r="QK70" s="2"/>
      <c r="QL70" s="2"/>
      <c r="QM70" s="2"/>
      <c r="QN70" s="2"/>
      <c r="QO70" s="2"/>
      <c r="QP70" s="2"/>
      <c r="QQ70" s="2"/>
      <c r="QR70" s="2"/>
      <c r="QS70" s="2"/>
      <c r="QT70" s="2"/>
      <c r="QU70" s="2"/>
      <c r="QV70" s="2"/>
      <c r="QW70" s="2"/>
      <c r="QX70" s="2"/>
      <c r="QY70" s="2"/>
      <c r="QZ70" s="2"/>
      <c r="RA70" s="2"/>
      <c r="RB70" s="2"/>
      <c r="RC70" s="2"/>
      <c r="RD70" s="2"/>
      <c r="RE70" s="2"/>
      <c r="RF70" s="2"/>
      <c r="RG70" s="2"/>
      <c r="RH70" s="2"/>
      <c r="RI70" s="2"/>
      <c r="RJ70" s="2"/>
      <c r="RK70" s="2"/>
      <c r="RL70" s="2"/>
      <c r="RM70" s="2"/>
      <c r="RN70" s="2"/>
      <c r="RO70" s="2"/>
      <c r="RP70" s="2"/>
      <c r="RQ70" s="2"/>
      <c r="RR70" s="2"/>
      <c r="RS70" s="2"/>
      <c r="RT70" s="2"/>
      <c r="RU70" s="2"/>
      <c r="RV70" s="2"/>
      <c r="RW70" s="2"/>
      <c r="RX70" s="2"/>
      <c r="RY70" s="2"/>
      <c r="RZ70" s="2"/>
      <c r="SA70" s="2"/>
      <c r="SB70" s="2"/>
      <c r="SC70" s="2"/>
      <c r="SD70" s="2"/>
      <c r="SE70" s="2"/>
      <c r="SF70" s="2"/>
      <c r="SG70" s="2"/>
      <c r="SH70" s="2"/>
      <c r="SI70" s="2"/>
      <c r="SJ70" s="2"/>
      <c r="SK70" s="2"/>
      <c r="SL70" s="2"/>
      <c r="SM70" s="2"/>
      <c r="SN70" s="2"/>
      <c r="SO70" s="2"/>
      <c r="SP70" s="2"/>
      <c r="SQ70" s="2"/>
      <c r="SR70" s="2"/>
      <c r="SS70" s="2"/>
      <c r="ST70" s="2"/>
      <c r="SU70" s="2"/>
      <c r="SV70" s="2"/>
      <c r="SW70" s="2"/>
      <c r="SX70" s="2"/>
    </row>
    <row r="71" spans="1:518" s="4" customFormat="1" x14ac:dyDescent="0.25">
      <c r="A71" s="207" t="s">
        <v>97</v>
      </c>
      <c r="B71" s="208"/>
      <c r="C71" s="64">
        <f>SUM(C65:C70)</f>
        <v>0</v>
      </c>
      <c r="D71" s="8">
        <f>SUM(D65:D70)</f>
        <v>0</v>
      </c>
      <c r="E71" s="8">
        <f t="shared" ref="E71:AF71" si="54">SUM(E65:E70)</f>
        <v>0</v>
      </c>
      <c r="F71" s="8">
        <f t="shared" si="54"/>
        <v>0</v>
      </c>
      <c r="G71" s="8">
        <f t="shared" si="54"/>
        <v>0</v>
      </c>
      <c r="H71" s="8">
        <f t="shared" si="54"/>
        <v>0</v>
      </c>
      <c r="I71" s="8">
        <f t="shared" si="54"/>
        <v>0</v>
      </c>
      <c r="J71" s="8">
        <f t="shared" si="54"/>
        <v>0</v>
      </c>
      <c r="K71" s="8">
        <f t="shared" si="54"/>
        <v>0</v>
      </c>
      <c r="L71" s="8">
        <f t="shared" si="54"/>
        <v>0</v>
      </c>
      <c r="M71" s="8">
        <f t="shared" si="54"/>
        <v>0</v>
      </c>
      <c r="N71" s="8">
        <f t="shared" si="54"/>
        <v>0</v>
      </c>
      <c r="O71" s="8">
        <f t="shared" si="54"/>
        <v>0</v>
      </c>
      <c r="P71" s="8">
        <f t="shared" si="54"/>
        <v>0</v>
      </c>
      <c r="Q71" s="8">
        <f t="shared" si="54"/>
        <v>0</v>
      </c>
      <c r="R71" s="8">
        <f t="shared" si="54"/>
        <v>0</v>
      </c>
      <c r="S71" s="8">
        <f t="shared" si="54"/>
        <v>0</v>
      </c>
      <c r="T71" s="8">
        <f t="shared" si="54"/>
        <v>0</v>
      </c>
      <c r="U71" s="8">
        <f t="shared" si="54"/>
        <v>0</v>
      </c>
      <c r="V71" s="8">
        <f t="shared" si="54"/>
        <v>0</v>
      </c>
      <c r="W71" s="8">
        <f t="shared" si="54"/>
        <v>0</v>
      </c>
      <c r="X71" s="8">
        <f t="shared" si="54"/>
        <v>0</v>
      </c>
      <c r="Y71" s="8">
        <f t="shared" si="54"/>
        <v>0</v>
      </c>
      <c r="Z71" s="8">
        <f t="shared" si="54"/>
        <v>0</v>
      </c>
      <c r="AA71" s="8">
        <f t="shared" si="54"/>
        <v>0</v>
      </c>
      <c r="AB71" s="8">
        <f t="shared" si="54"/>
        <v>0</v>
      </c>
      <c r="AC71" s="8">
        <f t="shared" si="54"/>
        <v>0</v>
      </c>
      <c r="AD71" s="8">
        <f t="shared" si="54"/>
        <v>0</v>
      </c>
      <c r="AE71" s="8">
        <f t="shared" si="54"/>
        <v>0</v>
      </c>
      <c r="AF71" s="8">
        <f t="shared" si="54"/>
        <v>0</v>
      </c>
      <c r="AG71" s="8">
        <f t="shared" si="51"/>
        <v>0</v>
      </c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  <c r="FK71" s="2"/>
      <c r="FL71" s="2"/>
      <c r="FM71" s="2"/>
      <c r="FN71" s="2"/>
      <c r="FO71" s="2"/>
      <c r="FP71" s="2"/>
      <c r="FQ71" s="2"/>
      <c r="FR71" s="2"/>
      <c r="FS71" s="2"/>
      <c r="FT71" s="2"/>
      <c r="FU71" s="2"/>
      <c r="FV71" s="2"/>
      <c r="FW71" s="2"/>
      <c r="FX71" s="2"/>
      <c r="FY71" s="2"/>
      <c r="FZ71" s="2"/>
      <c r="GA71" s="2"/>
      <c r="GB71" s="2"/>
      <c r="GC71" s="2"/>
      <c r="GD71" s="2"/>
      <c r="GE71" s="2"/>
      <c r="GF71" s="2"/>
      <c r="GG71" s="2"/>
      <c r="GH71" s="2"/>
      <c r="GI71" s="2"/>
      <c r="GJ71" s="2"/>
      <c r="GK71" s="2"/>
      <c r="GL71" s="2"/>
      <c r="GM71" s="2"/>
      <c r="GN71" s="2"/>
      <c r="GO71" s="2"/>
      <c r="GP71" s="2"/>
      <c r="GQ71" s="2"/>
      <c r="GR71" s="2"/>
      <c r="GS71" s="2"/>
      <c r="GT71" s="2"/>
      <c r="GU71" s="2"/>
      <c r="GV71" s="2"/>
      <c r="GW71" s="2"/>
      <c r="GX71" s="2"/>
      <c r="GY71" s="2"/>
      <c r="GZ71" s="2"/>
      <c r="HA71" s="2"/>
      <c r="HB71" s="2"/>
      <c r="HC71" s="2"/>
      <c r="HD71" s="2"/>
      <c r="HE71" s="2"/>
      <c r="HF71" s="2"/>
      <c r="HG71" s="2"/>
      <c r="HH71" s="2"/>
      <c r="HI71" s="2"/>
      <c r="HJ71" s="2"/>
      <c r="HK71" s="2"/>
      <c r="HL71" s="2"/>
      <c r="HM71" s="2"/>
      <c r="HN71" s="2"/>
      <c r="HO71" s="2"/>
      <c r="HP71" s="2"/>
      <c r="HQ71" s="2"/>
      <c r="HR71" s="2"/>
      <c r="HS71" s="2"/>
      <c r="HT71" s="2"/>
      <c r="HU71" s="2"/>
      <c r="HV71" s="2"/>
      <c r="HW71" s="2"/>
      <c r="HX71" s="2"/>
      <c r="HY71" s="2"/>
      <c r="HZ71" s="2"/>
      <c r="IA71" s="2"/>
      <c r="IB71" s="2"/>
      <c r="IC71" s="2"/>
      <c r="ID71" s="2"/>
      <c r="IE71" s="2"/>
      <c r="IF71" s="2"/>
      <c r="IG71" s="2"/>
      <c r="IH71" s="2"/>
      <c r="II71" s="2"/>
      <c r="IJ71" s="2"/>
      <c r="IK71" s="2"/>
      <c r="IL71" s="2"/>
      <c r="IM71" s="2"/>
      <c r="IN71" s="2"/>
      <c r="IO71" s="2"/>
      <c r="IP71" s="2"/>
      <c r="IQ71" s="2"/>
      <c r="IR71" s="2"/>
      <c r="IS71" s="2"/>
      <c r="IT71" s="2"/>
      <c r="IU71" s="2"/>
      <c r="IV71" s="2"/>
      <c r="IW71" s="2"/>
      <c r="IX71" s="2"/>
      <c r="IY71" s="2"/>
      <c r="IZ71" s="2"/>
      <c r="JA71" s="2"/>
      <c r="JB71" s="2"/>
      <c r="JC71" s="2"/>
      <c r="JD71" s="2"/>
      <c r="JE71" s="2"/>
      <c r="JF71" s="2"/>
      <c r="JG71" s="2"/>
      <c r="JH71" s="2"/>
      <c r="JI71" s="2"/>
      <c r="JJ71" s="2"/>
      <c r="JK71" s="2"/>
      <c r="JL71" s="2"/>
      <c r="JM71" s="2"/>
      <c r="JN71" s="2"/>
      <c r="JO71" s="2"/>
      <c r="JP71" s="2"/>
      <c r="JQ71" s="2"/>
      <c r="JR71" s="2"/>
      <c r="JS71" s="2"/>
      <c r="JT71" s="2"/>
      <c r="JU71" s="2"/>
      <c r="JV71" s="2"/>
      <c r="JW71" s="2"/>
      <c r="JX71" s="2"/>
      <c r="JY71" s="2"/>
      <c r="JZ71" s="2"/>
      <c r="KA71" s="2"/>
      <c r="KB71" s="2"/>
      <c r="KC71" s="2"/>
      <c r="KD71" s="2"/>
      <c r="KE71" s="2"/>
      <c r="KF71" s="2"/>
      <c r="KG71" s="2"/>
      <c r="KH71" s="2"/>
      <c r="KI71" s="2"/>
      <c r="KJ71" s="2"/>
      <c r="KK71" s="2"/>
      <c r="KL71" s="2"/>
      <c r="KM71" s="2"/>
      <c r="KN71" s="2"/>
      <c r="KO71" s="2"/>
      <c r="KP71" s="2"/>
      <c r="KQ71" s="2"/>
      <c r="KR71" s="2"/>
      <c r="KS71" s="2"/>
      <c r="KT71" s="2"/>
      <c r="KU71" s="2"/>
      <c r="KV71" s="2"/>
      <c r="KW71" s="2"/>
      <c r="KX71" s="2"/>
      <c r="KY71" s="2"/>
      <c r="KZ71" s="2"/>
      <c r="LA71" s="2"/>
      <c r="LB71" s="2"/>
      <c r="LC71" s="2"/>
      <c r="LD71" s="2"/>
      <c r="LE71" s="2"/>
      <c r="LF71" s="2"/>
      <c r="LG71" s="2"/>
      <c r="LH71" s="2"/>
      <c r="LI71" s="2"/>
      <c r="LJ71" s="2"/>
      <c r="LK71" s="2"/>
      <c r="LL71" s="2"/>
      <c r="LM71" s="2"/>
      <c r="LN71" s="2"/>
      <c r="LO71" s="2"/>
      <c r="LP71" s="2"/>
      <c r="LQ71" s="2"/>
      <c r="LR71" s="2"/>
      <c r="LS71" s="2"/>
      <c r="LT71" s="2"/>
      <c r="LU71" s="2"/>
      <c r="LV71" s="2"/>
      <c r="LW71" s="2"/>
      <c r="LX71" s="2"/>
      <c r="LY71" s="2"/>
      <c r="LZ71" s="2"/>
      <c r="MA71" s="2"/>
      <c r="MB71" s="2"/>
      <c r="MC71" s="2"/>
      <c r="MD71" s="2"/>
      <c r="ME71" s="2"/>
      <c r="MF71" s="2"/>
      <c r="MG71" s="2"/>
      <c r="MH71" s="2"/>
      <c r="MI71" s="2"/>
      <c r="MJ71" s="2"/>
      <c r="MK71" s="2"/>
      <c r="ML71" s="2"/>
      <c r="MM71" s="2"/>
      <c r="MN71" s="2"/>
      <c r="MO71" s="2"/>
      <c r="MP71" s="2"/>
      <c r="MQ71" s="2"/>
      <c r="MR71" s="2"/>
      <c r="MS71" s="2"/>
      <c r="MT71" s="2"/>
      <c r="MU71" s="2"/>
      <c r="MV71" s="2"/>
      <c r="MW71" s="2"/>
      <c r="MX71" s="2"/>
      <c r="MY71" s="2"/>
      <c r="MZ71" s="2"/>
      <c r="NA71" s="2"/>
      <c r="NB71" s="2"/>
      <c r="NC71" s="2"/>
      <c r="ND71" s="2"/>
      <c r="NE71" s="2"/>
      <c r="NF71" s="2"/>
      <c r="NG71" s="2"/>
      <c r="NH71" s="2"/>
      <c r="NI71" s="2"/>
      <c r="NJ71" s="2"/>
      <c r="NK71" s="2"/>
      <c r="NL71" s="2"/>
      <c r="NM71" s="2"/>
      <c r="NN71" s="2"/>
      <c r="NO71" s="2"/>
      <c r="NP71" s="2"/>
      <c r="NQ71" s="2"/>
      <c r="NR71" s="2"/>
      <c r="NS71" s="2"/>
      <c r="NT71" s="2"/>
      <c r="NU71" s="2"/>
      <c r="NV71" s="2"/>
      <c r="NW71" s="2"/>
      <c r="NX71" s="2"/>
      <c r="NY71" s="2"/>
      <c r="NZ71" s="2"/>
      <c r="OA71" s="2"/>
      <c r="OB71" s="2"/>
      <c r="OC71" s="2"/>
      <c r="OD71" s="2"/>
      <c r="OE71" s="2"/>
      <c r="OF71" s="2"/>
      <c r="OG71" s="2"/>
      <c r="OH71" s="2"/>
      <c r="OI71" s="2"/>
      <c r="OJ71" s="2"/>
      <c r="OK71" s="2"/>
      <c r="OL71" s="2"/>
      <c r="OM71" s="2"/>
      <c r="ON71" s="2"/>
      <c r="OO71" s="2"/>
      <c r="OP71" s="2"/>
      <c r="OQ71" s="2"/>
      <c r="OR71" s="2"/>
      <c r="OS71" s="2"/>
      <c r="OT71" s="2"/>
      <c r="OU71" s="2"/>
      <c r="OV71" s="2"/>
      <c r="OW71" s="2"/>
      <c r="OX71" s="2"/>
      <c r="OY71" s="2"/>
      <c r="OZ71" s="2"/>
      <c r="PA71" s="2"/>
      <c r="PB71" s="2"/>
      <c r="PC71" s="2"/>
      <c r="PD71" s="2"/>
      <c r="PE71" s="2"/>
      <c r="PF71" s="2"/>
      <c r="PG71" s="2"/>
      <c r="PH71" s="2"/>
      <c r="PI71" s="2"/>
      <c r="PJ71" s="2"/>
      <c r="PK71" s="2"/>
      <c r="PL71" s="2"/>
      <c r="PM71" s="2"/>
      <c r="PN71" s="2"/>
      <c r="PO71" s="2"/>
      <c r="PP71" s="2"/>
      <c r="PQ71" s="2"/>
      <c r="PR71" s="2"/>
      <c r="PS71" s="2"/>
      <c r="PT71" s="2"/>
      <c r="PU71" s="2"/>
      <c r="PV71" s="2"/>
      <c r="PW71" s="2"/>
      <c r="PX71" s="2"/>
      <c r="PY71" s="2"/>
      <c r="PZ71" s="2"/>
      <c r="QA71" s="2"/>
      <c r="QB71" s="2"/>
      <c r="QC71" s="2"/>
      <c r="QD71" s="2"/>
      <c r="QE71" s="2"/>
      <c r="QF71" s="2"/>
      <c r="QG71" s="2"/>
      <c r="QH71" s="2"/>
      <c r="QI71" s="2"/>
      <c r="QJ71" s="2"/>
      <c r="QK71" s="2"/>
      <c r="QL71" s="2"/>
      <c r="QM71" s="2"/>
      <c r="QN71" s="2"/>
      <c r="QO71" s="2"/>
      <c r="QP71" s="2"/>
      <c r="QQ71" s="2"/>
      <c r="QR71" s="2"/>
      <c r="QS71" s="2"/>
      <c r="QT71" s="2"/>
      <c r="QU71" s="2"/>
      <c r="QV71" s="2"/>
      <c r="QW71" s="2"/>
      <c r="QX71" s="2"/>
      <c r="QY71" s="2"/>
      <c r="QZ71" s="2"/>
      <c r="RA71" s="2"/>
      <c r="RB71" s="2"/>
      <c r="RC71" s="2"/>
      <c r="RD71" s="2"/>
      <c r="RE71" s="2"/>
      <c r="RF71" s="2"/>
      <c r="RG71" s="2"/>
      <c r="RH71" s="2"/>
      <c r="RI71" s="2"/>
      <c r="RJ71" s="2"/>
      <c r="RK71" s="2"/>
      <c r="RL71" s="2"/>
      <c r="RM71" s="2"/>
      <c r="RN71" s="2"/>
      <c r="RO71" s="2"/>
      <c r="RP71" s="2"/>
      <c r="RQ71" s="2"/>
      <c r="RR71" s="2"/>
      <c r="RS71" s="2"/>
      <c r="RT71" s="2"/>
      <c r="RU71" s="2"/>
      <c r="RV71" s="2"/>
      <c r="RW71" s="2"/>
      <c r="RX71" s="2"/>
      <c r="RY71" s="2"/>
      <c r="RZ71" s="2"/>
      <c r="SA71" s="2"/>
      <c r="SB71" s="2"/>
      <c r="SC71" s="2"/>
      <c r="SD71" s="2"/>
      <c r="SE71" s="2"/>
      <c r="SF71" s="2"/>
      <c r="SG71" s="2"/>
      <c r="SH71" s="2"/>
      <c r="SI71" s="2"/>
      <c r="SJ71" s="2"/>
      <c r="SK71" s="2"/>
      <c r="SL71" s="2"/>
      <c r="SM71" s="2"/>
      <c r="SN71" s="2"/>
      <c r="SO71" s="2"/>
      <c r="SP71" s="2"/>
      <c r="SQ71" s="2"/>
      <c r="SR71" s="2"/>
      <c r="SS71" s="2"/>
      <c r="ST71" s="2"/>
      <c r="SU71" s="2"/>
      <c r="SV71" s="2"/>
      <c r="SW71" s="2"/>
      <c r="SX71" s="2"/>
    </row>
    <row r="72" spans="1:518" x14ac:dyDescent="0.25">
      <c r="A72" s="214" t="s">
        <v>99</v>
      </c>
      <c r="B72" s="69" t="s">
        <v>160</v>
      </c>
      <c r="C72" s="12">
        <f>'PAP_11_23  '!$AG$3</f>
        <v>0</v>
      </c>
      <c r="D72" s="12">
        <f>'PAP_11_23  '!$AG$4</f>
        <v>0</v>
      </c>
      <c r="E72" s="12">
        <f>'PAP_11_23  '!$AG$5</f>
        <v>0</v>
      </c>
      <c r="F72" s="12">
        <f>'PAP_11_23  '!$AG$6</f>
        <v>0</v>
      </c>
      <c r="G72" s="12">
        <f>'PAP_11_23  '!$AG$7</f>
        <v>0</v>
      </c>
      <c r="H72" s="12">
        <f>'PAP_11_23  '!$AG$8</f>
        <v>0</v>
      </c>
      <c r="I72" s="12">
        <f>'PAP_11_23  '!$AG$9</f>
        <v>0</v>
      </c>
      <c r="J72" s="12">
        <f>'PAP_11_23  '!$AG10</f>
        <v>0</v>
      </c>
      <c r="K72" s="12">
        <f>'PAP_11_23  '!$AG$11</f>
        <v>0</v>
      </c>
      <c r="L72" s="12">
        <f>'PAP_11_23  '!$AG$12</f>
        <v>0</v>
      </c>
      <c r="M72" s="12">
        <f>'PAP_11_23  '!$AG$13</f>
        <v>0</v>
      </c>
      <c r="N72" s="12">
        <f>'PAP_11_23  '!$AG$14</f>
        <v>0</v>
      </c>
      <c r="O72" s="12">
        <f>'PAP_11_23  '!$AG$15</f>
        <v>0</v>
      </c>
      <c r="P72" s="12">
        <f>'PAP_11_23  '!$AG$16</f>
        <v>0</v>
      </c>
      <c r="Q72" s="12">
        <f>'PAP_11_23  '!$AG$17</f>
        <v>0</v>
      </c>
      <c r="R72" s="12">
        <f>'PAP_11_23  '!$AG$18</f>
        <v>0</v>
      </c>
      <c r="S72" s="12">
        <f>'PAP_11_23  '!$AG$19</f>
        <v>0</v>
      </c>
      <c r="T72" s="12">
        <f>'PAP_11_23  '!$AG$20</f>
        <v>0</v>
      </c>
      <c r="U72" s="12">
        <f>'PAP_11_23  '!$AG$21</f>
        <v>0</v>
      </c>
      <c r="V72" s="12">
        <f>'PAP_11_23  '!$AG$22</f>
        <v>0</v>
      </c>
      <c r="W72" s="12">
        <f>'PAP_11_23  '!$AG$23</f>
        <v>0</v>
      </c>
      <c r="X72" s="12">
        <f>'PAP_11_23  '!$AG$24</f>
        <v>0</v>
      </c>
      <c r="Y72" s="12">
        <f>'PAP_11_23  '!$AG$25</f>
        <v>0</v>
      </c>
      <c r="Z72" s="12">
        <f>'PAP_11_23  '!$AG$26</f>
        <v>0</v>
      </c>
      <c r="AA72" s="12">
        <f>'PAP_11_23  '!$AG$27</f>
        <v>0</v>
      </c>
      <c r="AB72" s="12">
        <f>'PAP_11_23  '!$AG$28</f>
        <v>0</v>
      </c>
      <c r="AC72" s="12">
        <f>'PAP_11_23  '!$AG$29</f>
        <v>0</v>
      </c>
      <c r="AD72" s="12">
        <f>'PAP_11_23  '!$AG$30</f>
        <v>0</v>
      </c>
      <c r="AE72" s="12">
        <f>'PAP_11_23  '!$AG$31</f>
        <v>0</v>
      </c>
      <c r="AF72" s="12">
        <f>'PAP_11_23  '!$AG$32</f>
        <v>0</v>
      </c>
      <c r="AG72" s="8">
        <f t="shared" si="51"/>
        <v>0</v>
      </c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  <c r="FK72" s="2"/>
      <c r="FL72" s="2"/>
      <c r="FM72" s="2"/>
      <c r="FN72" s="2"/>
      <c r="FO72" s="2"/>
      <c r="FP72" s="2"/>
      <c r="FQ72" s="2"/>
      <c r="FR72" s="2"/>
      <c r="FS72" s="2"/>
      <c r="FT72" s="2"/>
      <c r="FU72" s="2"/>
      <c r="FV72" s="2"/>
      <c r="FW72" s="2"/>
      <c r="FX72" s="2"/>
      <c r="FY72" s="2"/>
      <c r="FZ72" s="2"/>
      <c r="GA72" s="2"/>
      <c r="GB72" s="2"/>
      <c r="GC72" s="2"/>
      <c r="GD72" s="2"/>
      <c r="GE72" s="2"/>
      <c r="GF72" s="2"/>
      <c r="GG72" s="2"/>
      <c r="GH72" s="2"/>
      <c r="GI72" s="2"/>
      <c r="GJ72" s="2"/>
      <c r="GK72" s="2"/>
      <c r="GL72" s="2"/>
      <c r="GM72" s="2"/>
      <c r="GN72" s="2"/>
      <c r="GO72" s="2"/>
      <c r="GP72" s="2"/>
      <c r="GQ72" s="2"/>
      <c r="GR72" s="2"/>
      <c r="GS72" s="2"/>
      <c r="GT72" s="2"/>
      <c r="GU72" s="2"/>
      <c r="GV72" s="2"/>
      <c r="GW72" s="2"/>
      <c r="GX72" s="2"/>
      <c r="GY72" s="2"/>
      <c r="GZ72" s="2"/>
      <c r="HA72" s="2"/>
      <c r="HB72" s="2"/>
      <c r="HC72" s="2"/>
      <c r="HD72" s="2"/>
      <c r="HE72" s="2"/>
      <c r="HF72" s="2"/>
      <c r="HG72" s="2"/>
      <c r="HH72" s="2"/>
      <c r="HI72" s="2"/>
      <c r="HJ72" s="2"/>
      <c r="HK72" s="2"/>
      <c r="HL72" s="2"/>
      <c r="HM72" s="2"/>
      <c r="HN72" s="2"/>
      <c r="HO72" s="2"/>
      <c r="HP72" s="2"/>
      <c r="HQ72" s="2"/>
      <c r="HR72" s="2"/>
      <c r="HS72" s="2"/>
      <c r="HT72" s="2"/>
      <c r="HU72" s="2"/>
      <c r="HV72" s="2"/>
      <c r="HW72" s="2"/>
      <c r="HX72" s="2"/>
      <c r="HY72" s="2"/>
      <c r="HZ72" s="2"/>
      <c r="IA72" s="2"/>
      <c r="IB72" s="2"/>
      <c r="IC72" s="2"/>
      <c r="ID72" s="2"/>
      <c r="IE72" s="2"/>
      <c r="IF72" s="2"/>
      <c r="IG72" s="2"/>
      <c r="IH72" s="2"/>
      <c r="II72" s="2"/>
      <c r="IJ72" s="2"/>
      <c r="IK72" s="2"/>
      <c r="IL72" s="2"/>
      <c r="IM72" s="2"/>
      <c r="IN72" s="2"/>
      <c r="IO72" s="2"/>
      <c r="IP72" s="2"/>
      <c r="IQ72" s="2"/>
      <c r="IR72" s="2"/>
      <c r="IS72" s="2"/>
      <c r="IT72" s="2"/>
      <c r="IU72" s="2"/>
      <c r="IV72" s="2"/>
      <c r="IW72" s="2"/>
      <c r="IX72" s="2"/>
      <c r="IY72" s="2"/>
      <c r="IZ72" s="2"/>
      <c r="JA72" s="2"/>
      <c r="JB72" s="2"/>
      <c r="JC72" s="2"/>
      <c r="JD72" s="2"/>
      <c r="JE72" s="2"/>
      <c r="JF72" s="2"/>
      <c r="JG72" s="2"/>
      <c r="JH72" s="2"/>
      <c r="JI72" s="2"/>
      <c r="JJ72" s="2"/>
      <c r="JK72" s="2"/>
      <c r="JL72" s="2"/>
      <c r="JM72" s="2"/>
      <c r="JN72" s="2"/>
      <c r="JO72" s="2"/>
      <c r="JP72" s="2"/>
      <c r="JQ72" s="2"/>
      <c r="JR72" s="2"/>
      <c r="JS72" s="2"/>
      <c r="JT72" s="2"/>
      <c r="JU72" s="2"/>
      <c r="JV72" s="2"/>
      <c r="JW72" s="2"/>
      <c r="JX72" s="2"/>
      <c r="JY72" s="2"/>
      <c r="JZ72" s="2"/>
      <c r="KA72" s="2"/>
      <c r="KB72" s="2"/>
      <c r="KC72" s="2"/>
      <c r="KD72" s="2"/>
      <c r="KE72" s="2"/>
      <c r="KF72" s="2"/>
      <c r="KG72" s="2"/>
      <c r="KH72" s="2"/>
      <c r="KI72" s="2"/>
      <c r="KJ72" s="2"/>
      <c r="KK72" s="2"/>
      <c r="KL72" s="2"/>
      <c r="KM72" s="2"/>
      <c r="KN72" s="2"/>
      <c r="KO72" s="2"/>
      <c r="KP72" s="2"/>
      <c r="KQ72" s="2"/>
      <c r="KR72" s="2"/>
      <c r="KS72" s="2"/>
      <c r="KT72" s="2"/>
      <c r="KU72" s="2"/>
      <c r="KV72" s="2"/>
      <c r="KW72" s="2"/>
      <c r="KX72" s="2"/>
      <c r="KY72" s="2"/>
      <c r="KZ72" s="2"/>
      <c r="LA72" s="2"/>
      <c r="LB72" s="2"/>
      <c r="LC72" s="2"/>
      <c r="LD72" s="2"/>
      <c r="LE72" s="2"/>
      <c r="LF72" s="2"/>
      <c r="LG72" s="2"/>
      <c r="LH72" s="2"/>
      <c r="LI72" s="2"/>
      <c r="LJ72" s="2"/>
      <c r="LK72" s="2"/>
      <c r="LL72" s="2"/>
      <c r="LM72" s="2"/>
      <c r="LN72" s="2"/>
      <c r="LO72" s="2"/>
      <c r="LP72" s="2"/>
      <c r="LQ72" s="2"/>
      <c r="LR72" s="2"/>
      <c r="LS72" s="2"/>
      <c r="LT72" s="2"/>
      <c r="LU72" s="2"/>
      <c r="LV72" s="2"/>
      <c r="LW72" s="2"/>
      <c r="LX72" s="2"/>
      <c r="LY72" s="2"/>
      <c r="LZ72" s="2"/>
      <c r="MA72" s="2"/>
      <c r="MB72" s="2"/>
      <c r="MC72" s="2"/>
      <c r="MD72" s="2"/>
      <c r="ME72" s="2"/>
      <c r="MF72" s="2"/>
      <c r="MG72" s="2"/>
      <c r="MH72" s="2"/>
      <c r="MI72" s="2"/>
      <c r="MJ72" s="2"/>
      <c r="MK72" s="2"/>
      <c r="ML72" s="2"/>
      <c r="MM72" s="2"/>
      <c r="MN72" s="2"/>
      <c r="MO72" s="2"/>
      <c r="MP72" s="2"/>
      <c r="MQ72" s="2"/>
      <c r="MR72" s="2"/>
      <c r="MS72" s="2"/>
      <c r="MT72" s="2"/>
      <c r="MU72" s="2"/>
      <c r="MV72" s="2"/>
      <c r="MW72" s="2"/>
      <c r="MX72" s="2"/>
      <c r="MY72" s="2"/>
      <c r="MZ72" s="2"/>
      <c r="NA72" s="2"/>
      <c r="NB72" s="2"/>
      <c r="NC72" s="2"/>
      <c r="ND72" s="2"/>
      <c r="NE72" s="2"/>
      <c r="NF72" s="2"/>
      <c r="NG72" s="2"/>
      <c r="NH72" s="2"/>
      <c r="NI72" s="2"/>
      <c r="NJ72" s="2"/>
      <c r="NK72" s="2"/>
      <c r="NL72" s="2"/>
      <c r="NM72" s="2"/>
      <c r="NN72" s="2"/>
      <c r="NO72" s="2"/>
      <c r="NP72" s="2"/>
      <c r="NQ72" s="2"/>
      <c r="NR72" s="2"/>
      <c r="NS72" s="2"/>
      <c r="NT72" s="2"/>
      <c r="NU72" s="2"/>
      <c r="NV72" s="2"/>
      <c r="NW72" s="2"/>
      <c r="NX72" s="2"/>
      <c r="NY72" s="2"/>
      <c r="NZ72" s="2"/>
      <c r="OA72" s="2"/>
      <c r="OB72" s="2"/>
      <c r="OC72" s="2"/>
      <c r="OD72" s="2"/>
      <c r="OE72" s="2"/>
      <c r="OF72" s="2"/>
      <c r="OG72" s="2"/>
      <c r="OH72" s="2"/>
      <c r="OI72" s="2"/>
      <c r="OJ72" s="2"/>
      <c r="OK72" s="2"/>
      <c r="OL72" s="2"/>
      <c r="OM72" s="2"/>
      <c r="ON72" s="2"/>
      <c r="OO72" s="2"/>
      <c r="OP72" s="2"/>
      <c r="OQ72" s="2"/>
      <c r="OR72" s="2"/>
      <c r="OS72" s="2"/>
      <c r="OT72" s="2"/>
      <c r="OU72" s="2"/>
      <c r="OV72" s="2"/>
      <c r="OW72" s="2"/>
      <c r="OX72" s="2"/>
      <c r="OY72" s="2"/>
      <c r="OZ72" s="2"/>
      <c r="PA72" s="2"/>
      <c r="PB72" s="2"/>
      <c r="PC72" s="2"/>
      <c r="PD72" s="2"/>
      <c r="PE72" s="2"/>
      <c r="PF72" s="2"/>
      <c r="PG72" s="2"/>
      <c r="PH72" s="2"/>
      <c r="PI72" s="2"/>
      <c r="PJ72" s="2"/>
      <c r="PK72" s="2"/>
      <c r="PL72" s="2"/>
      <c r="PM72" s="2"/>
      <c r="PN72" s="2"/>
      <c r="PO72" s="2"/>
      <c r="PP72" s="2"/>
      <c r="PQ72" s="2"/>
      <c r="PR72" s="2"/>
      <c r="PS72" s="2"/>
      <c r="PT72" s="2"/>
      <c r="PU72" s="2"/>
      <c r="PV72" s="2"/>
      <c r="PW72" s="2"/>
      <c r="PX72" s="2"/>
      <c r="PY72" s="2"/>
      <c r="PZ72" s="2"/>
      <c r="QA72" s="2"/>
      <c r="QB72" s="2"/>
      <c r="QC72" s="2"/>
      <c r="QD72" s="2"/>
      <c r="QE72" s="2"/>
      <c r="QF72" s="2"/>
      <c r="QG72" s="2"/>
      <c r="QH72" s="2"/>
      <c r="QI72" s="2"/>
      <c r="QJ72" s="2"/>
      <c r="QK72" s="2"/>
      <c r="QL72" s="2"/>
      <c r="QM72" s="2"/>
      <c r="QN72" s="2"/>
      <c r="QO72" s="2"/>
      <c r="QP72" s="2"/>
      <c r="QQ72" s="2"/>
      <c r="QR72" s="2"/>
      <c r="QS72" s="2"/>
      <c r="QT72" s="2"/>
      <c r="QU72" s="2"/>
      <c r="QV72" s="2"/>
      <c r="QW72" s="2"/>
      <c r="QX72" s="2"/>
      <c r="QY72" s="2"/>
      <c r="QZ72" s="2"/>
      <c r="RA72" s="2"/>
      <c r="RB72" s="2"/>
      <c r="RC72" s="2"/>
      <c r="RD72" s="2"/>
      <c r="RE72" s="2"/>
      <c r="RF72" s="2"/>
      <c r="RG72" s="2"/>
      <c r="RH72" s="2"/>
      <c r="RI72" s="2"/>
      <c r="RJ72" s="2"/>
      <c r="RK72" s="2"/>
      <c r="RL72" s="2"/>
      <c r="RM72" s="2"/>
      <c r="RN72" s="2"/>
      <c r="RO72" s="2"/>
      <c r="RP72" s="2"/>
      <c r="RQ72" s="2"/>
      <c r="RR72" s="2"/>
      <c r="RS72" s="2"/>
      <c r="RT72" s="2"/>
      <c r="RU72" s="2"/>
      <c r="RV72" s="2"/>
      <c r="RW72" s="2"/>
      <c r="RX72" s="2"/>
      <c r="RY72" s="2"/>
      <c r="RZ72" s="2"/>
      <c r="SA72" s="2"/>
      <c r="SB72" s="2"/>
      <c r="SC72" s="2"/>
      <c r="SD72" s="2"/>
      <c r="SE72" s="2"/>
      <c r="SF72" s="2"/>
      <c r="SG72" s="2"/>
      <c r="SH72" s="2"/>
      <c r="SI72" s="2"/>
      <c r="SJ72" s="2"/>
      <c r="SK72" s="2"/>
      <c r="SL72" s="2"/>
      <c r="SM72" s="2"/>
      <c r="SN72" s="2"/>
      <c r="SO72" s="2"/>
      <c r="SP72" s="2"/>
      <c r="SQ72" s="2"/>
      <c r="SR72" s="2"/>
      <c r="SS72" s="2"/>
      <c r="ST72" s="2"/>
      <c r="SU72" s="2"/>
      <c r="SV72" s="2"/>
      <c r="SW72" s="2"/>
      <c r="SX72" s="2"/>
    </row>
    <row r="73" spans="1:518" x14ac:dyDescent="0.25">
      <c r="A73" s="214"/>
      <c r="B73" s="69" t="s">
        <v>161</v>
      </c>
      <c r="C73" s="12">
        <f>PLA_11_23!$AG$3</f>
        <v>0</v>
      </c>
      <c r="D73" s="12">
        <f>PLA_11_23!$AG$4</f>
        <v>0</v>
      </c>
      <c r="E73" s="12">
        <f>PLA_11_23!$AG$5</f>
        <v>0</v>
      </c>
      <c r="F73" s="12">
        <f>PLA_11_23!$AG$6</f>
        <v>0</v>
      </c>
      <c r="G73" s="12">
        <f>PLA_11_23!$AG$7</f>
        <v>0</v>
      </c>
      <c r="H73" s="12">
        <f>PLA_11_23!$AG$8</f>
        <v>0</v>
      </c>
      <c r="I73" s="12">
        <f>PLA_11_23!$AG$9</f>
        <v>0</v>
      </c>
      <c r="J73" s="12">
        <f>PLA_11_23!$AG$10</f>
        <v>0</v>
      </c>
      <c r="K73" s="12">
        <f>PLA_11_23!$AG$11</f>
        <v>0</v>
      </c>
      <c r="L73" s="12">
        <f>PLA_11_23!$AG$12</f>
        <v>0</v>
      </c>
      <c r="M73" s="12">
        <f>PLA_11_23!$AG$13</f>
        <v>0</v>
      </c>
      <c r="N73" s="12">
        <f>PLA_11_23!$AG$14</f>
        <v>0</v>
      </c>
      <c r="O73" s="12">
        <f>PLA_11_23!$AG$15</f>
        <v>0</v>
      </c>
      <c r="P73" s="12">
        <f>PLA_11_23!$AG$16</f>
        <v>0</v>
      </c>
      <c r="Q73" s="12">
        <f>PLA_11_23!$AG$17</f>
        <v>0</v>
      </c>
      <c r="R73" s="12">
        <f>PLA_11_23!$AG$18</f>
        <v>0</v>
      </c>
      <c r="S73" s="12">
        <f>PLA_11_23!$AG$19</f>
        <v>0</v>
      </c>
      <c r="T73" s="12">
        <f>PLA_11_23!$AG$20</f>
        <v>0</v>
      </c>
      <c r="U73" s="12">
        <f>PLA_11_23!$AG$21</f>
        <v>0</v>
      </c>
      <c r="V73" s="12">
        <f>PLA_11_23!$AG$22</f>
        <v>0</v>
      </c>
      <c r="W73" s="12">
        <f>PLA_11_23!$AG$23</f>
        <v>0</v>
      </c>
      <c r="X73" s="12">
        <f>PLA_11_23!$AG$24</f>
        <v>0</v>
      </c>
      <c r="Y73" s="12">
        <f>PLA_11_23!$AG$25</f>
        <v>0</v>
      </c>
      <c r="Z73" s="12">
        <f>PLA_11_23!$AG$26</f>
        <v>0</v>
      </c>
      <c r="AA73" s="12">
        <f>PLA_11_23!$AG$27</f>
        <v>0</v>
      </c>
      <c r="AB73" s="12">
        <f>PLA_11_23!$AG$28</f>
        <v>0</v>
      </c>
      <c r="AC73" s="12">
        <f>PLA_11_23!$AG$29</f>
        <v>0</v>
      </c>
      <c r="AD73" s="12">
        <f>PLA_11_23!$AG$30</f>
        <v>0</v>
      </c>
      <c r="AE73" s="12">
        <f>PLA_11_23!$AG$31</f>
        <v>0</v>
      </c>
      <c r="AF73" s="12">
        <f>PLA_11_23!$AG$32</f>
        <v>0</v>
      </c>
      <c r="AG73" s="8">
        <f t="shared" si="51"/>
        <v>0</v>
      </c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  <c r="FK73" s="2"/>
      <c r="FL73" s="2"/>
      <c r="FM73" s="2"/>
      <c r="FN73" s="2"/>
      <c r="FO73" s="2"/>
      <c r="FP73" s="2"/>
      <c r="FQ73" s="2"/>
      <c r="FR73" s="2"/>
      <c r="FS73" s="2"/>
      <c r="FT73" s="2"/>
      <c r="FU73" s="2"/>
      <c r="FV73" s="2"/>
      <c r="FW73" s="2"/>
      <c r="FX73" s="2"/>
      <c r="FY73" s="2"/>
      <c r="FZ73" s="2"/>
      <c r="GA73" s="2"/>
      <c r="GB73" s="2"/>
      <c r="GC73" s="2"/>
      <c r="GD73" s="2"/>
      <c r="GE73" s="2"/>
      <c r="GF73" s="2"/>
      <c r="GG73" s="2"/>
      <c r="GH73" s="2"/>
      <c r="GI73" s="2"/>
      <c r="GJ73" s="2"/>
      <c r="GK73" s="2"/>
      <c r="GL73" s="2"/>
      <c r="GM73" s="2"/>
      <c r="GN73" s="2"/>
      <c r="GO73" s="2"/>
      <c r="GP73" s="2"/>
      <c r="GQ73" s="2"/>
      <c r="GR73" s="2"/>
      <c r="GS73" s="2"/>
      <c r="GT73" s="2"/>
      <c r="GU73" s="2"/>
      <c r="GV73" s="2"/>
      <c r="GW73" s="2"/>
      <c r="GX73" s="2"/>
      <c r="GY73" s="2"/>
      <c r="GZ73" s="2"/>
      <c r="HA73" s="2"/>
      <c r="HB73" s="2"/>
      <c r="HC73" s="2"/>
      <c r="HD73" s="2"/>
      <c r="HE73" s="2"/>
      <c r="HF73" s="2"/>
      <c r="HG73" s="2"/>
      <c r="HH73" s="2"/>
      <c r="HI73" s="2"/>
      <c r="HJ73" s="2"/>
      <c r="HK73" s="2"/>
      <c r="HL73" s="2"/>
      <c r="HM73" s="2"/>
      <c r="HN73" s="2"/>
      <c r="HO73" s="2"/>
      <c r="HP73" s="2"/>
      <c r="HQ73" s="2"/>
      <c r="HR73" s="2"/>
      <c r="HS73" s="2"/>
      <c r="HT73" s="2"/>
      <c r="HU73" s="2"/>
      <c r="HV73" s="2"/>
      <c r="HW73" s="2"/>
      <c r="HX73" s="2"/>
      <c r="HY73" s="2"/>
      <c r="HZ73" s="2"/>
      <c r="IA73" s="2"/>
      <c r="IB73" s="2"/>
      <c r="IC73" s="2"/>
      <c r="ID73" s="2"/>
      <c r="IE73" s="2"/>
      <c r="IF73" s="2"/>
      <c r="IG73" s="2"/>
      <c r="IH73" s="2"/>
      <c r="II73" s="2"/>
      <c r="IJ73" s="2"/>
      <c r="IK73" s="2"/>
      <c r="IL73" s="2"/>
      <c r="IM73" s="2"/>
      <c r="IN73" s="2"/>
      <c r="IO73" s="2"/>
      <c r="IP73" s="2"/>
      <c r="IQ73" s="2"/>
      <c r="IR73" s="2"/>
      <c r="IS73" s="2"/>
      <c r="IT73" s="2"/>
      <c r="IU73" s="2"/>
      <c r="IV73" s="2"/>
      <c r="IW73" s="2"/>
      <c r="IX73" s="2"/>
      <c r="IY73" s="2"/>
      <c r="IZ73" s="2"/>
      <c r="JA73" s="2"/>
      <c r="JB73" s="2"/>
      <c r="JC73" s="2"/>
      <c r="JD73" s="2"/>
      <c r="JE73" s="2"/>
      <c r="JF73" s="2"/>
      <c r="JG73" s="2"/>
      <c r="JH73" s="2"/>
      <c r="JI73" s="2"/>
      <c r="JJ73" s="2"/>
      <c r="JK73" s="2"/>
      <c r="JL73" s="2"/>
      <c r="JM73" s="2"/>
      <c r="JN73" s="2"/>
      <c r="JO73" s="2"/>
      <c r="JP73" s="2"/>
      <c r="JQ73" s="2"/>
      <c r="JR73" s="2"/>
      <c r="JS73" s="2"/>
      <c r="JT73" s="2"/>
      <c r="JU73" s="2"/>
      <c r="JV73" s="2"/>
      <c r="JW73" s="2"/>
      <c r="JX73" s="2"/>
      <c r="JY73" s="2"/>
      <c r="JZ73" s="2"/>
      <c r="KA73" s="2"/>
      <c r="KB73" s="2"/>
      <c r="KC73" s="2"/>
      <c r="KD73" s="2"/>
      <c r="KE73" s="2"/>
      <c r="KF73" s="2"/>
      <c r="KG73" s="2"/>
      <c r="KH73" s="2"/>
      <c r="KI73" s="2"/>
      <c r="KJ73" s="2"/>
      <c r="KK73" s="2"/>
      <c r="KL73" s="2"/>
      <c r="KM73" s="2"/>
      <c r="KN73" s="2"/>
      <c r="KO73" s="2"/>
      <c r="KP73" s="2"/>
      <c r="KQ73" s="2"/>
      <c r="KR73" s="2"/>
      <c r="KS73" s="2"/>
      <c r="KT73" s="2"/>
      <c r="KU73" s="2"/>
      <c r="KV73" s="2"/>
      <c r="KW73" s="2"/>
      <c r="KX73" s="2"/>
      <c r="KY73" s="2"/>
      <c r="KZ73" s="2"/>
      <c r="LA73" s="2"/>
      <c r="LB73" s="2"/>
      <c r="LC73" s="2"/>
      <c r="LD73" s="2"/>
      <c r="LE73" s="2"/>
      <c r="LF73" s="2"/>
      <c r="LG73" s="2"/>
      <c r="LH73" s="2"/>
      <c r="LI73" s="2"/>
      <c r="LJ73" s="2"/>
      <c r="LK73" s="2"/>
      <c r="LL73" s="2"/>
      <c r="LM73" s="2"/>
      <c r="LN73" s="2"/>
      <c r="LO73" s="2"/>
      <c r="LP73" s="2"/>
      <c r="LQ73" s="2"/>
      <c r="LR73" s="2"/>
      <c r="LS73" s="2"/>
      <c r="LT73" s="2"/>
      <c r="LU73" s="2"/>
      <c r="LV73" s="2"/>
      <c r="LW73" s="2"/>
      <c r="LX73" s="2"/>
      <c r="LY73" s="2"/>
      <c r="LZ73" s="2"/>
      <c r="MA73" s="2"/>
      <c r="MB73" s="2"/>
      <c r="MC73" s="2"/>
      <c r="MD73" s="2"/>
      <c r="ME73" s="2"/>
      <c r="MF73" s="2"/>
      <c r="MG73" s="2"/>
      <c r="MH73" s="2"/>
      <c r="MI73" s="2"/>
      <c r="MJ73" s="2"/>
      <c r="MK73" s="2"/>
      <c r="ML73" s="2"/>
      <c r="MM73" s="2"/>
      <c r="MN73" s="2"/>
      <c r="MO73" s="2"/>
      <c r="MP73" s="2"/>
      <c r="MQ73" s="2"/>
      <c r="MR73" s="2"/>
      <c r="MS73" s="2"/>
      <c r="MT73" s="2"/>
      <c r="MU73" s="2"/>
      <c r="MV73" s="2"/>
      <c r="MW73" s="2"/>
      <c r="MX73" s="2"/>
      <c r="MY73" s="2"/>
      <c r="MZ73" s="2"/>
      <c r="NA73" s="2"/>
      <c r="NB73" s="2"/>
      <c r="NC73" s="2"/>
      <c r="ND73" s="2"/>
      <c r="NE73" s="2"/>
      <c r="NF73" s="2"/>
      <c r="NG73" s="2"/>
      <c r="NH73" s="2"/>
      <c r="NI73" s="2"/>
      <c r="NJ73" s="2"/>
      <c r="NK73" s="2"/>
      <c r="NL73" s="2"/>
      <c r="NM73" s="2"/>
      <c r="NN73" s="2"/>
      <c r="NO73" s="2"/>
      <c r="NP73" s="2"/>
      <c r="NQ73" s="2"/>
      <c r="NR73" s="2"/>
      <c r="NS73" s="2"/>
      <c r="NT73" s="2"/>
      <c r="NU73" s="2"/>
      <c r="NV73" s="2"/>
      <c r="NW73" s="2"/>
      <c r="NX73" s="2"/>
      <c r="NY73" s="2"/>
      <c r="NZ73" s="2"/>
      <c r="OA73" s="2"/>
      <c r="OB73" s="2"/>
      <c r="OC73" s="2"/>
      <c r="OD73" s="2"/>
      <c r="OE73" s="2"/>
      <c r="OF73" s="2"/>
      <c r="OG73" s="2"/>
      <c r="OH73" s="2"/>
      <c r="OI73" s="2"/>
      <c r="OJ73" s="2"/>
      <c r="OK73" s="2"/>
      <c r="OL73" s="2"/>
      <c r="OM73" s="2"/>
      <c r="ON73" s="2"/>
      <c r="OO73" s="2"/>
      <c r="OP73" s="2"/>
      <c r="OQ73" s="2"/>
      <c r="OR73" s="2"/>
      <c r="OS73" s="2"/>
      <c r="OT73" s="2"/>
      <c r="OU73" s="2"/>
      <c r="OV73" s="2"/>
      <c r="OW73" s="2"/>
      <c r="OX73" s="2"/>
      <c r="OY73" s="2"/>
      <c r="OZ73" s="2"/>
      <c r="PA73" s="2"/>
      <c r="PB73" s="2"/>
      <c r="PC73" s="2"/>
      <c r="PD73" s="2"/>
      <c r="PE73" s="2"/>
      <c r="PF73" s="2"/>
      <c r="PG73" s="2"/>
      <c r="PH73" s="2"/>
      <c r="PI73" s="2"/>
      <c r="PJ73" s="2"/>
      <c r="PK73" s="2"/>
      <c r="PL73" s="2"/>
      <c r="PM73" s="2"/>
      <c r="PN73" s="2"/>
      <c r="PO73" s="2"/>
      <c r="PP73" s="2"/>
      <c r="PQ73" s="2"/>
      <c r="PR73" s="2"/>
      <c r="PS73" s="2"/>
      <c r="PT73" s="2"/>
      <c r="PU73" s="2"/>
      <c r="PV73" s="2"/>
      <c r="PW73" s="2"/>
      <c r="PX73" s="2"/>
      <c r="PY73" s="2"/>
      <c r="PZ73" s="2"/>
      <c r="QA73" s="2"/>
      <c r="QB73" s="2"/>
      <c r="QC73" s="2"/>
      <c r="QD73" s="2"/>
      <c r="QE73" s="2"/>
      <c r="QF73" s="2"/>
      <c r="QG73" s="2"/>
      <c r="QH73" s="2"/>
      <c r="QI73" s="2"/>
      <c r="QJ73" s="2"/>
      <c r="QK73" s="2"/>
      <c r="QL73" s="2"/>
      <c r="QM73" s="2"/>
      <c r="QN73" s="2"/>
      <c r="QO73" s="2"/>
      <c r="QP73" s="2"/>
      <c r="QQ73" s="2"/>
      <c r="QR73" s="2"/>
      <c r="QS73" s="2"/>
      <c r="QT73" s="2"/>
      <c r="QU73" s="2"/>
      <c r="QV73" s="2"/>
      <c r="QW73" s="2"/>
      <c r="QX73" s="2"/>
      <c r="QY73" s="2"/>
      <c r="QZ73" s="2"/>
      <c r="RA73" s="2"/>
      <c r="RB73" s="2"/>
      <c r="RC73" s="2"/>
      <c r="RD73" s="2"/>
      <c r="RE73" s="2"/>
      <c r="RF73" s="2"/>
      <c r="RG73" s="2"/>
      <c r="RH73" s="2"/>
      <c r="RI73" s="2"/>
      <c r="RJ73" s="2"/>
      <c r="RK73" s="2"/>
      <c r="RL73" s="2"/>
      <c r="RM73" s="2"/>
      <c r="RN73" s="2"/>
      <c r="RO73" s="2"/>
      <c r="RP73" s="2"/>
      <c r="RQ73" s="2"/>
      <c r="RR73" s="2"/>
      <c r="RS73" s="2"/>
      <c r="RT73" s="2"/>
      <c r="RU73" s="2"/>
      <c r="RV73" s="2"/>
      <c r="RW73" s="2"/>
      <c r="RX73" s="2"/>
      <c r="RY73" s="2"/>
      <c r="RZ73" s="2"/>
      <c r="SA73" s="2"/>
      <c r="SB73" s="2"/>
      <c r="SC73" s="2"/>
      <c r="SD73" s="2"/>
      <c r="SE73" s="2"/>
      <c r="SF73" s="2"/>
      <c r="SG73" s="2"/>
      <c r="SH73" s="2"/>
      <c r="SI73" s="2"/>
      <c r="SJ73" s="2"/>
      <c r="SK73" s="2"/>
      <c r="SL73" s="2"/>
      <c r="SM73" s="2"/>
      <c r="SN73" s="2"/>
      <c r="SO73" s="2"/>
      <c r="SP73" s="2"/>
      <c r="SQ73" s="2"/>
      <c r="SR73" s="2"/>
      <c r="SS73" s="2"/>
      <c r="ST73" s="2"/>
      <c r="SU73" s="2"/>
      <c r="SV73" s="2"/>
      <c r="SW73" s="2"/>
      <c r="SX73" s="2"/>
    </row>
    <row r="74" spans="1:518" x14ac:dyDescent="0.25">
      <c r="A74" s="214"/>
      <c r="B74" s="69" t="s">
        <v>162</v>
      </c>
      <c r="C74" s="12">
        <f>GRI_11_23!AG3</f>
        <v>0</v>
      </c>
      <c r="D74" s="12">
        <f>GRI_11_23!AG4</f>
        <v>0</v>
      </c>
      <c r="E74" s="12">
        <f>GRI_11_23!AG5</f>
        <v>0</v>
      </c>
      <c r="F74" s="12">
        <f>GRI_11_23!AG6</f>
        <v>0</v>
      </c>
      <c r="G74" s="12">
        <f>GRI_11_23!AG7</f>
        <v>0</v>
      </c>
      <c r="H74" s="12">
        <f>GRI_11_23!AG8</f>
        <v>0</v>
      </c>
      <c r="I74" s="12">
        <f>GRI_11_23!AG9</f>
        <v>0</v>
      </c>
      <c r="J74" s="12">
        <f>GRI_11_23!AG10</f>
        <v>0</v>
      </c>
      <c r="K74" s="12">
        <f>GRI_11_23!AG11</f>
        <v>0</v>
      </c>
      <c r="L74" s="12">
        <f>GRI_11_23!AG12</f>
        <v>0</v>
      </c>
      <c r="M74" s="12">
        <f>GRI_11_23!AG13</f>
        <v>0</v>
      </c>
      <c r="N74" s="182">
        <f>GRI_11_23!AG14</f>
        <v>0</v>
      </c>
      <c r="O74" s="12">
        <f>GRI_11_23!AG15</f>
        <v>0</v>
      </c>
      <c r="P74" s="12">
        <f>GRI_11_23!AG16</f>
        <v>0</v>
      </c>
      <c r="Q74" s="12">
        <f>GRI_11_23!AG17</f>
        <v>0</v>
      </c>
      <c r="R74" s="12">
        <f>GRI_11_23!AG18</f>
        <v>0</v>
      </c>
      <c r="S74" s="12">
        <f>GRI_11_23!AG19</f>
        <v>0</v>
      </c>
      <c r="T74" s="12">
        <f>GRI_11_23!AG20</f>
        <v>0</v>
      </c>
      <c r="U74" s="12">
        <f>GRI_11_23!AG21</f>
        <v>0</v>
      </c>
      <c r="V74" s="12">
        <f>GRI_11_23!AG22</f>
        <v>0</v>
      </c>
      <c r="W74" s="12">
        <f>GRI_11_23!AG23</f>
        <v>0</v>
      </c>
      <c r="X74" s="12">
        <f>GRI_11_23!AG24</f>
        <v>0</v>
      </c>
      <c r="Y74" s="12">
        <f>GRI_11_23!AG25</f>
        <v>0</v>
      </c>
      <c r="Z74" s="12">
        <f>GRI_11_23!AG26</f>
        <v>0</v>
      </c>
      <c r="AA74" s="12">
        <f>GRI_11_23!AG27</f>
        <v>0</v>
      </c>
      <c r="AB74" s="12">
        <f>GRI_11_23!AG28</f>
        <v>0</v>
      </c>
      <c r="AC74" s="12">
        <f>GRI_11_23!AG29</f>
        <v>0</v>
      </c>
      <c r="AD74" s="12">
        <f>GRI_11_23!AG30</f>
        <v>0</v>
      </c>
      <c r="AE74" s="12">
        <f>GRI_11_23!AG31</f>
        <v>0</v>
      </c>
      <c r="AF74" s="12">
        <f>GRI_11_23!AG32</f>
        <v>0</v>
      </c>
      <c r="AG74" s="8">
        <f t="shared" si="51"/>
        <v>0</v>
      </c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  <c r="FK74" s="2"/>
      <c r="FL74" s="2"/>
      <c r="FM74" s="2"/>
      <c r="FN74" s="2"/>
      <c r="FO74" s="2"/>
      <c r="FP74" s="2"/>
      <c r="FQ74" s="2"/>
      <c r="FR74" s="2"/>
      <c r="FS74" s="2"/>
      <c r="FT74" s="2"/>
      <c r="FU74" s="2"/>
      <c r="FV74" s="2"/>
      <c r="FW74" s="2"/>
      <c r="FX74" s="2"/>
      <c r="FY74" s="2"/>
      <c r="FZ74" s="2"/>
      <c r="GA74" s="2"/>
      <c r="GB74" s="2"/>
      <c r="GC74" s="2"/>
      <c r="GD74" s="2"/>
      <c r="GE74" s="2"/>
      <c r="GF74" s="2"/>
      <c r="GG74" s="2"/>
      <c r="GH74" s="2"/>
      <c r="GI74" s="2"/>
      <c r="GJ74" s="2"/>
      <c r="GK74" s="2"/>
      <c r="GL74" s="2"/>
      <c r="GM74" s="2"/>
      <c r="GN74" s="2"/>
      <c r="GO74" s="2"/>
      <c r="GP74" s="2"/>
      <c r="GQ74" s="2"/>
      <c r="GR74" s="2"/>
      <c r="GS74" s="2"/>
      <c r="GT74" s="2"/>
      <c r="GU74" s="2"/>
      <c r="GV74" s="2"/>
      <c r="GW74" s="2"/>
      <c r="GX74" s="2"/>
      <c r="GY74" s="2"/>
      <c r="GZ74" s="2"/>
      <c r="HA74" s="2"/>
      <c r="HB74" s="2"/>
      <c r="HC74" s="2"/>
      <c r="HD74" s="2"/>
      <c r="HE74" s="2"/>
      <c r="HF74" s="2"/>
      <c r="HG74" s="2"/>
      <c r="HH74" s="2"/>
      <c r="HI74" s="2"/>
      <c r="HJ74" s="2"/>
      <c r="HK74" s="2"/>
      <c r="HL74" s="2"/>
      <c r="HM74" s="2"/>
      <c r="HN74" s="2"/>
      <c r="HO74" s="2"/>
      <c r="HP74" s="2"/>
      <c r="HQ74" s="2"/>
      <c r="HR74" s="2"/>
      <c r="HS74" s="2"/>
      <c r="HT74" s="2"/>
      <c r="HU74" s="2"/>
      <c r="HV74" s="2"/>
      <c r="HW74" s="2"/>
      <c r="HX74" s="2"/>
      <c r="HY74" s="2"/>
      <c r="HZ74" s="2"/>
      <c r="IA74" s="2"/>
      <c r="IB74" s="2"/>
      <c r="IC74" s="2"/>
      <c r="ID74" s="2"/>
      <c r="IE74" s="2"/>
      <c r="IF74" s="2"/>
      <c r="IG74" s="2"/>
      <c r="IH74" s="2"/>
      <c r="II74" s="2"/>
      <c r="IJ74" s="2"/>
      <c r="IK74" s="2"/>
      <c r="IL74" s="2"/>
      <c r="IM74" s="2"/>
      <c r="IN74" s="2"/>
      <c r="IO74" s="2"/>
      <c r="IP74" s="2"/>
      <c r="IQ74" s="2"/>
      <c r="IR74" s="2"/>
      <c r="IS74" s="2"/>
      <c r="IT74" s="2"/>
      <c r="IU74" s="2"/>
      <c r="IV74" s="2"/>
      <c r="IW74" s="2"/>
      <c r="IX74" s="2"/>
      <c r="IY74" s="2"/>
      <c r="IZ74" s="2"/>
      <c r="JA74" s="2"/>
      <c r="JB74" s="2"/>
      <c r="JC74" s="2"/>
      <c r="JD74" s="2"/>
      <c r="JE74" s="2"/>
      <c r="JF74" s="2"/>
      <c r="JG74" s="2"/>
      <c r="JH74" s="2"/>
      <c r="JI74" s="2"/>
      <c r="JJ74" s="2"/>
      <c r="JK74" s="2"/>
      <c r="JL74" s="2"/>
      <c r="JM74" s="2"/>
      <c r="JN74" s="2"/>
      <c r="JO74" s="2"/>
      <c r="JP74" s="2"/>
      <c r="JQ74" s="2"/>
      <c r="JR74" s="2"/>
      <c r="JS74" s="2"/>
      <c r="JT74" s="2"/>
      <c r="JU74" s="2"/>
      <c r="JV74" s="2"/>
      <c r="JW74" s="2"/>
      <c r="JX74" s="2"/>
      <c r="JY74" s="2"/>
      <c r="JZ74" s="2"/>
      <c r="KA74" s="2"/>
      <c r="KB74" s="2"/>
      <c r="KC74" s="2"/>
      <c r="KD74" s="2"/>
      <c r="KE74" s="2"/>
      <c r="KF74" s="2"/>
      <c r="KG74" s="2"/>
      <c r="KH74" s="2"/>
      <c r="KI74" s="2"/>
      <c r="KJ74" s="2"/>
      <c r="KK74" s="2"/>
      <c r="KL74" s="2"/>
      <c r="KM74" s="2"/>
      <c r="KN74" s="2"/>
      <c r="KO74" s="2"/>
      <c r="KP74" s="2"/>
      <c r="KQ74" s="2"/>
      <c r="KR74" s="2"/>
      <c r="KS74" s="2"/>
      <c r="KT74" s="2"/>
      <c r="KU74" s="2"/>
      <c r="KV74" s="2"/>
      <c r="KW74" s="2"/>
      <c r="KX74" s="2"/>
      <c r="KY74" s="2"/>
      <c r="KZ74" s="2"/>
      <c r="LA74" s="2"/>
      <c r="LB74" s="2"/>
      <c r="LC74" s="2"/>
      <c r="LD74" s="2"/>
      <c r="LE74" s="2"/>
      <c r="LF74" s="2"/>
      <c r="LG74" s="2"/>
      <c r="LH74" s="2"/>
      <c r="LI74" s="2"/>
      <c r="LJ74" s="2"/>
      <c r="LK74" s="2"/>
      <c r="LL74" s="2"/>
      <c r="LM74" s="2"/>
      <c r="LN74" s="2"/>
      <c r="LO74" s="2"/>
      <c r="LP74" s="2"/>
      <c r="LQ74" s="2"/>
      <c r="LR74" s="2"/>
      <c r="LS74" s="2"/>
      <c r="LT74" s="2"/>
      <c r="LU74" s="2"/>
      <c r="LV74" s="2"/>
      <c r="LW74" s="2"/>
      <c r="LX74" s="2"/>
      <c r="LY74" s="2"/>
      <c r="LZ74" s="2"/>
      <c r="MA74" s="2"/>
      <c r="MB74" s="2"/>
      <c r="MC74" s="2"/>
      <c r="MD74" s="2"/>
      <c r="ME74" s="2"/>
      <c r="MF74" s="2"/>
      <c r="MG74" s="2"/>
      <c r="MH74" s="2"/>
      <c r="MI74" s="2"/>
      <c r="MJ74" s="2"/>
      <c r="MK74" s="2"/>
      <c r="ML74" s="2"/>
      <c r="MM74" s="2"/>
      <c r="MN74" s="2"/>
      <c r="MO74" s="2"/>
      <c r="MP74" s="2"/>
      <c r="MQ74" s="2"/>
      <c r="MR74" s="2"/>
      <c r="MS74" s="2"/>
      <c r="MT74" s="2"/>
      <c r="MU74" s="2"/>
      <c r="MV74" s="2"/>
      <c r="MW74" s="2"/>
      <c r="MX74" s="2"/>
      <c r="MY74" s="2"/>
      <c r="MZ74" s="2"/>
      <c r="NA74" s="2"/>
      <c r="NB74" s="2"/>
      <c r="NC74" s="2"/>
      <c r="ND74" s="2"/>
      <c r="NE74" s="2"/>
      <c r="NF74" s="2"/>
      <c r="NG74" s="2"/>
      <c r="NH74" s="2"/>
      <c r="NI74" s="2"/>
      <c r="NJ74" s="2"/>
      <c r="NK74" s="2"/>
      <c r="NL74" s="2"/>
      <c r="NM74" s="2"/>
      <c r="NN74" s="2"/>
      <c r="NO74" s="2"/>
      <c r="NP74" s="2"/>
      <c r="NQ74" s="2"/>
      <c r="NR74" s="2"/>
      <c r="NS74" s="2"/>
      <c r="NT74" s="2"/>
      <c r="NU74" s="2"/>
      <c r="NV74" s="2"/>
      <c r="NW74" s="2"/>
      <c r="NX74" s="2"/>
      <c r="NY74" s="2"/>
      <c r="NZ74" s="2"/>
      <c r="OA74" s="2"/>
      <c r="OB74" s="2"/>
      <c r="OC74" s="2"/>
      <c r="OD74" s="2"/>
      <c r="OE74" s="2"/>
      <c r="OF74" s="2"/>
      <c r="OG74" s="2"/>
      <c r="OH74" s="2"/>
      <c r="OI74" s="2"/>
      <c r="OJ74" s="2"/>
      <c r="OK74" s="2"/>
      <c r="OL74" s="2"/>
      <c r="OM74" s="2"/>
      <c r="ON74" s="2"/>
      <c r="OO74" s="2"/>
      <c r="OP74" s="2"/>
      <c r="OQ74" s="2"/>
      <c r="OR74" s="2"/>
      <c r="OS74" s="2"/>
      <c r="OT74" s="2"/>
      <c r="OU74" s="2"/>
      <c r="OV74" s="2"/>
      <c r="OW74" s="2"/>
      <c r="OX74" s="2"/>
      <c r="OY74" s="2"/>
      <c r="OZ74" s="2"/>
      <c r="PA74" s="2"/>
      <c r="PB74" s="2"/>
      <c r="PC74" s="2"/>
      <c r="PD74" s="2"/>
      <c r="PE74" s="2"/>
      <c r="PF74" s="2"/>
      <c r="PG74" s="2"/>
      <c r="PH74" s="2"/>
      <c r="PI74" s="2"/>
      <c r="PJ74" s="2"/>
      <c r="PK74" s="2"/>
      <c r="PL74" s="2"/>
      <c r="PM74" s="2"/>
      <c r="PN74" s="2"/>
      <c r="PO74" s="2"/>
      <c r="PP74" s="2"/>
      <c r="PQ74" s="2"/>
      <c r="PR74" s="2"/>
      <c r="PS74" s="2"/>
      <c r="PT74" s="2"/>
      <c r="PU74" s="2"/>
      <c r="PV74" s="2"/>
      <c r="PW74" s="2"/>
      <c r="PX74" s="2"/>
      <c r="PY74" s="2"/>
      <c r="PZ74" s="2"/>
      <c r="QA74" s="2"/>
      <c r="QB74" s="2"/>
      <c r="QC74" s="2"/>
      <c r="QD74" s="2"/>
      <c r="QE74" s="2"/>
      <c r="QF74" s="2"/>
      <c r="QG74" s="2"/>
      <c r="QH74" s="2"/>
      <c r="QI74" s="2"/>
      <c r="QJ74" s="2"/>
      <c r="QK74" s="2"/>
      <c r="QL74" s="2"/>
      <c r="QM74" s="2"/>
      <c r="QN74" s="2"/>
      <c r="QO74" s="2"/>
      <c r="QP74" s="2"/>
      <c r="QQ74" s="2"/>
      <c r="QR74" s="2"/>
      <c r="QS74" s="2"/>
      <c r="QT74" s="2"/>
      <c r="QU74" s="2"/>
      <c r="QV74" s="2"/>
      <c r="QW74" s="2"/>
      <c r="QX74" s="2"/>
      <c r="QY74" s="2"/>
      <c r="QZ74" s="2"/>
      <c r="RA74" s="2"/>
      <c r="RB74" s="2"/>
      <c r="RC74" s="2"/>
      <c r="RD74" s="2"/>
      <c r="RE74" s="2"/>
      <c r="RF74" s="2"/>
      <c r="RG74" s="2"/>
      <c r="RH74" s="2"/>
      <c r="RI74" s="2"/>
      <c r="RJ74" s="2"/>
      <c r="RK74" s="2"/>
      <c r="RL74" s="2"/>
      <c r="RM74" s="2"/>
      <c r="RN74" s="2"/>
      <c r="RO74" s="2"/>
      <c r="RP74" s="2"/>
      <c r="RQ74" s="2"/>
      <c r="RR74" s="2"/>
      <c r="RS74" s="2"/>
      <c r="RT74" s="2"/>
      <c r="RU74" s="2"/>
      <c r="RV74" s="2"/>
      <c r="RW74" s="2"/>
      <c r="RX74" s="2"/>
      <c r="RY74" s="2"/>
      <c r="RZ74" s="2"/>
      <c r="SA74" s="2"/>
      <c r="SB74" s="2"/>
      <c r="SC74" s="2"/>
      <c r="SD74" s="2"/>
      <c r="SE74" s="2"/>
      <c r="SF74" s="2"/>
      <c r="SG74" s="2"/>
      <c r="SH74" s="2"/>
      <c r="SI74" s="2"/>
      <c r="SJ74" s="2"/>
      <c r="SK74" s="2"/>
      <c r="SL74" s="2"/>
      <c r="SM74" s="2"/>
      <c r="SN74" s="2"/>
      <c r="SO74" s="2"/>
      <c r="SP74" s="2"/>
      <c r="SQ74" s="2"/>
      <c r="SR74" s="2"/>
      <c r="SS74" s="2"/>
      <c r="ST74" s="2"/>
      <c r="SU74" s="2"/>
      <c r="SV74" s="2"/>
      <c r="SW74" s="2"/>
      <c r="SX74" s="2"/>
    </row>
    <row r="75" spans="1:518" x14ac:dyDescent="0.25">
      <c r="A75" s="214"/>
      <c r="B75" s="69" t="s">
        <v>163</v>
      </c>
      <c r="C75" s="12">
        <f>'VER_11_23 '!$AG$3</f>
        <v>0</v>
      </c>
      <c r="D75" s="12">
        <f>'VER_11_23 '!$AG$4</f>
        <v>0</v>
      </c>
      <c r="E75" s="12">
        <f>'VER_11_23 '!$AG$5</f>
        <v>0</v>
      </c>
      <c r="F75" s="12">
        <f>'VER_11_23 '!$AG$6</f>
        <v>0</v>
      </c>
      <c r="G75" s="12">
        <f>'VER_11_23 '!$AG$7</f>
        <v>0</v>
      </c>
      <c r="H75" s="12">
        <f>'VER_11_23 '!$AG$8</f>
        <v>0</v>
      </c>
      <c r="I75" s="12">
        <f>'VER_11_23 '!$AG$9</f>
        <v>0</v>
      </c>
      <c r="J75" s="12">
        <f>'VER_11_23 '!$AG$10</f>
        <v>0</v>
      </c>
      <c r="K75" s="12">
        <f>'VER_11_23 '!$AG$11</f>
        <v>0</v>
      </c>
      <c r="L75" s="12">
        <f>'VER_11_23 '!$AG$12</f>
        <v>0</v>
      </c>
      <c r="M75" s="12">
        <f>'VER_11_23 '!$AG$13</f>
        <v>0</v>
      </c>
      <c r="N75" s="12">
        <f>'VER_11_23 '!$AG$14</f>
        <v>0</v>
      </c>
      <c r="O75" s="12">
        <f>'VER_11_23 '!$AG$15</f>
        <v>0</v>
      </c>
      <c r="P75" s="12">
        <f>'VER_11_23 '!$AG$16</f>
        <v>0</v>
      </c>
      <c r="Q75" s="12">
        <f>'VER_11_23 '!$AG$17</f>
        <v>0</v>
      </c>
      <c r="R75" s="12">
        <f>'VER_11_23 '!$AG$18</f>
        <v>0</v>
      </c>
      <c r="S75" s="12">
        <f>'VER_11_23 '!$AG$19</f>
        <v>0</v>
      </c>
      <c r="T75" s="12">
        <f>'VER_11_23 '!$AG$20</f>
        <v>0</v>
      </c>
      <c r="U75" s="12">
        <f>'VER_11_23 '!$AG$21</f>
        <v>0</v>
      </c>
      <c r="V75" s="12">
        <f>'VER_11_23 '!$AG$22</f>
        <v>0</v>
      </c>
      <c r="W75" s="12">
        <f>'VER_11_23 '!$AG$23</f>
        <v>0</v>
      </c>
      <c r="X75" s="12">
        <f>'VER_11_23 '!$AG$24</f>
        <v>0</v>
      </c>
      <c r="Y75" s="12">
        <f>'VER_11_23 '!$AG$25</f>
        <v>0</v>
      </c>
      <c r="Z75" s="12">
        <f>'VER_11_23 '!$AG$26</f>
        <v>0</v>
      </c>
      <c r="AA75" s="12">
        <f>'VER_11_23 '!$AG$27</f>
        <v>0</v>
      </c>
      <c r="AB75" s="12">
        <f>'VER_11_23 '!$AG$28</f>
        <v>0</v>
      </c>
      <c r="AC75" s="12">
        <f>'VER_11_23 '!$AG$29</f>
        <v>0</v>
      </c>
      <c r="AD75" s="12">
        <f>'VER_11_23 '!$AG$30</f>
        <v>0</v>
      </c>
      <c r="AE75" s="12">
        <f>'VER_11_23 '!$AG$31</f>
        <v>0</v>
      </c>
      <c r="AF75" s="12">
        <f>'VER_11_23 '!$AG$32</f>
        <v>0</v>
      </c>
      <c r="AG75" s="8">
        <f t="shared" si="51"/>
        <v>0</v>
      </c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  <c r="FK75" s="2"/>
      <c r="FL75" s="2"/>
      <c r="FM75" s="2"/>
      <c r="FN75" s="2"/>
      <c r="FO75" s="2"/>
      <c r="FP75" s="2"/>
      <c r="FQ75" s="2"/>
      <c r="FR75" s="2"/>
      <c r="FS75" s="2"/>
      <c r="FT75" s="2"/>
      <c r="FU75" s="2"/>
      <c r="FV75" s="2"/>
      <c r="FW75" s="2"/>
      <c r="FX75" s="2"/>
      <c r="FY75" s="2"/>
      <c r="FZ75" s="2"/>
      <c r="GA75" s="2"/>
      <c r="GB75" s="2"/>
      <c r="GC75" s="2"/>
      <c r="GD75" s="2"/>
      <c r="GE75" s="2"/>
      <c r="GF75" s="2"/>
      <c r="GG75" s="2"/>
      <c r="GH75" s="2"/>
      <c r="GI75" s="2"/>
      <c r="GJ75" s="2"/>
      <c r="GK75" s="2"/>
      <c r="GL75" s="2"/>
      <c r="GM75" s="2"/>
      <c r="GN75" s="2"/>
      <c r="GO75" s="2"/>
      <c r="GP75" s="2"/>
      <c r="GQ75" s="2"/>
      <c r="GR75" s="2"/>
      <c r="GS75" s="2"/>
      <c r="GT75" s="2"/>
      <c r="GU75" s="2"/>
      <c r="GV75" s="2"/>
      <c r="GW75" s="2"/>
      <c r="GX75" s="2"/>
      <c r="GY75" s="2"/>
      <c r="GZ75" s="2"/>
      <c r="HA75" s="2"/>
      <c r="HB75" s="2"/>
      <c r="HC75" s="2"/>
      <c r="HD75" s="2"/>
      <c r="HE75" s="2"/>
      <c r="HF75" s="2"/>
      <c r="HG75" s="2"/>
      <c r="HH75" s="2"/>
      <c r="HI75" s="2"/>
      <c r="HJ75" s="2"/>
      <c r="HK75" s="2"/>
      <c r="HL75" s="2"/>
      <c r="HM75" s="2"/>
      <c r="HN75" s="2"/>
      <c r="HO75" s="2"/>
      <c r="HP75" s="2"/>
      <c r="HQ75" s="2"/>
      <c r="HR75" s="2"/>
      <c r="HS75" s="2"/>
      <c r="HT75" s="2"/>
      <c r="HU75" s="2"/>
      <c r="HV75" s="2"/>
      <c r="HW75" s="2"/>
      <c r="HX75" s="2"/>
      <c r="HY75" s="2"/>
      <c r="HZ75" s="2"/>
      <c r="IA75" s="2"/>
      <c r="IB75" s="2"/>
      <c r="IC75" s="2"/>
      <c r="ID75" s="2"/>
      <c r="IE75" s="2"/>
      <c r="IF75" s="2"/>
      <c r="IG75" s="2"/>
      <c r="IH75" s="2"/>
      <c r="II75" s="2"/>
      <c r="IJ75" s="2"/>
      <c r="IK75" s="2"/>
      <c r="IL75" s="2"/>
      <c r="IM75" s="2"/>
      <c r="IN75" s="2"/>
      <c r="IO75" s="2"/>
      <c r="IP75" s="2"/>
      <c r="IQ75" s="2"/>
      <c r="IR75" s="2"/>
      <c r="IS75" s="2"/>
      <c r="IT75" s="2"/>
      <c r="IU75" s="2"/>
      <c r="IV75" s="2"/>
      <c r="IW75" s="2"/>
      <c r="IX75" s="2"/>
      <c r="IY75" s="2"/>
      <c r="IZ75" s="2"/>
      <c r="JA75" s="2"/>
      <c r="JB75" s="2"/>
      <c r="JC75" s="2"/>
      <c r="JD75" s="2"/>
      <c r="JE75" s="2"/>
      <c r="JF75" s="2"/>
      <c r="JG75" s="2"/>
      <c r="JH75" s="2"/>
      <c r="JI75" s="2"/>
      <c r="JJ75" s="2"/>
      <c r="JK75" s="2"/>
      <c r="JL75" s="2"/>
      <c r="JM75" s="2"/>
      <c r="JN75" s="2"/>
      <c r="JO75" s="2"/>
      <c r="JP75" s="2"/>
      <c r="JQ75" s="2"/>
      <c r="JR75" s="2"/>
      <c r="JS75" s="2"/>
      <c r="JT75" s="2"/>
      <c r="JU75" s="2"/>
      <c r="JV75" s="2"/>
      <c r="JW75" s="2"/>
      <c r="JX75" s="2"/>
      <c r="JY75" s="2"/>
      <c r="JZ75" s="2"/>
      <c r="KA75" s="2"/>
      <c r="KB75" s="2"/>
      <c r="KC75" s="2"/>
      <c r="KD75" s="2"/>
      <c r="KE75" s="2"/>
      <c r="KF75" s="2"/>
      <c r="KG75" s="2"/>
      <c r="KH75" s="2"/>
      <c r="KI75" s="2"/>
      <c r="KJ75" s="2"/>
      <c r="KK75" s="2"/>
      <c r="KL75" s="2"/>
      <c r="KM75" s="2"/>
      <c r="KN75" s="2"/>
      <c r="KO75" s="2"/>
      <c r="KP75" s="2"/>
      <c r="KQ75" s="2"/>
      <c r="KR75" s="2"/>
      <c r="KS75" s="2"/>
      <c r="KT75" s="2"/>
      <c r="KU75" s="2"/>
      <c r="KV75" s="2"/>
      <c r="KW75" s="2"/>
      <c r="KX75" s="2"/>
      <c r="KY75" s="2"/>
      <c r="KZ75" s="2"/>
      <c r="LA75" s="2"/>
      <c r="LB75" s="2"/>
      <c r="LC75" s="2"/>
      <c r="LD75" s="2"/>
      <c r="LE75" s="2"/>
      <c r="LF75" s="2"/>
      <c r="LG75" s="2"/>
      <c r="LH75" s="2"/>
      <c r="LI75" s="2"/>
      <c r="LJ75" s="2"/>
      <c r="LK75" s="2"/>
      <c r="LL75" s="2"/>
      <c r="LM75" s="2"/>
      <c r="LN75" s="2"/>
      <c r="LO75" s="2"/>
      <c r="LP75" s="2"/>
      <c r="LQ75" s="2"/>
      <c r="LR75" s="2"/>
      <c r="LS75" s="2"/>
      <c r="LT75" s="2"/>
      <c r="LU75" s="2"/>
      <c r="LV75" s="2"/>
      <c r="LW75" s="2"/>
      <c r="LX75" s="2"/>
      <c r="LY75" s="2"/>
      <c r="LZ75" s="2"/>
      <c r="MA75" s="2"/>
      <c r="MB75" s="2"/>
      <c r="MC75" s="2"/>
      <c r="MD75" s="2"/>
      <c r="ME75" s="2"/>
      <c r="MF75" s="2"/>
      <c r="MG75" s="2"/>
      <c r="MH75" s="2"/>
      <c r="MI75" s="2"/>
      <c r="MJ75" s="2"/>
      <c r="MK75" s="2"/>
      <c r="ML75" s="2"/>
      <c r="MM75" s="2"/>
      <c r="MN75" s="2"/>
      <c r="MO75" s="2"/>
      <c r="MP75" s="2"/>
      <c r="MQ75" s="2"/>
      <c r="MR75" s="2"/>
      <c r="MS75" s="2"/>
      <c r="MT75" s="2"/>
      <c r="MU75" s="2"/>
      <c r="MV75" s="2"/>
      <c r="MW75" s="2"/>
      <c r="MX75" s="2"/>
      <c r="MY75" s="2"/>
      <c r="MZ75" s="2"/>
      <c r="NA75" s="2"/>
      <c r="NB75" s="2"/>
      <c r="NC75" s="2"/>
      <c r="ND75" s="2"/>
      <c r="NE75" s="2"/>
      <c r="NF75" s="2"/>
      <c r="NG75" s="2"/>
      <c r="NH75" s="2"/>
      <c r="NI75" s="2"/>
      <c r="NJ75" s="2"/>
      <c r="NK75" s="2"/>
      <c r="NL75" s="2"/>
      <c r="NM75" s="2"/>
      <c r="NN75" s="2"/>
      <c r="NO75" s="2"/>
      <c r="NP75" s="2"/>
      <c r="NQ75" s="2"/>
      <c r="NR75" s="2"/>
      <c r="NS75" s="2"/>
      <c r="NT75" s="2"/>
      <c r="NU75" s="2"/>
      <c r="NV75" s="2"/>
      <c r="NW75" s="2"/>
      <c r="NX75" s="2"/>
      <c r="NY75" s="2"/>
      <c r="NZ75" s="2"/>
      <c r="OA75" s="2"/>
      <c r="OB75" s="2"/>
      <c r="OC75" s="2"/>
      <c r="OD75" s="2"/>
      <c r="OE75" s="2"/>
      <c r="OF75" s="2"/>
      <c r="OG75" s="2"/>
      <c r="OH75" s="2"/>
      <c r="OI75" s="2"/>
      <c r="OJ75" s="2"/>
      <c r="OK75" s="2"/>
      <c r="OL75" s="2"/>
      <c r="OM75" s="2"/>
      <c r="ON75" s="2"/>
      <c r="OO75" s="2"/>
      <c r="OP75" s="2"/>
      <c r="OQ75" s="2"/>
      <c r="OR75" s="2"/>
      <c r="OS75" s="2"/>
      <c r="OT75" s="2"/>
      <c r="OU75" s="2"/>
      <c r="OV75" s="2"/>
      <c r="OW75" s="2"/>
      <c r="OX75" s="2"/>
      <c r="OY75" s="2"/>
      <c r="OZ75" s="2"/>
      <c r="PA75" s="2"/>
      <c r="PB75" s="2"/>
      <c r="PC75" s="2"/>
      <c r="PD75" s="2"/>
      <c r="PE75" s="2"/>
      <c r="PF75" s="2"/>
      <c r="PG75" s="2"/>
      <c r="PH75" s="2"/>
      <c r="PI75" s="2"/>
      <c r="PJ75" s="2"/>
      <c r="PK75" s="2"/>
      <c r="PL75" s="2"/>
      <c r="PM75" s="2"/>
      <c r="PN75" s="2"/>
      <c r="PO75" s="2"/>
      <c r="PP75" s="2"/>
      <c r="PQ75" s="2"/>
      <c r="PR75" s="2"/>
      <c r="PS75" s="2"/>
      <c r="PT75" s="2"/>
      <c r="PU75" s="2"/>
      <c r="PV75" s="2"/>
      <c r="PW75" s="2"/>
      <c r="PX75" s="2"/>
      <c r="PY75" s="2"/>
      <c r="PZ75" s="2"/>
      <c r="QA75" s="2"/>
      <c r="QB75" s="2"/>
      <c r="QC75" s="2"/>
      <c r="QD75" s="2"/>
      <c r="QE75" s="2"/>
      <c r="QF75" s="2"/>
      <c r="QG75" s="2"/>
      <c r="QH75" s="2"/>
      <c r="QI75" s="2"/>
      <c r="QJ75" s="2"/>
      <c r="QK75" s="2"/>
      <c r="QL75" s="2"/>
      <c r="QM75" s="2"/>
      <c r="QN75" s="2"/>
      <c r="QO75" s="2"/>
      <c r="QP75" s="2"/>
      <c r="QQ75" s="2"/>
      <c r="QR75" s="2"/>
      <c r="QS75" s="2"/>
      <c r="QT75" s="2"/>
      <c r="QU75" s="2"/>
      <c r="QV75" s="2"/>
      <c r="QW75" s="2"/>
      <c r="QX75" s="2"/>
      <c r="QY75" s="2"/>
      <c r="QZ75" s="2"/>
      <c r="RA75" s="2"/>
      <c r="RB75" s="2"/>
      <c r="RC75" s="2"/>
      <c r="RD75" s="2"/>
      <c r="RE75" s="2"/>
      <c r="RF75" s="2"/>
      <c r="RG75" s="2"/>
      <c r="RH75" s="2"/>
      <c r="RI75" s="2"/>
      <c r="RJ75" s="2"/>
      <c r="RK75" s="2"/>
      <c r="RL75" s="2"/>
      <c r="RM75" s="2"/>
      <c r="RN75" s="2"/>
      <c r="RO75" s="2"/>
      <c r="RP75" s="2"/>
      <c r="RQ75" s="2"/>
      <c r="RR75" s="2"/>
      <c r="RS75" s="2"/>
      <c r="RT75" s="2"/>
      <c r="RU75" s="2"/>
      <c r="RV75" s="2"/>
      <c r="RW75" s="2"/>
      <c r="RX75" s="2"/>
      <c r="RY75" s="2"/>
      <c r="RZ75" s="2"/>
      <c r="SA75" s="2"/>
      <c r="SB75" s="2"/>
      <c r="SC75" s="2"/>
      <c r="SD75" s="2"/>
      <c r="SE75" s="2"/>
      <c r="SF75" s="2"/>
      <c r="SG75" s="2"/>
      <c r="SH75" s="2"/>
      <c r="SI75" s="2"/>
      <c r="SJ75" s="2"/>
      <c r="SK75" s="2"/>
      <c r="SL75" s="2"/>
      <c r="SM75" s="2"/>
      <c r="SN75" s="2"/>
      <c r="SO75" s="2"/>
      <c r="SP75" s="2"/>
      <c r="SQ75" s="2"/>
      <c r="SR75" s="2"/>
      <c r="SS75" s="2"/>
      <c r="ST75" s="2"/>
      <c r="SU75" s="2"/>
      <c r="SV75" s="2"/>
      <c r="SW75" s="2"/>
      <c r="SX75" s="2"/>
    </row>
    <row r="76" spans="1:518" x14ac:dyDescent="0.25">
      <c r="A76" s="214"/>
      <c r="B76" s="69" t="s">
        <v>164</v>
      </c>
      <c r="C76" s="12">
        <f>NEG_11_23!AG$3</f>
        <v>0</v>
      </c>
      <c r="D76" s="12">
        <f>NEG_11_23!AG$4</f>
        <v>0</v>
      </c>
      <c r="E76" s="12">
        <f>NEG_11_23!AG$5</f>
        <v>0</v>
      </c>
      <c r="F76" s="12">
        <f>NEG_11_23!AG$6</f>
        <v>0</v>
      </c>
      <c r="G76" s="12">
        <f>NEG_11_23!AG$7</f>
        <v>0</v>
      </c>
      <c r="H76" s="12">
        <f>NEG_11_23!AG$8</f>
        <v>0</v>
      </c>
      <c r="I76" s="12">
        <f>NEG_11_23!AG$9</f>
        <v>0</v>
      </c>
      <c r="J76" s="12">
        <f>NEG_11_23!AG$10</f>
        <v>0</v>
      </c>
      <c r="K76" s="12">
        <f>NEG_11_23!AG$11</f>
        <v>0</v>
      </c>
      <c r="L76" s="12">
        <f>NEG_11_23!AG$12</f>
        <v>0</v>
      </c>
      <c r="M76" s="12">
        <f>NEG_11_23!AG$13</f>
        <v>0</v>
      </c>
      <c r="N76" s="12">
        <f>NEG_11_23!AG$14</f>
        <v>0</v>
      </c>
      <c r="O76" s="12">
        <f>NEG_11_23!AG$15</f>
        <v>0</v>
      </c>
      <c r="P76" s="12">
        <f>NEG_11_23!AG$16</f>
        <v>0</v>
      </c>
      <c r="Q76" s="12">
        <f>NEG_11_23!AG$17</f>
        <v>0</v>
      </c>
      <c r="R76" s="12">
        <f>NEG_11_23!AG$18</f>
        <v>0</v>
      </c>
      <c r="S76" s="12">
        <f>NEG_11_23!AG$19</f>
        <v>0</v>
      </c>
      <c r="T76" s="12">
        <f>NEG_11_23!AG$20</f>
        <v>0</v>
      </c>
      <c r="U76" s="12">
        <f>NEG_11_23!AG$21</f>
        <v>0</v>
      </c>
      <c r="V76" s="12">
        <f>NEG_11_23!AG$22</f>
        <v>0</v>
      </c>
      <c r="W76" s="12">
        <f>NEG_11_23!AG$23</f>
        <v>0</v>
      </c>
      <c r="X76" s="12">
        <f>NEG_11_23!AG$24</f>
        <v>0</v>
      </c>
      <c r="Y76" s="12">
        <f>NEG_11_23!AG$25</f>
        <v>0</v>
      </c>
      <c r="Z76" s="12">
        <f>NEG_11_23!AG$26</f>
        <v>0</v>
      </c>
      <c r="AA76" s="12">
        <f>NEG_11_23!AG$27</f>
        <v>0</v>
      </c>
      <c r="AB76" s="12">
        <f>NEG_11_23!AG$28</f>
        <v>0</v>
      </c>
      <c r="AC76" s="12">
        <f>NEG_11_23!AG$29</f>
        <v>0</v>
      </c>
      <c r="AD76" s="12">
        <f>NEG_11_23!AG$30</f>
        <v>0</v>
      </c>
      <c r="AE76" s="12">
        <f>NEG_11_23!AG$31</f>
        <v>0</v>
      </c>
      <c r="AF76" s="12">
        <f>NEG_11_23!AG$32</f>
        <v>0</v>
      </c>
      <c r="AG76" s="8">
        <f t="shared" si="51"/>
        <v>0</v>
      </c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  <c r="FK76" s="2"/>
      <c r="FL76" s="2"/>
      <c r="FM76" s="2"/>
      <c r="FN76" s="2"/>
      <c r="FO76" s="2"/>
      <c r="FP76" s="2"/>
      <c r="FQ76" s="2"/>
      <c r="FR76" s="2"/>
      <c r="FS76" s="2"/>
      <c r="FT76" s="2"/>
      <c r="FU76" s="2"/>
      <c r="FV76" s="2"/>
      <c r="FW76" s="2"/>
      <c r="FX76" s="2"/>
      <c r="FY76" s="2"/>
      <c r="FZ76" s="2"/>
      <c r="GA76" s="2"/>
      <c r="GB76" s="2"/>
      <c r="GC76" s="2"/>
      <c r="GD76" s="2"/>
      <c r="GE76" s="2"/>
      <c r="GF76" s="2"/>
      <c r="GG76" s="2"/>
      <c r="GH76" s="2"/>
      <c r="GI76" s="2"/>
      <c r="GJ76" s="2"/>
      <c r="GK76" s="2"/>
      <c r="GL76" s="2"/>
      <c r="GM76" s="2"/>
      <c r="GN76" s="2"/>
      <c r="GO76" s="2"/>
      <c r="GP76" s="2"/>
      <c r="GQ76" s="2"/>
      <c r="GR76" s="2"/>
      <c r="GS76" s="2"/>
      <c r="GT76" s="2"/>
      <c r="GU76" s="2"/>
      <c r="GV76" s="2"/>
      <c r="GW76" s="2"/>
      <c r="GX76" s="2"/>
      <c r="GY76" s="2"/>
      <c r="GZ76" s="2"/>
      <c r="HA76" s="2"/>
      <c r="HB76" s="2"/>
      <c r="HC76" s="2"/>
      <c r="HD76" s="2"/>
      <c r="HE76" s="2"/>
      <c r="HF76" s="2"/>
      <c r="HG76" s="2"/>
      <c r="HH76" s="2"/>
      <c r="HI76" s="2"/>
      <c r="HJ76" s="2"/>
      <c r="HK76" s="2"/>
      <c r="HL76" s="2"/>
      <c r="HM76" s="2"/>
      <c r="HN76" s="2"/>
      <c r="HO76" s="2"/>
      <c r="HP76" s="2"/>
      <c r="HQ76" s="2"/>
      <c r="HR76" s="2"/>
      <c r="HS76" s="2"/>
      <c r="HT76" s="2"/>
      <c r="HU76" s="2"/>
      <c r="HV76" s="2"/>
      <c r="HW76" s="2"/>
      <c r="HX76" s="2"/>
      <c r="HY76" s="2"/>
      <c r="HZ76" s="2"/>
      <c r="IA76" s="2"/>
      <c r="IB76" s="2"/>
      <c r="IC76" s="2"/>
      <c r="ID76" s="2"/>
      <c r="IE76" s="2"/>
      <c r="IF76" s="2"/>
      <c r="IG76" s="2"/>
      <c r="IH76" s="2"/>
      <c r="II76" s="2"/>
      <c r="IJ76" s="2"/>
      <c r="IK76" s="2"/>
      <c r="IL76" s="2"/>
      <c r="IM76" s="2"/>
      <c r="IN76" s="2"/>
      <c r="IO76" s="2"/>
      <c r="IP76" s="2"/>
      <c r="IQ76" s="2"/>
      <c r="IR76" s="2"/>
      <c r="IS76" s="2"/>
      <c r="IT76" s="2"/>
      <c r="IU76" s="2"/>
      <c r="IV76" s="2"/>
      <c r="IW76" s="2"/>
      <c r="IX76" s="2"/>
      <c r="IY76" s="2"/>
      <c r="IZ76" s="2"/>
      <c r="JA76" s="2"/>
      <c r="JB76" s="2"/>
      <c r="JC76" s="2"/>
      <c r="JD76" s="2"/>
      <c r="JE76" s="2"/>
      <c r="JF76" s="2"/>
      <c r="JG76" s="2"/>
      <c r="JH76" s="2"/>
      <c r="JI76" s="2"/>
      <c r="JJ76" s="2"/>
      <c r="JK76" s="2"/>
      <c r="JL76" s="2"/>
      <c r="JM76" s="2"/>
      <c r="JN76" s="2"/>
      <c r="JO76" s="2"/>
      <c r="JP76" s="2"/>
      <c r="JQ76" s="2"/>
      <c r="JR76" s="2"/>
      <c r="JS76" s="2"/>
      <c r="JT76" s="2"/>
      <c r="JU76" s="2"/>
      <c r="JV76" s="2"/>
      <c r="JW76" s="2"/>
      <c r="JX76" s="2"/>
      <c r="JY76" s="2"/>
      <c r="JZ76" s="2"/>
      <c r="KA76" s="2"/>
      <c r="KB76" s="2"/>
      <c r="KC76" s="2"/>
      <c r="KD76" s="2"/>
      <c r="KE76" s="2"/>
      <c r="KF76" s="2"/>
      <c r="KG76" s="2"/>
      <c r="KH76" s="2"/>
      <c r="KI76" s="2"/>
      <c r="KJ76" s="2"/>
      <c r="KK76" s="2"/>
      <c r="KL76" s="2"/>
      <c r="KM76" s="2"/>
      <c r="KN76" s="2"/>
      <c r="KO76" s="2"/>
      <c r="KP76" s="2"/>
      <c r="KQ76" s="2"/>
      <c r="KR76" s="2"/>
      <c r="KS76" s="2"/>
      <c r="KT76" s="2"/>
      <c r="KU76" s="2"/>
      <c r="KV76" s="2"/>
      <c r="KW76" s="2"/>
      <c r="KX76" s="2"/>
      <c r="KY76" s="2"/>
      <c r="KZ76" s="2"/>
      <c r="LA76" s="2"/>
      <c r="LB76" s="2"/>
      <c r="LC76" s="2"/>
      <c r="LD76" s="2"/>
      <c r="LE76" s="2"/>
      <c r="LF76" s="2"/>
      <c r="LG76" s="2"/>
      <c r="LH76" s="2"/>
      <c r="LI76" s="2"/>
      <c r="LJ76" s="2"/>
      <c r="LK76" s="2"/>
      <c r="LL76" s="2"/>
      <c r="LM76" s="2"/>
      <c r="LN76" s="2"/>
      <c r="LO76" s="2"/>
      <c r="LP76" s="2"/>
      <c r="LQ76" s="2"/>
      <c r="LR76" s="2"/>
      <c r="LS76" s="2"/>
      <c r="LT76" s="2"/>
      <c r="LU76" s="2"/>
      <c r="LV76" s="2"/>
      <c r="LW76" s="2"/>
      <c r="LX76" s="2"/>
      <c r="LY76" s="2"/>
      <c r="LZ76" s="2"/>
      <c r="MA76" s="2"/>
      <c r="MB76" s="2"/>
      <c r="MC76" s="2"/>
      <c r="MD76" s="2"/>
      <c r="ME76" s="2"/>
      <c r="MF76" s="2"/>
      <c r="MG76" s="2"/>
      <c r="MH76" s="2"/>
      <c r="MI76" s="2"/>
      <c r="MJ76" s="2"/>
      <c r="MK76" s="2"/>
      <c r="ML76" s="2"/>
      <c r="MM76" s="2"/>
      <c r="MN76" s="2"/>
      <c r="MO76" s="2"/>
      <c r="MP76" s="2"/>
      <c r="MQ76" s="2"/>
      <c r="MR76" s="2"/>
      <c r="MS76" s="2"/>
      <c r="MT76" s="2"/>
      <c r="MU76" s="2"/>
      <c r="MV76" s="2"/>
      <c r="MW76" s="2"/>
      <c r="MX76" s="2"/>
      <c r="MY76" s="2"/>
      <c r="MZ76" s="2"/>
      <c r="NA76" s="2"/>
      <c r="NB76" s="2"/>
      <c r="NC76" s="2"/>
      <c r="ND76" s="2"/>
      <c r="NE76" s="2"/>
      <c r="NF76" s="2"/>
      <c r="NG76" s="2"/>
      <c r="NH76" s="2"/>
      <c r="NI76" s="2"/>
      <c r="NJ76" s="2"/>
      <c r="NK76" s="2"/>
      <c r="NL76" s="2"/>
      <c r="NM76" s="2"/>
      <c r="NN76" s="2"/>
      <c r="NO76" s="2"/>
      <c r="NP76" s="2"/>
      <c r="NQ76" s="2"/>
      <c r="NR76" s="2"/>
      <c r="NS76" s="2"/>
      <c r="NT76" s="2"/>
      <c r="NU76" s="2"/>
      <c r="NV76" s="2"/>
      <c r="NW76" s="2"/>
      <c r="NX76" s="2"/>
      <c r="NY76" s="2"/>
      <c r="NZ76" s="2"/>
      <c r="OA76" s="2"/>
      <c r="OB76" s="2"/>
      <c r="OC76" s="2"/>
      <c r="OD76" s="2"/>
      <c r="OE76" s="2"/>
      <c r="OF76" s="2"/>
      <c r="OG76" s="2"/>
      <c r="OH76" s="2"/>
      <c r="OI76" s="2"/>
      <c r="OJ76" s="2"/>
      <c r="OK76" s="2"/>
      <c r="OL76" s="2"/>
      <c r="OM76" s="2"/>
      <c r="ON76" s="2"/>
      <c r="OO76" s="2"/>
      <c r="OP76" s="2"/>
      <c r="OQ76" s="2"/>
      <c r="OR76" s="2"/>
      <c r="OS76" s="2"/>
      <c r="OT76" s="2"/>
      <c r="OU76" s="2"/>
      <c r="OV76" s="2"/>
      <c r="OW76" s="2"/>
      <c r="OX76" s="2"/>
      <c r="OY76" s="2"/>
      <c r="OZ76" s="2"/>
      <c r="PA76" s="2"/>
      <c r="PB76" s="2"/>
      <c r="PC76" s="2"/>
      <c r="PD76" s="2"/>
      <c r="PE76" s="2"/>
      <c r="PF76" s="2"/>
      <c r="PG76" s="2"/>
      <c r="PH76" s="2"/>
      <c r="PI76" s="2"/>
      <c r="PJ76" s="2"/>
      <c r="PK76" s="2"/>
      <c r="PL76" s="2"/>
      <c r="PM76" s="2"/>
      <c r="PN76" s="2"/>
      <c r="PO76" s="2"/>
      <c r="PP76" s="2"/>
      <c r="PQ76" s="2"/>
      <c r="PR76" s="2"/>
      <c r="PS76" s="2"/>
      <c r="PT76" s="2"/>
      <c r="PU76" s="2"/>
      <c r="PV76" s="2"/>
      <c r="PW76" s="2"/>
      <c r="PX76" s="2"/>
      <c r="PY76" s="2"/>
      <c r="PZ76" s="2"/>
      <c r="QA76" s="2"/>
      <c r="QB76" s="2"/>
      <c r="QC76" s="2"/>
      <c r="QD76" s="2"/>
      <c r="QE76" s="2"/>
      <c r="QF76" s="2"/>
      <c r="QG76" s="2"/>
      <c r="QH76" s="2"/>
      <c r="QI76" s="2"/>
      <c r="QJ76" s="2"/>
      <c r="QK76" s="2"/>
      <c r="QL76" s="2"/>
      <c r="QM76" s="2"/>
      <c r="QN76" s="2"/>
      <c r="QO76" s="2"/>
      <c r="QP76" s="2"/>
      <c r="QQ76" s="2"/>
      <c r="QR76" s="2"/>
      <c r="QS76" s="2"/>
      <c r="QT76" s="2"/>
      <c r="QU76" s="2"/>
      <c r="QV76" s="2"/>
      <c r="QW76" s="2"/>
      <c r="QX76" s="2"/>
      <c r="QY76" s="2"/>
      <c r="QZ76" s="2"/>
      <c r="RA76" s="2"/>
      <c r="RB76" s="2"/>
      <c r="RC76" s="2"/>
      <c r="RD76" s="2"/>
      <c r="RE76" s="2"/>
      <c r="RF76" s="2"/>
      <c r="RG76" s="2"/>
      <c r="RH76" s="2"/>
      <c r="RI76" s="2"/>
      <c r="RJ76" s="2"/>
      <c r="RK76" s="2"/>
      <c r="RL76" s="2"/>
      <c r="RM76" s="2"/>
      <c r="RN76" s="2"/>
      <c r="RO76" s="2"/>
      <c r="RP76" s="2"/>
      <c r="RQ76" s="2"/>
      <c r="RR76" s="2"/>
      <c r="RS76" s="2"/>
      <c r="RT76" s="2"/>
      <c r="RU76" s="2"/>
      <c r="RV76" s="2"/>
      <c r="RW76" s="2"/>
      <c r="RX76" s="2"/>
      <c r="RY76" s="2"/>
      <c r="RZ76" s="2"/>
      <c r="SA76" s="2"/>
      <c r="SB76" s="2"/>
      <c r="SC76" s="2"/>
      <c r="SD76" s="2"/>
      <c r="SE76" s="2"/>
      <c r="SF76" s="2"/>
      <c r="SG76" s="2"/>
      <c r="SH76" s="2"/>
      <c r="SI76" s="2"/>
      <c r="SJ76" s="2"/>
      <c r="SK76" s="2"/>
      <c r="SL76" s="2"/>
      <c r="SM76" s="2"/>
      <c r="SN76" s="2"/>
      <c r="SO76" s="2"/>
      <c r="SP76" s="2"/>
      <c r="SQ76" s="2"/>
      <c r="SR76" s="2"/>
      <c r="SS76" s="2"/>
      <c r="ST76" s="2"/>
      <c r="SU76" s="2"/>
      <c r="SV76" s="2"/>
      <c r="SW76" s="2"/>
      <c r="SX76" s="2"/>
    </row>
    <row r="77" spans="1:518" x14ac:dyDescent="0.25">
      <c r="A77" s="214"/>
      <c r="B77" s="69" t="s">
        <v>165</v>
      </c>
      <c r="C77" s="12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10"/>
      <c r="Z77" s="10"/>
      <c r="AA77" s="10"/>
      <c r="AB77" s="10"/>
      <c r="AC77" s="10"/>
      <c r="AD77" s="10"/>
      <c r="AE77" s="10"/>
      <c r="AF77" s="10"/>
      <c r="AG77" s="8">
        <f t="shared" si="51"/>
        <v>0</v>
      </c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  <c r="FK77" s="2"/>
      <c r="FL77" s="2"/>
      <c r="FM77" s="2"/>
      <c r="FN77" s="2"/>
      <c r="FO77" s="2"/>
      <c r="FP77" s="2"/>
      <c r="FQ77" s="2"/>
      <c r="FR77" s="2"/>
      <c r="FS77" s="2"/>
      <c r="FT77" s="2"/>
      <c r="FU77" s="2"/>
      <c r="FV77" s="2"/>
      <c r="FW77" s="2"/>
      <c r="FX77" s="2"/>
      <c r="FY77" s="2"/>
      <c r="FZ77" s="2"/>
      <c r="GA77" s="2"/>
      <c r="GB77" s="2"/>
      <c r="GC77" s="2"/>
      <c r="GD77" s="2"/>
      <c r="GE77" s="2"/>
      <c r="GF77" s="2"/>
      <c r="GG77" s="2"/>
      <c r="GH77" s="2"/>
      <c r="GI77" s="2"/>
      <c r="GJ77" s="2"/>
      <c r="GK77" s="2"/>
      <c r="GL77" s="2"/>
      <c r="GM77" s="2"/>
      <c r="GN77" s="2"/>
      <c r="GO77" s="2"/>
      <c r="GP77" s="2"/>
      <c r="GQ77" s="2"/>
      <c r="GR77" s="2"/>
      <c r="GS77" s="2"/>
      <c r="GT77" s="2"/>
      <c r="GU77" s="2"/>
      <c r="GV77" s="2"/>
      <c r="GW77" s="2"/>
      <c r="GX77" s="2"/>
      <c r="GY77" s="2"/>
      <c r="GZ77" s="2"/>
      <c r="HA77" s="2"/>
      <c r="HB77" s="2"/>
      <c r="HC77" s="2"/>
      <c r="HD77" s="2"/>
      <c r="HE77" s="2"/>
      <c r="HF77" s="2"/>
      <c r="HG77" s="2"/>
      <c r="HH77" s="2"/>
      <c r="HI77" s="2"/>
      <c r="HJ77" s="2"/>
      <c r="HK77" s="2"/>
      <c r="HL77" s="2"/>
      <c r="HM77" s="2"/>
      <c r="HN77" s="2"/>
      <c r="HO77" s="2"/>
      <c r="HP77" s="2"/>
      <c r="HQ77" s="2"/>
      <c r="HR77" s="2"/>
      <c r="HS77" s="2"/>
      <c r="HT77" s="2"/>
      <c r="HU77" s="2"/>
      <c r="HV77" s="2"/>
      <c r="HW77" s="2"/>
      <c r="HX77" s="2"/>
      <c r="HY77" s="2"/>
      <c r="HZ77" s="2"/>
      <c r="IA77" s="2"/>
      <c r="IB77" s="2"/>
      <c r="IC77" s="2"/>
      <c r="ID77" s="2"/>
      <c r="IE77" s="2"/>
      <c r="IF77" s="2"/>
      <c r="IG77" s="2"/>
      <c r="IH77" s="2"/>
      <c r="II77" s="2"/>
      <c r="IJ77" s="2"/>
      <c r="IK77" s="2"/>
      <c r="IL77" s="2"/>
      <c r="IM77" s="2"/>
      <c r="IN77" s="2"/>
      <c r="IO77" s="2"/>
      <c r="IP77" s="2"/>
      <c r="IQ77" s="2"/>
      <c r="IR77" s="2"/>
      <c r="IS77" s="2"/>
      <c r="IT77" s="2"/>
      <c r="IU77" s="2"/>
      <c r="IV77" s="2"/>
      <c r="IW77" s="2"/>
      <c r="IX77" s="2"/>
      <c r="IY77" s="2"/>
      <c r="IZ77" s="2"/>
      <c r="JA77" s="2"/>
      <c r="JB77" s="2"/>
      <c r="JC77" s="2"/>
      <c r="JD77" s="2"/>
      <c r="JE77" s="2"/>
      <c r="JF77" s="2"/>
      <c r="JG77" s="2"/>
      <c r="JH77" s="2"/>
      <c r="JI77" s="2"/>
      <c r="JJ77" s="2"/>
      <c r="JK77" s="2"/>
      <c r="JL77" s="2"/>
      <c r="JM77" s="2"/>
      <c r="JN77" s="2"/>
      <c r="JO77" s="2"/>
      <c r="JP77" s="2"/>
      <c r="JQ77" s="2"/>
      <c r="JR77" s="2"/>
      <c r="JS77" s="2"/>
      <c r="JT77" s="2"/>
      <c r="JU77" s="2"/>
      <c r="JV77" s="2"/>
      <c r="JW77" s="2"/>
      <c r="JX77" s="2"/>
      <c r="JY77" s="2"/>
      <c r="JZ77" s="2"/>
      <c r="KA77" s="2"/>
      <c r="KB77" s="2"/>
      <c r="KC77" s="2"/>
      <c r="KD77" s="2"/>
      <c r="KE77" s="2"/>
      <c r="KF77" s="2"/>
      <c r="KG77" s="2"/>
      <c r="KH77" s="2"/>
      <c r="KI77" s="2"/>
      <c r="KJ77" s="2"/>
      <c r="KK77" s="2"/>
      <c r="KL77" s="2"/>
      <c r="KM77" s="2"/>
      <c r="KN77" s="2"/>
      <c r="KO77" s="2"/>
      <c r="KP77" s="2"/>
      <c r="KQ77" s="2"/>
      <c r="KR77" s="2"/>
      <c r="KS77" s="2"/>
      <c r="KT77" s="2"/>
      <c r="KU77" s="2"/>
      <c r="KV77" s="2"/>
      <c r="KW77" s="2"/>
      <c r="KX77" s="2"/>
      <c r="KY77" s="2"/>
      <c r="KZ77" s="2"/>
      <c r="LA77" s="2"/>
      <c r="LB77" s="2"/>
      <c r="LC77" s="2"/>
      <c r="LD77" s="2"/>
      <c r="LE77" s="2"/>
      <c r="LF77" s="2"/>
      <c r="LG77" s="2"/>
      <c r="LH77" s="2"/>
      <c r="LI77" s="2"/>
      <c r="LJ77" s="2"/>
      <c r="LK77" s="2"/>
      <c r="LL77" s="2"/>
      <c r="LM77" s="2"/>
      <c r="LN77" s="2"/>
      <c r="LO77" s="2"/>
      <c r="LP77" s="2"/>
      <c r="LQ77" s="2"/>
      <c r="LR77" s="2"/>
      <c r="LS77" s="2"/>
      <c r="LT77" s="2"/>
      <c r="LU77" s="2"/>
      <c r="LV77" s="2"/>
      <c r="LW77" s="2"/>
      <c r="LX77" s="2"/>
      <c r="LY77" s="2"/>
      <c r="LZ77" s="2"/>
      <c r="MA77" s="2"/>
      <c r="MB77" s="2"/>
      <c r="MC77" s="2"/>
      <c r="MD77" s="2"/>
      <c r="ME77" s="2"/>
      <c r="MF77" s="2"/>
      <c r="MG77" s="2"/>
      <c r="MH77" s="2"/>
      <c r="MI77" s="2"/>
      <c r="MJ77" s="2"/>
      <c r="MK77" s="2"/>
      <c r="ML77" s="2"/>
      <c r="MM77" s="2"/>
      <c r="MN77" s="2"/>
      <c r="MO77" s="2"/>
      <c r="MP77" s="2"/>
      <c r="MQ77" s="2"/>
      <c r="MR77" s="2"/>
      <c r="MS77" s="2"/>
      <c r="MT77" s="2"/>
      <c r="MU77" s="2"/>
      <c r="MV77" s="2"/>
      <c r="MW77" s="2"/>
      <c r="MX77" s="2"/>
      <c r="MY77" s="2"/>
      <c r="MZ77" s="2"/>
      <c r="NA77" s="2"/>
      <c r="NB77" s="2"/>
      <c r="NC77" s="2"/>
      <c r="ND77" s="2"/>
      <c r="NE77" s="2"/>
      <c r="NF77" s="2"/>
      <c r="NG77" s="2"/>
      <c r="NH77" s="2"/>
      <c r="NI77" s="2"/>
      <c r="NJ77" s="2"/>
      <c r="NK77" s="2"/>
      <c r="NL77" s="2"/>
      <c r="NM77" s="2"/>
      <c r="NN77" s="2"/>
      <c r="NO77" s="2"/>
      <c r="NP77" s="2"/>
      <c r="NQ77" s="2"/>
      <c r="NR77" s="2"/>
      <c r="NS77" s="2"/>
      <c r="NT77" s="2"/>
      <c r="NU77" s="2"/>
      <c r="NV77" s="2"/>
      <c r="NW77" s="2"/>
      <c r="NX77" s="2"/>
      <c r="NY77" s="2"/>
      <c r="NZ77" s="2"/>
      <c r="OA77" s="2"/>
      <c r="OB77" s="2"/>
      <c r="OC77" s="2"/>
      <c r="OD77" s="2"/>
      <c r="OE77" s="2"/>
      <c r="OF77" s="2"/>
      <c r="OG77" s="2"/>
      <c r="OH77" s="2"/>
      <c r="OI77" s="2"/>
      <c r="OJ77" s="2"/>
      <c r="OK77" s="2"/>
      <c r="OL77" s="2"/>
      <c r="OM77" s="2"/>
      <c r="ON77" s="2"/>
      <c r="OO77" s="2"/>
      <c r="OP77" s="2"/>
      <c r="OQ77" s="2"/>
      <c r="OR77" s="2"/>
      <c r="OS77" s="2"/>
      <c r="OT77" s="2"/>
      <c r="OU77" s="2"/>
      <c r="OV77" s="2"/>
      <c r="OW77" s="2"/>
      <c r="OX77" s="2"/>
      <c r="OY77" s="2"/>
      <c r="OZ77" s="2"/>
      <c r="PA77" s="2"/>
      <c r="PB77" s="2"/>
      <c r="PC77" s="2"/>
      <c r="PD77" s="2"/>
      <c r="PE77" s="2"/>
      <c r="PF77" s="2"/>
      <c r="PG77" s="2"/>
      <c r="PH77" s="2"/>
      <c r="PI77" s="2"/>
      <c r="PJ77" s="2"/>
      <c r="PK77" s="2"/>
      <c r="PL77" s="2"/>
      <c r="PM77" s="2"/>
      <c r="PN77" s="2"/>
      <c r="PO77" s="2"/>
      <c r="PP77" s="2"/>
      <c r="PQ77" s="2"/>
      <c r="PR77" s="2"/>
      <c r="PS77" s="2"/>
      <c r="PT77" s="2"/>
      <c r="PU77" s="2"/>
      <c r="PV77" s="2"/>
      <c r="PW77" s="2"/>
      <c r="PX77" s="2"/>
      <c r="PY77" s="2"/>
      <c r="PZ77" s="2"/>
      <c r="QA77" s="2"/>
      <c r="QB77" s="2"/>
      <c r="QC77" s="2"/>
      <c r="QD77" s="2"/>
      <c r="QE77" s="2"/>
      <c r="QF77" s="2"/>
      <c r="QG77" s="2"/>
      <c r="QH77" s="2"/>
      <c r="QI77" s="2"/>
      <c r="QJ77" s="2"/>
      <c r="QK77" s="2"/>
      <c r="QL77" s="2"/>
      <c r="QM77" s="2"/>
      <c r="QN77" s="2"/>
      <c r="QO77" s="2"/>
      <c r="QP77" s="2"/>
      <c r="QQ77" s="2"/>
      <c r="QR77" s="2"/>
      <c r="QS77" s="2"/>
      <c r="QT77" s="2"/>
      <c r="QU77" s="2"/>
      <c r="QV77" s="2"/>
      <c r="QW77" s="2"/>
      <c r="QX77" s="2"/>
      <c r="QY77" s="2"/>
      <c r="QZ77" s="2"/>
      <c r="RA77" s="2"/>
      <c r="RB77" s="2"/>
      <c r="RC77" s="2"/>
      <c r="RD77" s="2"/>
      <c r="RE77" s="2"/>
      <c r="RF77" s="2"/>
      <c r="RG77" s="2"/>
      <c r="RH77" s="2"/>
      <c r="RI77" s="2"/>
      <c r="RJ77" s="2"/>
      <c r="RK77" s="2"/>
      <c r="RL77" s="2"/>
      <c r="RM77" s="2"/>
      <c r="RN77" s="2"/>
      <c r="RO77" s="2"/>
      <c r="RP77" s="2"/>
      <c r="RQ77" s="2"/>
      <c r="RR77" s="2"/>
      <c r="RS77" s="2"/>
      <c r="RT77" s="2"/>
      <c r="RU77" s="2"/>
      <c r="RV77" s="2"/>
      <c r="RW77" s="2"/>
      <c r="RX77" s="2"/>
      <c r="RY77" s="2"/>
      <c r="RZ77" s="2"/>
      <c r="SA77" s="2"/>
      <c r="SB77" s="2"/>
      <c r="SC77" s="2"/>
      <c r="SD77" s="2"/>
      <c r="SE77" s="2"/>
      <c r="SF77" s="2"/>
      <c r="SG77" s="2"/>
      <c r="SH77" s="2"/>
      <c r="SI77" s="2"/>
      <c r="SJ77" s="2"/>
      <c r="SK77" s="2"/>
      <c r="SL77" s="2"/>
      <c r="SM77" s="2"/>
      <c r="SN77" s="2"/>
      <c r="SO77" s="2"/>
      <c r="SP77" s="2"/>
      <c r="SQ77" s="2"/>
      <c r="SR77" s="2"/>
      <c r="SS77" s="2"/>
      <c r="ST77" s="2"/>
      <c r="SU77" s="2"/>
      <c r="SV77" s="2"/>
      <c r="SW77" s="2"/>
      <c r="SX77" s="2"/>
    </row>
    <row r="78" spans="1:518" s="4" customFormat="1" x14ac:dyDescent="0.25">
      <c r="A78" s="207" t="s">
        <v>97</v>
      </c>
      <c r="B78" s="208"/>
      <c r="C78" s="64">
        <f t="shared" ref="C78:AF78" si="55">SUM(C72:C77)</f>
        <v>0</v>
      </c>
      <c r="D78" s="8">
        <f t="shared" si="55"/>
        <v>0</v>
      </c>
      <c r="E78" s="8">
        <f t="shared" si="55"/>
        <v>0</v>
      </c>
      <c r="F78" s="8">
        <f t="shared" si="55"/>
        <v>0</v>
      </c>
      <c r="G78" s="8">
        <f t="shared" si="55"/>
        <v>0</v>
      </c>
      <c r="H78" s="8">
        <f t="shared" si="55"/>
        <v>0</v>
      </c>
      <c r="I78" s="8">
        <f t="shared" si="55"/>
        <v>0</v>
      </c>
      <c r="J78" s="8">
        <f t="shared" si="55"/>
        <v>0</v>
      </c>
      <c r="K78" s="8">
        <f t="shared" si="55"/>
        <v>0</v>
      </c>
      <c r="L78" s="8">
        <f t="shared" si="55"/>
        <v>0</v>
      </c>
      <c r="M78" s="8">
        <f t="shared" si="55"/>
        <v>0</v>
      </c>
      <c r="N78" s="8">
        <f t="shared" si="55"/>
        <v>0</v>
      </c>
      <c r="O78" s="8">
        <f t="shared" si="55"/>
        <v>0</v>
      </c>
      <c r="P78" s="8">
        <f t="shared" si="55"/>
        <v>0</v>
      </c>
      <c r="Q78" s="8">
        <f t="shared" si="55"/>
        <v>0</v>
      </c>
      <c r="R78" s="8">
        <f t="shared" si="55"/>
        <v>0</v>
      </c>
      <c r="S78" s="8">
        <f t="shared" si="55"/>
        <v>0</v>
      </c>
      <c r="T78" s="8">
        <f t="shared" si="55"/>
        <v>0</v>
      </c>
      <c r="U78" s="8">
        <f t="shared" si="55"/>
        <v>0</v>
      </c>
      <c r="V78" s="8">
        <f t="shared" si="55"/>
        <v>0</v>
      </c>
      <c r="W78" s="8">
        <f t="shared" si="55"/>
        <v>0</v>
      </c>
      <c r="X78" s="8">
        <f t="shared" si="55"/>
        <v>0</v>
      </c>
      <c r="Y78" s="8">
        <f t="shared" si="55"/>
        <v>0</v>
      </c>
      <c r="Z78" s="8">
        <f t="shared" si="55"/>
        <v>0</v>
      </c>
      <c r="AA78" s="8">
        <f t="shared" si="55"/>
        <v>0</v>
      </c>
      <c r="AB78" s="8">
        <f t="shared" si="55"/>
        <v>0</v>
      </c>
      <c r="AC78" s="8">
        <f t="shared" si="55"/>
        <v>0</v>
      </c>
      <c r="AD78" s="8">
        <f t="shared" si="55"/>
        <v>0</v>
      </c>
      <c r="AE78" s="8">
        <f t="shared" si="55"/>
        <v>0</v>
      </c>
      <c r="AF78" s="8">
        <f t="shared" si="55"/>
        <v>0</v>
      </c>
      <c r="AG78" s="8">
        <f t="shared" si="51"/>
        <v>0</v>
      </c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  <c r="FK78" s="2"/>
      <c r="FL78" s="2"/>
      <c r="FM78" s="2"/>
      <c r="FN78" s="2"/>
      <c r="FO78" s="2"/>
      <c r="FP78" s="2"/>
      <c r="FQ78" s="2"/>
      <c r="FR78" s="2"/>
      <c r="FS78" s="2"/>
      <c r="FT78" s="2"/>
      <c r="FU78" s="2"/>
      <c r="FV78" s="2"/>
      <c r="FW78" s="2"/>
      <c r="FX78" s="2"/>
      <c r="FY78" s="2"/>
      <c r="FZ78" s="2"/>
      <c r="GA78" s="2"/>
      <c r="GB78" s="2"/>
      <c r="GC78" s="2"/>
      <c r="GD78" s="2"/>
      <c r="GE78" s="2"/>
      <c r="GF78" s="2"/>
      <c r="GG78" s="2"/>
      <c r="GH78" s="2"/>
      <c r="GI78" s="2"/>
      <c r="GJ78" s="2"/>
      <c r="GK78" s="2"/>
      <c r="GL78" s="2"/>
      <c r="GM78" s="2"/>
      <c r="GN78" s="2"/>
      <c r="GO78" s="2"/>
      <c r="GP78" s="2"/>
      <c r="GQ78" s="2"/>
      <c r="GR78" s="2"/>
      <c r="GS78" s="2"/>
      <c r="GT78" s="2"/>
      <c r="GU78" s="2"/>
      <c r="GV78" s="2"/>
      <c r="GW78" s="2"/>
      <c r="GX78" s="2"/>
      <c r="GY78" s="2"/>
      <c r="GZ78" s="2"/>
      <c r="HA78" s="2"/>
      <c r="HB78" s="2"/>
      <c r="HC78" s="2"/>
      <c r="HD78" s="2"/>
      <c r="HE78" s="2"/>
      <c r="HF78" s="2"/>
      <c r="HG78" s="2"/>
      <c r="HH78" s="2"/>
      <c r="HI78" s="2"/>
      <c r="HJ78" s="2"/>
      <c r="HK78" s="2"/>
      <c r="HL78" s="2"/>
      <c r="HM78" s="2"/>
      <c r="HN78" s="2"/>
      <c r="HO78" s="2"/>
      <c r="HP78" s="2"/>
      <c r="HQ78" s="2"/>
      <c r="HR78" s="2"/>
      <c r="HS78" s="2"/>
      <c r="HT78" s="2"/>
      <c r="HU78" s="2"/>
      <c r="HV78" s="2"/>
      <c r="HW78" s="2"/>
      <c r="HX78" s="2"/>
      <c r="HY78" s="2"/>
      <c r="HZ78" s="2"/>
      <c r="IA78" s="2"/>
      <c r="IB78" s="2"/>
      <c r="IC78" s="2"/>
      <c r="ID78" s="2"/>
      <c r="IE78" s="2"/>
      <c r="IF78" s="2"/>
      <c r="IG78" s="2"/>
      <c r="IH78" s="2"/>
      <c r="II78" s="2"/>
      <c r="IJ78" s="2"/>
      <c r="IK78" s="2"/>
      <c r="IL78" s="2"/>
      <c r="IM78" s="2"/>
      <c r="IN78" s="2"/>
      <c r="IO78" s="2"/>
      <c r="IP78" s="2"/>
      <c r="IQ78" s="2"/>
      <c r="IR78" s="2"/>
      <c r="IS78" s="2"/>
      <c r="IT78" s="2"/>
      <c r="IU78" s="2"/>
      <c r="IV78" s="2"/>
      <c r="IW78" s="2"/>
      <c r="IX78" s="2"/>
      <c r="IY78" s="2"/>
      <c r="IZ78" s="2"/>
      <c r="JA78" s="2"/>
      <c r="JB78" s="2"/>
      <c r="JC78" s="2"/>
      <c r="JD78" s="2"/>
      <c r="JE78" s="2"/>
      <c r="JF78" s="2"/>
      <c r="JG78" s="2"/>
      <c r="JH78" s="2"/>
      <c r="JI78" s="2"/>
      <c r="JJ78" s="2"/>
      <c r="JK78" s="2"/>
      <c r="JL78" s="2"/>
      <c r="JM78" s="2"/>
      <c r="JN78" s="2"/>
      <c r="JO78" s="2"/>
      <c r="JP78" s="2"/>
      <c r="JQ78" s="2"/>
      <c r="JR78" s="2"/>
      <c r="JS78" s="2"/>
      <c r="JT78" s="2"/>
      <c r="JU78" s="2"/>
      <c r="JV78" s="2"/>
      <c r="JW78" s="2"/>
      <c r="JX78" s="2"/>
      <c r="JY78" s="2"/>
      <c r="JZ78" s="2"/>
      <c r="KA78" s="2"/>
      <c r="KB78" s="2"/>
      <c r="KC78" s="2"/>
      <c r="KD78" s="2"/>
      <c r="KE78" s="2"/>
      <c r="KF78" s="2"/>
      <c r="KG78" s="2"/>
      <c r="KH78" s="2"/>
      <c r="KI78" s="2"/>
      <c r="KJ78" s="2"/>
      <c r="KK78" s="2"/>
      <c r="KL78" s="2"/>
      <c r="KM78" s="2"/>
      <c r="KN78" s="2"/>
      <c r="KO78" s="2"/>
      <c r="KP78" s="2"/>
      <c r="KQ78" s="2"/>
      <c r="KR78" s="2"/>
      <c r="KS78" s="2"/>
      <c r="KT78" s="2"/>
      <c r="KU78" s="2"/>
      <c r="KV78" s="2"/>
      <c r="KW78" s="2"/>
      <c r="KX78" s="2"/>
      <c r="KY78" s="2"/>
      <c r="KZ78" s="2"/>
      <c r="LA78" s="2"/>
      <c r="LB78" s="2"/>
      <c r="LC78" s="2"/>
      <c r="LD78" s="2"/>
      <c r="LE78" s="2"/>
      <c r="LF78" s="2"/>
      <c r="LG78" s="2"/>
      <c r="LH78" s="2"/>
      <c r="LI78" s="2"/>
      <c r="LJ78" s="2"/>
      <c r="LK78" s="2"/>
      <c r="LL78" s="2"/>
      <c r="LM78" s="2"/>
      <c r="LN78" s="2"/>
      <c r="LO78" s="2"/>
      <c r="LP78" s="2"/>
      <c r="LQ78" s="2"/>
      <c r="LR78" s="2"/>
      <c r="LS78" s="2"/>
      <c r="LT78" s="2"/>
      <c r="LU78" s="2"/>
      <c r="LV78" s="2"/>
      <c r="LW78" s="2"/>
      <c r="LX78" s="2"/>
      <c r="LY78" s="2"/>
      <c r="LZ78" s="2"/>
      <c r="MA78" s="2"/>
      <c r="MB78" s="2"/>
      <c r="MC78" s="2"/>
      <c r="MD78" s="2"/>
      <c r="ME78" s="2"/>
      <c r="MF78" s="2"/>
      <c r="MG78" s="2"/>
      <c r="MH78" s="2"/>
      <c r="MI78" s="2"/>
      <c r="MJ78" s="2"/>
      <c r="MK78" s="2"/>
      <c r="ML78" s="2"/>
      <c r="MM78" s="2"/>
      <c r="MN78" s="2"/>
      <c r="MO78" s="2"/>
      <c r="MP78" s="2"/>
      <c r="MQ78" s="2"/>
      <c r="MR78" s="2"/>
      <c r="MS78" s="2"/>
      <c r="MT78" s="2"/>
      <c r="MU78" s="2"/>
      <c r="MV78" s="2"/>
      <c r="MW78" s="2"/>
      <c r="MX78" s="2"/>
      <c r="MY78" s="2"/>
      <c r="MZ78" s="2"/>
      <c r="NA78" s="2"/>
      <c r="NB78" s="2"/>
      <c r="NC78" s="2"/>
      <c r="ND78" s="2"/>
      <c r="NE78" s="2"/>
      <c r="NF78" s="2"/>
      <c r="NG78" s="2"/>
      <c r="NH78" s="2"/>
      <c r="NI78" s="2"/>
      <c r="NJ78" s="2"/>
      <c r="NK78" s="2"/>
      <c r="NL78" s="2"/>
      <c r="NM78" s="2"/>
      <c r="NN78" s="2"/>
      <c r="NO78" s="2"/>
      <c r="NP78" s="2"/>
      <c r="NQ78" s="2"/>
      <c r="NR78" s="2"/>
      <c r="NS78" s="2"/>
      <c r="NT78" s="2"/>
      <c r="NU78" s="2"/>
      <c r="NV78" s="2"/>
      <c r="NW78" s="2"/>
      <c r="NX78" s="2"/>
      <c r="NY78" s="2"/>
      <c r="NZ78" s="2"/>
      <c r="OA78" s="2"/>
      <c r="OB78" s="2"/>
      <c r="OC78" s="2"/>
      <c r="OD78" s="2"/>
      <c r="OE78" s="2"/>
      <c r="OF78" s="2"/>
      <c r="OG78" s="2"/>
      <c r="OH78" s="2"/>
      <c r="OI78" s="2"/>
      <c r="OJ78" s="2"/>
      <c r="OK78" s="2"/>
      <c r="OL78" s="2"/>
      <c r="OM78" s="2"/>
      <c r="ON78" s="2"/>
      <c r="OO78" s="2"/>
      <c r="OP78" s="2"/>
      <c r="OQ78" s="2"/>
      <c r="OR78" s="2"/>
      <c r="OS78" s="2"/>
      <c r="OT78" s="2"/>
      <c r="OU78" s="2"/>
      <c r="OV78" s="2"/>
      <c r="OW78" s="2"/>
      <c r="OX78" s="2"/>
      <c r="OY78" s="2"/>
      <c r="OZ78" s="2"/>
      <c r="PA78" s="2"/>
      <c r="PB78" s="2"/>
      <c r="PC78" s="2"/>
      <c r="PD78" s="2"/>
      <c r="PE78" s="2"/>
      <c r="PF78" s="2"/>
      <c r="PG78" s="2"/>
      <c r="PH78" s="2"/>
      <c r="PI78" s="2"/>
      <c r="PJ78" s="2"/>
      <c r="PK78" s="2"/>
      <c r="PL78" s="2"/>
      <c r="PM78" s="2"/>
      <c r="PN78" s="2"/>
      <c r="PO78" s="2"/>
      <c r="PP78" s="2"/>
      <c r="PQ78" s="2"/>
      <c r="PR78" s="2"/>
      <c r="PS78" s="2"/>
      <c r="PT78" s="2"/>
      <c r="PU78" s="2"/>
      <c r="PV78" s="2"/>
      <c r="PW78" s="2"/>
      <c r="PX78" s="2"/>
      <c r="PY78" s="2"/>
      <c r="PZ78" s="2"/>
      <c r="QA78" s="2"/>
      <c r="QB78" s="2"/>
      <c r="QC78" s="2"/>
      <c r="QD78" s="2"/>
      <c r="QE78" s="2"/>
      <c r="QF78" s="2"/>
      <c r="QG78" s="2"/>
      <c r="QH78" s="2"/>
      <c r="QI78" s="2"/>
      <c r="QJ78" s="2"/>
      <c r="QK78" s="2"/>
      <c r="QL78" s="2"/>
      <c r="QM78" s="2"/>
      <c r="QN78" s="2"/>
      <c r="QO78" s="2"/>
      <c r="QP78" s="2"/>
      <c r="QQ78" s="2"/>
      <c r="QR78" s="2"/>
      <c r="QS78" s="2"/>
      <c r="QT78" s="2"/>
      <c r="QU78" s="2"/>
      <c r="QV78" s="2"/>
      <c r="QW78" s="2"/>
      <c r="QX78" s="2"/>
      <c r="QY78" s="2"/>
      <c r="QZ78" s="2"/>
      <c r="RA78" s="2"/>
      <c r="RB78" s="2"/>
      <c r="RC78" s="2"/>
      <c r="RD78" s="2"/>
      <c r="RE78" s="2"/>
      <c r="RF78" s="2"/>
      <c r="RG78" s="2"/>
      <c r="RH78" s="2"/>
      <c r="RI78" s="2"/>
      <c r="RJ78" s="2"/>
      <c r="RK78" s="2"/>
      <c r="RL78" s="2"/>
      <c r="RM78" s="2"/>
      <c r="RN78" s="2"/>
      <c r="RO78" s="2"/>
      <c r="RP78" s="2"/>
      <c r="RQ78" s="2"/>
      <c r="RR78" s="2"/>
      <c r="RS78" s="2"/>
      <c r="RT78" s="2"/>
      <c r="RU78" s="2"/>
      <c r="RV78" s="2"/>
      <c r="RW78" s="2"/>
      <c r="RX78" s="2"/>
      <c r="RY78" s="2"/>
      <c r="RZ78" s="2"/>
      <c r="SA78" s="2"/>
      <c r="SB78" s="2"/>
      <c r="SC78" s="2"/>
      <c r="SD78" s="2"/>
      <c r="SE78" s="2"/>
      <c r="SF78" s="2"/>
      <c r="SG78" s="2"/>
      <c r="SH78" s="2"/>
      <c r="SI78" s="2"/>
      <c r="SJ78" s="2"/>
      <c r="SK78" s="2"/>
      <c r="SL78" s="2"/>
      <c r="SM78" s="2"/>
      <c r="SN78" s="2"/>
      <c r="SO78" s="2"/>
      <c r="SP78" s="2"/>
      <c r="SQ78" s="2"/>
      <c r="SR78" s="2"/>
      <c r="SS78" s="2"/>
      <c r="ST78" s="2"/>
      <c r="SU78" s="2"/>
      <c r="SV78" s="2"/>
      <c r="SW78" s="2"/>
      <c r="SX78" s="2"/>
    </row>
    <row r="79" spans="1:518" x14ac:dyDescent="0.25">
      <c r="A79" s="214" t="s">
        <v>100</v>
      </c>
      <c r="B79" s="69" t="s">
        <v>166</v>
      </c>
      <c r="C79" s="12">
        <f>'PAP_12_22 '!$AG$3</f>
        <v>0</v>
      </c>
      <c r="D79" s="12">
        <f>'PAP_12_22 '!$AG$4</f>
        <v>0</v>
      </c>
      <c r="E79" s="12">
        <f>'PAP_12_22 '!$AG$5</f>
        <v>0</v>
      </c>
      <c r="F79" s="12">
        <f>'PAP_12_22 '!$AG$6</f>
        <v>0</v>
      </c>
      <c r="G79" s="12">
        <f>'PAP_12_22 '!$AG$7</f>
        <v>0</v>
      </c>
      <c r="H79" s="12">
        <f>'PAP_12_22 '!$AG$8</f>
        <v>0</v>
      </c>
      <c r="I79" s="12">
        <f>'PAP_12_22 '!$AG$9</f>
        <v>0</v>
      </c>
      <c r="J79" s="12">
        <f>'PAP_12_22 '!$AG$10</f>
        <v>0</v>
      </c>
      <c r="K79" s="12">
        <f>'PAP_12_22 '!$AG$11</f>
        <v>0</v>
      </c>
      <c r="L79" s="12">
        <f>'PAP_12_22 '!$AG$12</f>
        <v>0</v>
      </c>
      <c r="M79" s="12">
        <f>'PAP_12_22 '!$AG$13</f>
        <v>0</v>
      </c>
      <c r="N79" s="12">
        <f>'PAP_12_22 '!$AG$14</f>
        <v>0</v>
      </c>
      <c r="O79" s="12">
        <f>'PAP_12_22 '!$AG$15</f>
        <v>0</v>
      </c>
      <c r="P79" s="12">
        <f>'PAP_12_22 '!$AG$16</f>
        <v>0</v>
      </c>
      <c r="Q79" s="12">
        <f>'PAP_12_22 '!$AG$17</f>
        <v>0</v>
      </c>
      <c r="R79" s="12">
        <f>'PAP_12_22 '!$AG$18</f>
        <v>0</v>
      </c>
      <c r="S79" s="12">
        <f>'PAP_12_22 '!$AG$19</f>
        <v>0</v>
      </c>
      <c r="T79" s="12">
        <f>'PAP_12_22 '!$AG$20</f>
        <v>0</v>
      </c>
      <c r="U79" s="12">
        <f>'PAP_12_22 '!$AG$21</f>
        <v>0</v>
      </c>
      <c r="V79" s="12">
        <f>'PAP_12_22 '!$AG$22</f>
        <v>0</v>
      </c>
      <c r="W79" s="12">
        <f>'PAP_12_22 '!$AG$23</f>
        <v>0</v>
      </c>
      <c r="X79" s="12">
        <f>'PAP_12_22 '!$AG$24</f>
        <v>0</v>
      </c>
      <c r="Y79" s="12">
        <f>'PAP_12_22 '!$AG$25</f>
        <v>0</v>
      </c>
      <c r="Z79" s="12">
        <f>'PAP_12_22 '!$AG$26</f>
        <v>0</v>
      </c>
      <c r="AA79" s="12">
        <f>'PAP_12_22 '!$AG$27</f>
        <v>0</v>
      </c>
      <c r="AB79" s="12">
        <f>'PAP_12_22 '!$AG$28</f>
        <v>0</v>
      </c>
      <c r="AC79" s="12">
        <f>'PAP_12_22 '!$AG$29</f>
        <v>0</v>
      </c>
      <c r="AD79" s="12">
        <f>'PAP_12_22 '!$AG$30</f>
        <v>0</v>
      </c>
      <c r="AE79" s="12">
        <f>'PAP_12_22 '!$AG$31</f>
        <v>0</v>
      </c>
      <c r="AF79" s="12">
        <f>'PAP_12_22 '!$AG$32</f>
        <v>0</v>
      </c>
      <c r="AG79" s="8">
        <f t="shared" si="51"/>
        <v>0</v>
      </c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  <c r="FK79" s="2"/>
      <c r="FL79" s="2"/>
      <c r="FM79" s="2"/>
      <c r="FN79" s="2"/>
      <c r="FO79" s="2"/>
      <c r="FP79" s="2"/>
      <c r="FQ79" s="2"/>
      <c r="FR79" s="2"/>
      <c r="FS79" s="2"/>
      <c r="FT79" s="2"/>
      <c r="FU79" s="2"/>
      <c r="FV79" s="2"/>
      <c r="FW79" s="2"/>
      <c r="FX79" s="2"/>
      <c r="FY79" s="2"/>
      <c r="FZ79" s="2"/>
      <c r="GA79" s="2"/>
      <c r="GB79" s="2"/>
      <c r="GC79" s="2"/>
      <c r="GD79" s="2"/>
      <c r="GE79" s="2"/>
      <c r="GF79" s="2"/>
      <c r="GG79" s="2"/>
      <c r="GH79" s="2"/>
      <c r="GI79" s="2"/>
      <c r="GJ79" s="2"/>
      <c r="GK79" s="2"/>
      <c r="GL79" s="2"/>
      <c r="GM79" s="2"/>
      <c r="GN79" s="2"/>
      <c r="GO79" s="2"/>
      <c r="GP79" s="2"/>
      <c r="GQ79" s="2"/>
      <c r="GR79" s="2"/>
      <c r="GS79" s="2"/>
      <c r="GT79" s="2"/>
      <c r="GU79" s="2"/>
      <c r="GV79" s="2"/>
      <c r="GW79" s="2"/>
      <c r="GX79" s="2"/>
      <c r="GY79" s="2"/>
      <c r="GZ79" s="2"/>
      <c r="HA79" s="2"/>
      <c r="HB79" s="2"/>
      <c r="HC79" s="2"/>
      <c r="HD79" s="2"/>
      <c r="HE79" s="2"/>
      <c r="HF79" s="2"/>
      <c r="HG79" s="2"/>
      <c r="HH79" s="2"/>
      <c r="HI79" s="2"/>
      <c r="HJ79" s="2"/>
      <c r="HK79" s="2"/>
      <c r="HL79" s="2"/>
      <c r="HM79" s="2"/>
      <c r="HN79" s="2"/>
      <c r="HO79" s="2"/>
      <c r="HP79" s="2"/>
      <c r="HQ79" s="2"/>
      <c r="HR79" s="2"/>
      <c r="HS79" s="2"/>
      <c r="HT79" s="2"/>
      <c r="HU79" s="2"/>
      <c r="HV79" s="2"/>
      <c r="HW79" s="2"/>
      <c r="HX79" s="2"/>
      <c r="HY79" s="2"/>
      <c r="HZ79" s="2"/>
      <c r="IA79" s="2"/>
      <c r="IB79" s="2"/>
      <c r="IC79" s="2"/>
      <c r="ID79" s="2"/>
      <c r="IE79" s="2"/>
      <c r="IF79" s="2"/>
      <c r="IG79" s="2"/>
      <c r="IH79" s="2"/>
      <c r="II79" s="2"/>
      <c r="IJ79" s="2"/>
      <c r="IK79" s="2"/>
      <c r="IL79" s="2"/>
      <c r="IM79" s="2"/>
      <c r="IN79" s="2"/>
      <c r="IO79" s="2"/>
      <c r="IP79" s="2"/>
      <c r="IQ79" s="2"/>
      <c r="IR79" s="2"/>
      <c r="IS79" s="2"/>
      <c r="IT79" s="2"/>
      <c r="IU79" s="2"/>
      <c r="IV79" s="2"/>
      <c r="IW79" s="2"/>
      <c r="IX79" s="2"/>
      <c r="IY79" s="2"/>
      <c r="IZ79" s="2"/>
      <c r="JA79" s="2"/>
      <c r="JB79" s="2"/>
      <c r="JC79" s="2"/>
      <c r="JD79" s="2"/>
      <c r="JE79" s="2"/>
      <c r="JF79" s="2"/>
      <c r="JG79" s="2"/>
      <c r="JH79" s="2"/>
      <c r="JI79" s="2"/>
      <c r="JJ79" s="2"/>
      <c r="JK79" s="2"/>
      <c r="JL79" s="2"/>
      <c r="JM79" s="2"/>
      <c r="JN79" s="2"/>
      <c r="JO79" s="2"/>
      <c r="JP79" s="2"/>
      <c r="JQ79" s="2"/>
      <c r="JR79" s="2"/>
      <c r="JS79" s="2"/>
      <c r="JT79" s="2"/>
      <c r="JU79" s="2"/>
      <c r="JV79" s="2"/>
      <c r="JW79" s="2"/>
      <c r="JX79" s="2"/>
      <c r="JY79" s="2"/>
      <c r="JZ79" s="2"/>
      <c r="KA79" s="2"/>
      <c r="KB79" s="2"/>
      <c r="KC79" s="2"/>
      <c r="KD79" s="2"/>
      <c r="KE79" s="2"/>
      <c r="KF79" s="2"/>
      <c r="KG79" s="2"/>
      <c r="KH79" s="2"/>
      <c r="KI79" s="2"/>
      <c r="KJ79" s="2"/>
      <c r="KK79" s="2"/>
      <c r="KL79" s="2"/>
      <c r="KM79" s="2"/>
      <c r="KN79" s="2"/>
      <c r="KO79" s="2"/>
      <c r="KP79" s="2"/>
      <c r="KQ79" s="2"/>
      <c r="KR79" s="2"/>
      <c r="KS79" s="2"/>
      <c r="KT79" s="2"/>
      <c r="KU79" s="2"/>
      <c r="KV79" s="2"/>
      <c r="KW79" s="2"/>
      <c r="KX79" s="2"/>
      <c r="KY79" s="2"/>
      <c r="KZ79" s="2"/>
      <c r="LA79" s="2"/>
      <c r="LB79" s="2"/>
      <c r="LC79" s="2"/>
      <c r="LD79" s="2"/>
      <c r="LE79" s="2"/>
      <c r="LF79" s="2"/>
      <c r="LG79" s="2"/>
      <c r="LH79" s="2"/>
      <c r="LI79" s="2"/>
      <c r="LJ79" s="2"/>
      <c r="LK79" s="2"/>
      <c r="LL79" s="2"/>
      <c r="LM79" s="2"/>
      <c r="LN79" s="2"/>
      <c r="LO79" s="2"/>
      <c r="LP79" s="2"/>
      <c r="LQ79" s="2"/>
      <c r="LR79" s="2"/>
      <c r="LS79" s="2"/>
      <c r="LT79" s="2"/>
      <c r="LU79" s="2"/>
      <c r="LV79" s="2"/>
      <c r="LW79" s="2"/>
      <c r="LX79" s="2"/>
      <c r="LY79" s="2"/>
      <c r="LZ79" s="2"/>
      <c r="MA79" s="2"/>
      <c r="MB79" s="2"/>
      <c r="MC79" s="2"/>
      <c r="MD79" s="2"/>
      <c r="ME79" s="2"/>
      <c r="MF79" s="2"/>
      <c r="MG79" s="2"/>
      <c r="MH79" s="2"/>
      <c r="MI79" s="2"/>
      <c r="MJ79" s="2"/>
      <c r="MK79" s="2"/>
      <c r="ML79" s="2"/>
      <c r="MM79" s="2"/>
      <c r="MN79" s="2"/>
      <c r="MO79" s="2"/>
      <c r="MP79" s="2"/>
      <c r="MQ79" s="2"/>
      <c r="MR79" s="2"/>
      <c r="MS79" s="2"/>
      <c r="MT79" s="2"/>
      <c r="MU79" s="2"/>
      <c r="MV79" s="2"/>
      <c r="MW79" s="2"/>
      <c r="MX79" s="2"/>
      <c r="MY79" s="2"/>
      <c r="MZ79" s="2"/>
      <c r="NA79" s="2"/>
      <c r="NB79" s="2"/>
      <c r="NC79" s="2"/>
      <c r="ND79" s="2"/>
      <c r="NE79" s="2"/>
      <c r="NF79" s="2"/>
      <c r="NG79" s="2"/>
      <c r="NH79" s="2"/>
      <c r="NI79" s="2"/>
      <c r="NJ79" s="2"/>
      <c r="NK79" s="2"/>
      <c r="NL79" s="2"/>
      <c r="NM79" s="2"/>
      <c r="NN79" s="2"/>
      <c r="NO79" s="2"/>
      <c r="NP79" s="2"/>
      <c r="NQ79" s="2"/>
      <c r="NR79" s="2"/>
      <c r="NS79" s="2"/>
      <c r="NT79" s="2"/>
      <c r="NU79" s="2"/>
      <c r="NV79" s="2"/>
      <c r="NW79" s="2"/>
      <c r="NX79" s="2"/>
      <c r="NY79" s="2"/>
      <c r="NZ79" s="2"/>
      <c r="OA79" s="2"/>
      <c r="OB79" s="2"/>
      <c r="OC79" s="2"/>
      <c r="OD79" s="2"/>
      <c r="OE79" s="2"/>
      <c r="OF79" s="2"/>
      <c r="OG79" s="2"/>
      <c r="OH79" s="2"/>
      <c r="OI79" s="2"/>
      <c r="OJ79" s="2"/>
      <c r="OK79" s="2"/>
      <c r="OL79" s="2"/>
      <c r="OM79" s="2"/>
      <c r="ON79" s="2"/>
      <c r="OO79" s="2"/>
      <c r="OP79" s="2"/>
      <c r="OQ79" s="2"/>
      <c r="OR79" s="2"/>
      <c r="OS79" s="2"/>
      <c r="OT79" s="2"/>
      <c r="OU79" s="2"/>
      <c r="OV79" s="2"/>
      <c r="OW79" s="2"/>
      <c r="OX79" s="2"/>
      <c r="OY79" s="2"/>
      <c r="OZ79" s="2"/>
      <c r="PA79" s="2"/>
      <c r="PB79" s="2"/>
      <c r="PC79" s="2"/>
      <c r="PD79" s="2"/>
      <c r="PE79" s="2"/>
      <c r="PF79" s="2"/>
      <c r="PG79" s="2"/>
      <c r="PH79" s="2"/>
      <c r="PI79" s="2"/>
      <c r="PJ79" s="2"/>
      <c r="PK79" s="2"/>
      <c r="PL79" s="2"/>
      <c r="PM79" s="2"/>
      <c r="PN79" s="2"/>
      <c r="PO79" s="2"/>
      <c r="PP79" s="2"/>
      <c r="PQ79" s="2"/>
      <c r="PR79" s="2"/>
      <c r="PS79" s="2"/>
      <c r="PT79" s="2"/>
      <c r="PU79" s="2"/>
      <c r="PV79" s="2"/>
      <c r="PW79" s="2"/>
      <c r="PX79" s="2"/>
      <c r="PY79" s="2"/>
      <c r="PZ79" s="2"/>
      <c r="QA79" s="2"/>
      <c r="QB79" s="2"/>
      <c r="QC79" s="2"/>
      <c r="QD79" s="2"/>
      <c r="QE79" s="2"/>
      <c r="QF79" s="2"/>
      <c r="QG79" s="2"/>
      <c r="QH79" s="2"/>
      <c r="QI79" s="2"/>
      <c r="QJ79" s="2"/>
      <c r="QK79" s="2"/>
      <c r="QL79" s="2"/>
      <c r="QM79" s="2"/>
      <c r="QN79" s="2"/>
      <c r="QO79" s="2"/>
      <c r="QP79" s="2"/>
      <c r="QQ79" s="2"/>
      <c r="QR79" s="2"/>
      <c r="QS79" s="2"/>
      <c r="QT79" s="2"/>
      <c r="QU79" s="2"/>
      <c r="QV79" s="2"/>
      <c r="QW79" s="2"/>
      <c r="QX79" s="2"/>
      <c r="QY79" s="2"/>
      <c r="QZ79" s="2"/>
      <c r="RA79" s="2"/>
      <c r="RB79" s="2"/>
      <c r="RC79" s="2"/>
      <c r="RD79" s="2"/>
      <c r="RE79" s="2"/>
      <c r="RF79" s="2"/>
      <c r="RG79" s="2"/>
      <c r="RH79" s="2"/>
      <c r="RI79" s="2"/>
      <c r="RJ79" s="2"/>
      <c r="RK79" s="2"/>
      <c r="RL79" s="2"/>
      <c r="RM79" s="2"/>
      <c r="RN79" s="2"/>
      <c r="RO79" s="2"/>
      <c r="RP79" s="2"/>
      <c r="RQ79" s="2"/>
      <c r="RR79" s="2"/>
      <c r="RS79" s="2"/>
      <c r="RT79" s="2"/>
      <c r="RU79" s="2"/>
      <c r="RV79" s="2"/>
      <c r="RW79" s="2"/>
      <c r="RX79" s="2"/>
      <c r="RY79" s="2"/>
      <c r="RZ79" s="2"/>
      <c r="SA79" s="2"/>
      <c r="SB79" s="2"/>
      <c r="SC79" s="2"/>
      <c r="SD79" s="2"/>
      <c r="SE79" s="2"/>
      <c r="SF79" s="2"/>
      <c r="SG79" s="2"/>
      <c r="SH79" s="2"/>
      <c r="SI79" s="2"/>
      <c r="SJ79" s="2"/>
      <c r="SK79" s="2"/>
      <c r="SL79" s="2"/>
      <c r="SM79" s="2"/>
      <c r="SN79" s="2"/>
      <c r="SO79" s="2"/>
      <c r="SP79" s="2"/>
      <c r="SQ79" s="2"/>
      <c r="SR79" s="2"/>
      <c r="SS79" s="2"/>
      <c r="ST79" s="2"/>
      <c r="SU79" s="2"/>
      <c r="SV79" s="2"/>
      <c r="SW79" s="2"/>
      <c r="SX79" s="2"/>
    </row>
    <row r="80" spans="1:518" x14ac:dyDescent="0.25">
      <c r="A80" s="214"/>
      <c r="B80" s="69" t="s">
        <v>167</v>
      </c>
      <c r="C80" s="12">
        <f>'PLA_12_23 '!$AG$3</f>
        <v>0</v>
      </c>
      <c r="D80" s="12">
        <f>'PLA_12_23 '!$AG$4</f>
        <v>0</v>
      </c>
      <c r="E80" s="12">
        <f>'PLA_12_23 '!$AG$5</f>
        <v>0</v>
      </c>
      <c r="F80" s="12">
        <f>'PLA_12_23 '!$AG$6</f>
        <v>0</v>
      </c>
      <c r="G80" s="12">
        <f>'PLA_12_23 '!$AG$7</f>
        <v>0</v>
      </c>
      <c r="H80" s="12">
        <f>'PLA_12_23 '!$AG$8</f>
        <v>0</v>
      </c>
      <c r="I80" s="12">
        <f>'PLA_12_23 '!$AG$9</f>
        <v>0</v>
      </c>
      <c r="J80" s="12">
        <f>'PLA_12_23 '!$AG$10</f>
        <v>0</v>
      </c>
      <c r="K80" s="12">
        <f>'PLA_12_23 '!$AG$11</f>
        <v>0</v>
      </c>
      <c r="L80" s="12">
        <f>'PLA_12_23 '!$AG$12</f>
        <v>0</v>
      </c>
      <c r="M80" s="12">
        <f>'PLA_12_23 '!$AG$13</f>
        <v>0</v>
      </c>
      <c r="N80" s="12">
        <f>'PLA_12_23 '!$AG$14</f>
        <v>0</v>
      </c>
      <c r="O80" s="12">
        <f>'PLA_12_23 '!$AG$15</f>
        <v>0</v>
      </c>
      <c r="P80" s="12">
        <f>'PLA_12_23 '!$AG$16</f>
        <v>0</v>
      </c>
      <c r="Q80" s="12">
        <f>'PLA_12_23 '!$AG$17</f>
        <v>0</v>
      </c>
      <c r="R80" s="12">
        <f>'PLA_12_23 '!$AG$18</f>
        <v>0</v>
      </c>
      <c r="S80" s="12">
        <f>'PLA_12_23 '!$AG$19</f>
        <v>0</v>
      </c>
      <c r="T80" s="12">
        <f>'PLA_12_23 '!$AG$20</f>
        <v>0</v>
      </c>
      <c r="U80" s="12">
        <f>'PLA_12_23 '!$AG$21</f>
        <v>0</v>
      </c>
      <c r="V80" s="12">
        <f>'PLA_12_23 '!$AG$22</f>
        <v>0</v>
      </c>
      <c r="W80" s="12">
        <f>'PLA_12_23 '!$AG$23</f>
        <v>0</v>
      </c>
      <c r="X80" s="12">
        <f>'PLA_12_23 '!$AG$24</f>
        <v>0</v>
      </c>
      <c r="Y80" s="12">
        <f>'PLA_12_23 '!$AG$25</f>
        <v>0</v>
      </c>
      <c r="Z80" s="12">
        <f>'PLA_12_23 '!$AG$26</f>
        <v>0</v>
      </c>
      <c r="AA80" s="12">
        <f>'PLA_12_23 '!$AG$27</f>
        <v>0</v>
      </c>
      <c r="AB80" s="12">
        <f>'PLA_12_23 '!$AG$28</f>
        <v>0</v>
      </c>
      <c r="AC80" s="12">
        <f>'PLA_12_23 '!$AG$29</f>
        <v>0</v>
      </c>
      <c r="AD80" s="12">
        <f>'PLA_12_23 '!$AG$30</f>
        <v>0</v>
      </c>
      <c r="AE80" s="12">
        <f>'PLA_12_23 '!$AG$31</f>
        <v>0</v>
      </c>
      <c r="AF80" s="12">
        <f>'PLA_12_23 '!$AG$32</f>
        <v>0</v>
      </c>
      <c r="AG80" s="8">
        <f t="shared" si="51"/>
        <v>0</v>
      </c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  <c r="RA80" s="2"/>
      <c r="RB80" s="2"/>
      <c r="RC80" s="2"/>
      <c r="RD80" s="2"/>
      <c r="RE80" s="2"/>
      <c r="RF80" s="2"/>
      <c r="RG80" s="2"/>
      <c r="RH80" s="2"/>
      <c r="RI80" s="2"/>
      <c r="RJ80" s="2"/>
      <c r="RK80" s="2"/>
      <c r="RL80" s="2"/>
      <c r="RM80" s="2"/>
      <c r="RN80" s="2"/>
      <c r="RO80" s="2"/>
      <c r="RP80" s="2"/>
      <c r="RQ80" s="2"/>
      <c r="RR80" s="2"/>
      <c r="RS80" s="2"/>
      <c r="RT80" s="2"/>
      <c r="RU80" s="2"/>
      <c r="RV80" s="2"/>
      <c r="RW80" s="2"/>
      <c r="RX80" s="2"/>
      <c r="RY80" s="2"/>
      <c r="RZ80" s="2"/>
      <c r="SA80" s="2"/>
      <c r="SB80" s="2"/>
      <c r="SC80" s="2"/>
      <c r="SD80" s="2"/>
      <c r="SE80" s="2"/>
      <c r="SF80" s="2"/>
      <c r="SG80" s="2"/>
      <c r="SH80" s="2"/>
      <c r="SI80" s="2"/>
      <c r="SJ80" s="2"/>
      <c r="SK80" s="2"/>
      <c r="SL80" s="2"/>
      <c r="SM80" s="2"/>
      <c r="SN80" s="2"/>
      <c r="SO80" s="2"/>
      <c r="SP80" s="2"/>
      <c r="SQ80" s="2"/>
      <c r="SR80" s="2"/>
      <c r="SS80" s="2"/>
      <c r="ST80" s="2"/>
      <c r="SU80" s="2"/>
      <c r="SV80" s="2"/>
      <c r="SW80" s="2"/>
      <c r="SX80" s="2"/>
    </row>
    <row r="81" spans="1:518" x14ac:dyDescent="0.25">
      <c r="A81" s="214"/>
      <c r="B81" s="69" t="s">
        <v>168</v>
      </c>
      <c r="C81" s="12">
        <f>GRI_12_23!AG3</f>
        <v>0</v>
      </c>
      <c r="D81" s="12">
        <f>GRI_12_23!AG4</f>
        <v>0</v>
      </c>
      <c r="E81" s="12">
        <f>GRI_12_23!AG5</f>
        <v>0</v>
      </c>
      <c r="F81" s="12">
        <f>GRI_12_23!AG6</f>
        <v>0</v>
      </c>
      <c r="G81" s="12">
        <f>GRI_12_23!AG7</f>
        <v>0</v>
      </c>
      <c r="H81" s="12">
        <f>GRI_12_23!AG8</f>
        <v>0</v>
      </c>
      <c r="I81" s="12">
        <f>GRI_12_23!AG9</f>
        <v>0</v>
      </c>
      <c r="J81" s="12">
        <f>GRI_12_23!AG10</f>
        <v>0</v>
      </c>
      <c r="K81" s="12">
        <f>GRI_12_23!AG11</f>
        <v>0</v>
      </c>
      <c r="L81" s="12">
        <f>GRI_12_23!AG12</f>
        <v>0</v>
      </c>
      <c r="M81" s="12">
        <f>GRI_12_23!AG13</f>
        <v>0</v>
      </c>
      <c r="N81" s="12">
        <f>GRI_12_23!AG14</f>
        <v>0</v>
      </c>
      <c r="O81" s="12">
        <f>GRI_12_23!AG15</f>
        <v>0</v>
      </c>
      <c r="P81" s="12">
        <f>GRI_12_23!AG16</f>
        <v>0</v>
      </c>
      <c r="Q81" s="12">
        <f>GRI_12_23!AG17</f>
        <v>0</v>
      </c>
      <c r="R81" s="12">
        <f>GRI_12_23!AG18</f>
        <v>0</v>
      </c>
      <c r="S81" s="12">
        <f>GRI_12_23!AG19</f>
        <v>0</v>
      </c>
      <c r="T81" s="12">
        <f>GRI_12_23!AG20</f>
        <v>0</v>
      </c>
      <c r="U81" s="12">
        <f>GRI_12_23!AG21</f>
        <v>0</v>
      </c>
      <c r="V81" s="12">
        <f>GRI_12_23!AG22</f>
        <v>0</v>
      </c>
      <c r="W81" s="12">
        <f>GRI_12_23!AG23</f>
        <v>0</v>
      </c>
      <c r="X81" s="12">
        <f>GRI_12_23!AG24</f>
        <v>0</v>
      </c>
      <c r="Y81" s="12">
        <f>GRI_12_23!AG25</f>
        <v>0</v>
      </c>
      <c r="Z81" s="12">
        <f>GRI_12_23!AG26</f>
        <v>0</v>
      </c>
      <c r="AA81" s="12">
        <f>GRI_12_23!AG27</f>
        <v>0</v>
      </c>
      <c r="AB81" s="12">
        <f>GRI_12_23!AG28</f>
        <v>0</v>
      </c>
      <c r="AC81" s="12">
        <f>GRI_12_23!AG29</f>
        <v>0</v>
      </c>
      <c r="AD81" s="12">
        <f>GRI_12_23!AG30</f>
        <v>0</v>
      </c>
      <c r="AE81" s="12">
        <f>GRI_12_23!AG31</f>
        <v>0</v>
      </c>
      <c r="AF81" s="12">
        <f>GRI_12_23!AG32</f>
        <v>0</v>
      </c>
      <c r="AG81" s="8">
        <f t="shared" si="51"/>
        <v>0</v>
      </c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  <c r="FK81" s="2"/>
      <c r="FL81" s="2"/>
      <c r="FM81" s="2"/>
      <c r="FN81" s="2"/>
      <c r="FO81" s="2"/>
      <c r="FP81" s="2"/>
      <c r="FQ81" s="2"/>
      <c r="FR81" s="2"/>
      <c r="FS81" s="2"/>
      <c r="FT81" s="2"/>
      <c r="FU81" s="2"/>
      <c r="FV81" s="2"/>
      <c r="FW81" s="2"/>
      <c r="FX81" s="2"/>
      <c r="FY81" s="2"/>
      <c r="FZ81" s="2"/>
      <c r="GA81" s="2"/>
      <c r="GB81" s="2"/>
      <c r="GC81" s="2"/>
      <c r="GD81" s="2"/>
      <c r="GE81" s="2"/>
      <c r="GF81" s="2"/>
      <c r="GG81" s="2"/>
      <c r="GH81" s="2"/>
      <c r="GI81" s="2"/>
      <c r="GJ81" s="2"/>
      <c r="GK81" s="2"/>
      <c r="GL81" s="2"/>
      <c r="GM81" s="2"/>
      <c r="GN81" s="2"/>
      <c r="GO81" s="2"/>
      <c r="GP81" s="2"/>
      <c r="GQ81" s="2"/>
      <c r="GR81" s="2"/>
      <c r="GS81" s="2"/>
      <c r="GT81" s="2"/>
      <c r="GU81" s="2"/>
      <c r="GV81" s="2"/>
      <c r="GW81" s="2"/>
      <c r="GX81" s="2"/>
      <c r="GY81" s="2"/>
      <c r="GZ81" s="2"/>
      <c r="HA81" s="2"/>
      <c r="HB81" s="2"/>
      <c r="HC81" s="2"/>
      <c r="HD81" s="2"/>
      <c r="HE81" s="2"/>
      <c r="HF81" s="2"/>
      <c r="HG81" s="2"/>
      <c r="HH81" s="2"/>
      <c r="HI81" s="2"/>
      <c r="HJ81" s="2"/>
      <c r="HK81" s="2"/>
      <c r="HL81" s="2"/>
      <c r="HM81" s="2"/>
      <c r="HN81" s="2"/>
      <c r="HO81" s="2"/>
      <c r="HP81" s="2"/>
      <c r="HQ81" s="2"/>
      <c r="HR81" s="2"/>
      <c r="HS81" s="2"/>
      <c r="HT81" s="2"/>
      <c r="HU81" s="2"/>
      <c r="HV81" s="2"/>
      <c r="HW81" s="2"/>
      <c r="HX81" s="2"/>
      <c r="HY81" s="2"/>
      <c r="HZ81" s="2"/>
      <c r="IA81" s="2"/>
      <c r="IB81" s="2"/>
      <c r="IC81" s="2"/>
      <c r="ID81" s="2"/>
      <c r="IE81" s="2"/>
      <c r="IF81" s="2"/>
      <c r="IG81" s="2"/>
      <c r="IH81" s="2"/>
      <c r="II81" s="2"/>
      <c r="IJ81" s="2"/>
      <c r="IK81" s="2"/>
      <c r="IL81" s="2"/>
      <c r="IM81" s="2"/>
      <c r="IN81" s="2"/>
      <c r="IO81" s="2"/>
      <c r="IP81" s="2"/>
      <c r="IQ81" s="2"/>
      <c r="IR81" s="2"/>
      <c r="IS81" s="2"/>
      <c r="IT81" s="2"/>
      <c r="IU81" s="2"/>
      <c r="IV81" s="2"/>
      <c r="IW81" s="2"/>
      <c r="IX81" s="2"/>
      <c r="IY81" s="2"/>
      <c r="IZ81" s="2"/>
      <c r="JA81" s="2"/>
      <c r="JB81" s="2"/>
      <c r="JC81" s="2"/>
      <c r="JD81" s="2"/>
      <c r="JE81" s="2"/>
      <c r="JF81" s="2"/>
      <c r="JG81" s="2"/>
      <c r="JH81" s="2"/>
      <c r="JI81" s="2"/>
      <c r="JJ81" s="2"/>
      <c r="JK81" s="2"/>
      <c r="JL81" s="2"/>
      <c r="JM81" s="2"/>
      <c r="JN81" s="2"/>
      <c r="JO81" s="2"/>
      <c r="JP81" s="2"/>
      <c r="JQ81" s="2"/>
      <c r="JR81" s="2"/>
      <c r="JS81" s="2"/>
      <c r="JT81" s="2"/>
      <c r="JU81" s="2"/>
      <c r="JV81" s="2"/>
      <c r="JW81" s="2"/>
      <c r="JX81" s="2"/>
      <c r="JY81" s="2"/>
      <c r="JZ81" s="2"/>
      <c r="KA81" s="2"/>
      <c r="KB81" s="2"/>
      <c r="KC81" s="2"/>
      <c r="KD81" s="2"/>
      <c r="KE81" s="2"/>
      <c r="KF81" s="2"/>
      <c r="KG81" s="2"/>
      <c r="KH81" s="2"/>
      <c r="KI81" s="2"/>
      <c r="KJ81" s="2"/>
      <c r="KK81" s="2"/>
      <c r="KL81" s="2"/>
      <c r="KM81" s="2"/>
      <c r="KN81" s="2"/>
      <c r="KO81" s="2"/>
      <c r="KP81" s="2"/>
      <c r="KQ81" s="2"/>
      <c r="KR81" s="2"/>
      <c r="KS81" s="2"/>
      <c r="KT81" s="2"/>
      <c r="KU81" s="2"/>
      <c r="KV81" s="2"/>
      <c r="KW81" s="2"/>
      <c r="KX81" s="2"/>
      <c r="KY81" s="2"/>
      <c r="KZ81" s="2"/>
      <c r="LA81" s="2"/>
      <c r="LB81" s="2"/>
      <c r="LC81" s="2"/>
      <c r="LD81" s="2"/>
      <c r="LE81" s="2"/>
      <c r="LF81" s="2"/>
      <c r="LG81" s="2"/>
      <c r="LH81" s="2"/>
      <c r="LI81" s="2"/>
      <c r="LJ81" s="2"/>
      <c r="LK81" s="2"/>
      <c r="LL81" s="2"/>
      <c r="LM81" s="2"/>
      <c r="LN81" s="2"/>
      <c r="LO81" s="2"/>
      <c r="LP81" s="2"/>
      <c r="LQ81" s="2"/>
      <c r="LR81" s="2"/>
      <c r="LS81" s="2"/>
      <c r="LT81" s="2"/>
      <c r="LU81" s="2"/>
      <c r="LV81" s="2"/>
      <c r="LW81" s="2"/>
      <c r="LX81" s="2"/>
      <c r="LY81" s="2"/>
      <c r="LZ81" s="2"/>
      <c r="MA81" s="2"/>
      <c r="MB81" s="2"/>
      <c r="MC81" s="2"/>
      <c r="MD81" s="2"/>
      <c r="ME81" s="2"/>
      <c r="MF81" s="2"/>
      <c r="MG81" s="2"/>
      <c r="MH81" s="2"/>
      <c r="MI81" s="2"/>
      <c r="MJ81" s="2"/>
      <c r="MK81" s="2"/>
      <c r="ML81" s="2"/>
      <c r="MM81" s="2"/>
      <c r="MN81" s="2"/>
      <c r="MO81" s="2"/>
      <c r="MP81" s="2"/>
      <c r="MQ81" s="2"/>
      <c r="MR81" s="2"/>
      <c r="MS81" s="2"/>
      <c r="MT81" s="2"/>
      <c r="MU81" s="2"/>
      <c r="MV81" s="2"/>
      <c r="MW81" s="2"/>
      <c r="MX81" s="2"/>
      <c r="MY81" s="2"/>
      <c r="MZ81" s="2"/>
      <c r="NA81" s="2"/>
      <c r="NB81" s="2"/>
      <c r="NC81" s="2"/>
      <c r="ND81" s="2"/>
      <c r="NE81" s="2"/>
      <c r="NF81" s="2"/>
      <c r="NG81" s="2"/>
      <c r="NH81" s="2"/>
      <c r="NI81" s="2"/>
      <c r="NJ81" s="2"/>
      <c r="NK81" s="2"/>
      <c r="NL81" s="2"/>
      <c r="NM81" s="2"/>
      <c r="NN81" s="2"/>
      <c r="NO81" s="2"/>
      <c r="NP81" s="2"/>
      <c r="NQ81" s="2"/>
      <c r="NR81" s="2"/>
      <c r="NS81" s="2"/>
      <c r="NT81" s="2"/>
      <c r="NU81" s="2"/>
      <c r="NV81" s="2"/>
      <c r="NW81" s="2"/>
      <c r="NX81" s="2"/>
      <c r="NY81" s="2"/>
      <c r="NZ81" s="2"/>
      <c r="OA81" s="2"/>
      <c r="OB81" s="2"/>
      <c r="OC81" s="2"/>
      <c r="OD81" s="2"/>
      <c r="OE81" s="2"/>
      <c r="OF81" s="2"/>
      <c r="OG81" s="2"/>
      <c r="OH81" s="2"/>
      <c r="OI81" s="2"/>
      <c r="OJ81" s="2"/>
      <c r="OK81" s="2"/>
      <c r="OL81" s="2"/>
      <c r="OM81" s="2"/>
      <c r="ON81" s="2"/>
      <c r="OO81" s="2"/>
      <c r="OP81" s="2"/>
      <c r="OQ81" s="2"/>
      <c r="OR81" s="2"/>
      <c r="OS81" s="2"/>
      <c r="OT81" s="2"/>
      <c r="OU81" s="2"/>
      <c r="OV81" s="2"/>
      <c r="OW81" s="2"/>
      <c r="OX81" s="2"/>
      <c r="OY81" s="2"/>
      <c r="OZ81" s="2"/>
      <c r="PA81" s="2"/>
      <c r="PB81" s="2"/>
      <c r="PC81" s="2"/>
      <c r="PD81" s="2"/>
      <c r="PE81" s="2"/>
      <c r="PF81" s="2"/>
      <c r="PG81" s="2"/>
      <c r="PH81" s="2"/>
      <c r="PI81" s="2"/>
      <c r="PJ81" s="2"/>
      <c r="PK81" s="2"/>
      <c r="PL81" s="2"/>
      <c r="PM81" s="2"/>
      <c r="PN81" s="2"/>
      <c r="PO81" s="2"/>
      <c r="PP81" s="2"/>
      <c r="PQ81" s="2"/>
      <c r="PR81" s="2"/>
      <c r="PS81" s="2"/>
      <c r="PT81" s="2"/>
      <c r="PU81" s="2"/>
      <c r="PV81" s="2"/>
      <c r="PW81" s="2"/>
      <c r="PX81" s="2"/>
      <c r="PY81" s="2"/>
      <c r="PZ81" s="2"/>
      <c r="QA81" s="2"/>
      <c r="QB81" s="2"/>
      <c r="QC81" s="2"/>
      <c r="QD81" s="2"/>
      <c r="QE81" s="2"/>
      <c r="QF81" s="2"/>
      <c r="QG81" s="2"/>
      <c r="QH81" s="2"/>
      <c r="QI81" s="2"/>
      <c r="QJ81" s="2"/>
      <c r="QK81" s="2"/>
      <c r="QL81" s="2"/>
      <c r="QM81" s="2"/>
      <c r="QN81" s="2"/>
      <c r="QO81" s="2"/>
      <c r="QP81" s="2"/>
      <c r="QQ81" s="2"/>
      <c r="QR81" s="2"/>
      <c r="QS81" s="2"/>
      <c r="QT81" s="2"/>
      <c r="QU81" s="2"/>
      <c r="QV81" s="2"/>
      <c r="QW81" s="2"/>
      <c r="QX81" s="2"/>
      <c r="QY81" s="2"/>
      <c r="QZ81" s="2"/>
      <c r="RA81" s="2"/>
      <c r="RB81" s="2"/>
      <c r="RC81" s="2"/>
      <c r="RD81" s="2"/>
      <c r="RE81" s="2"/>
      <c r="RF81" s="2"/>
      <c r="RG81" s="2"/>
      <c r="RH81" s="2"/>
      <c r="RI81" s="2"/>
      <c r="RJ81" s="2"/>
      <c r="RK81" s="2"/>
      <c r="RL81" s="2"/>
      <c r="RM81" s="2"/>
      <c r="RN81" s="2"/>
      <c r="RO81" s="2"/>
      <c r="RP81" s="2"/>
      <c r="RQ81" s="2"/>
      <c r="RR81" s="2"/>
      <c r="RS81" s="2"/>
      <c r="RT81" s="2"/>
      <c r="RU81" s="2"/>
      <c r="RV81" s="2"/>
      <c r="RW81" s="2"/>
      <c r="RX81" s="2"/>
      <c r="RY81" s="2"/>
      <c r="RZ81" s="2"/>
      <c r="SA81" s="2"/>
      <c r="SB81" s="2"/>
      <c r="SC81" s="2"/>
      <c r="SD81" s="2"/>
      <c r="SE81" s="2"/>
      <c r="SF81" s="2"/>
      <c r="SG81" s="2"/>
      <c r="SH81" s="2"/>
      <c r="SI81" s="2"/>
      <c r="SJ81" s="2"/>
      <c r="SK81" s="2"/>
      <c r="SL81" s="2"/>
      <c r="SM81" s="2"/>
      <c r="SN81" s="2"/>
      <c r="SO81" s="2"/>
      <c r="SP81" s="2"/>
      <c r="SQ81" s="2"/>
      <c r="SR81" s="2"/>
      <c r="SS81" s="2"/>
      <c r="ST81" s="2"/>
      <c r="SU81" s="2"/>
      <c r="SV81" s="2"/>
      <c r="SW81" s="2"/>
      <c r="SX81" s="2"/>
    </row>
    <row r="82" spans="1:518" x14ac:dyDescent="0.25">
      <c r="A82" s="214"/>
      <c r="B82" s="69" t="s">
        <v>169</v>
      </c>
      <c r="C82" s="12">
        <f>VER_12_23!$AG$3</f>
        <v>0</v>
      </c>
      <c r="D82" s="12">
        <f>VER_12_23!$AG$4</f>
        <v>0</v>
      </c>
      <c r="E82" s="12">
        <f>VER_12_23!$AG$5</f>
        <v>0</v>
      </c>
      <c r="F82" s="12">
        <f>VER_12_23!$AG$6</f>
        <v>0</v>
      </c>
      <c r="G82" s="12">
        <f>VER_12_23!$AG$7</f>
        <v>0</v>
      </c>
      <c r="H82" s="12">
        <f>VER_12_23!$AG$8</f>
        <v>0</v>
      </c>
      <c r="I82" s="12">
        <f>VER_12_23!$AG$9</f>
        <v>0</v>
      </c>
      <c r="J82" s="12">
        <f>VER_12_23!$AG$10</f>
        <v>0</v>
      </c>
      <c r="K82" s="12">
        <f>VER_12_23!$AG$11</f>
        <v>0</v>
      </c>
      <c r="L82" s="12">
        <f>VER_12_23!$AG$12</f>
        <v>0</v>
      </c>
      <c r="M82" s="12">
        <f>VER_12_23!$AG$13</f>
        <v>0</v>
      </c>
      <c r="N82" s="12">
        <f>VER_12_23!$AG$14</f>
        <v>0</v>
      </c>
      <c r="O82" s="12">
        <f>VER_12_23!$AG$15</f>
        <v>0</v>
      </c>
      <c r="P82" s="12">
        <f>VER_12_23!$AG$16</f>
        <v>0</v>
      </c>
      <c r="Q82" s="12">
        <f>VER_12_23!$AG$17</f>
        <v>0</v>
      </c>
      <c r="R82" s="12">
        <f>VER_12_23!$AG$18</f>
        <v>0</v>
      </c>
      <c r="S82" s="12">
        <f>VER_12_23!$AG$19</f>
        <v>0</v>
      </c>
      <c r="T82" s="12">
        <f>VER_12_23!$AG$20</f>
        <v>0</v>
      </c>
      <c r="U82" s="12">
        <f>VER_12_23!$AG$21</f>
        <v>0</v>
      </c>
      <c r="V82" s="12">
        <f>VER_12_23!$AG$22</f>
        <v>0</v>
      </c>
      <c r="W82" s="12">
        <f>VER_12_23!$AG$23</f>
        <v>0</v>
      </c>
      <c r="X82" s="12">
        <f>VER_12_23!$AG$24</f>
        <v>0</v>
      </c>
      <c r="Y82" s="12">
        <f>VER_12_23!$AG$25</f>
        <v>0</v>
      </c>
      <c r="Z82" s="12">
        <f>VER_12_23!$AG$26</f>
        <v>0</v>
      </c>
      <c r="AA82" s="12">
        <f>VER_12_23!$AG$27</f>
        <v>0</v>
      </c>
      <c r="AB82" s="12">
        <f>VER_12_23!$AG$28</f>
        <v>0</v>
      </c>
      <c r="AC82" s="12">
        <f>VER_12_23!$AG$29</f>
        <v>0</v>
      </c>
      <c r="AD82" s="12">
        <f>VER_12_23!$AG$30</f>
        <v>0</v>
      </c>
      <c r="AE82" s="12">
        <f>VER_12_23!$AG$31</f>
        <v>0</v>
      </c>
      <c r="AF82" s="12">
        <f>VER_12_23!$AG$32</f>
        <v>0</v>
      </c>
      <c r="AG82" s="8">
        <f t="shared" si="51"/>
        <v>0</v>
      </c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  <c r="FK82" s="2"/>
      <c r="FL82" s="2"/>
      <c r="FM82" s="2"/>
      <c r="FN82" s="2"/>
      <c r="FO82" s="2"/>
      <c r="FP82" s="2"/>
      <c r="FQ82" s="2"/>
      <c r="FR82" s="2"/>
      <c r="FS82" s="2"/>
      <c r="FT82" s="2"/>
      <c r="FU82" s="2"/>
      <c r="FV82" s="2"/>
      <c r="FW82" s="2"/>
      <c r="FX82" s="2"/>
      <c r="FY82" s="2"/>
      <c r="FZ82" s="2"/>
      <c r="GA82" s="2"/>
      <c r="GB82" s="2"/>
      <c r="GC82" s="2"/>
      <c r="GD82" s="2"/>
      <c r="GE82" s="2"/>
      <c r="GF82" s="2"/>
      <c r="GG82" s="2"/>
      <c r="GH82" s="2"/>
      <c r="GI82" s="2"/>
      <c r="GJ82" s="2"/>
      <c r="GK82" s="2"/>
      <c r="GL82" s="2"/>
      <c r="GM82" s="2"/>
      <c r="GN82" s="2"/>
      <c r="GO82" s="2"/>
      <c r="GP82" s="2"/>
      <c r="GQ82" s="2"/>
      <c r="GR82" s="2"/>
      <c r="GS82" s="2"/>
      <c r="GT82" s="2"/>
      <c r="GU82" s="2"/>
      <c r="GV82" s="2"/>
      <c r="GW82" s="2"/>
      <c r="GX82" s="2"/>
      <c r="GY82" s="2"/>
      <c r="GZ82" s="2"/>
      <c r="HA82" s="2"/>
      <c r="HB82" s="2"/>
      <c r="HC82" s="2"/>
      <c r="HD82" s="2"/>
      <c r="HE82" s="2"/>
      <c r="HF82" s="2"/>
      <c r="HG82" s="2"/>
      <c r="HH82" s="2"/>
      <c r="HI82" s="2"/>
      <c r="HJ82" s="2"/>
      <c r="HK82" s="2"/>
      <c r="HL82" s="2"/>
      <c r="HM82" s="2"/>
      <c r="HN82" s="2"/>
      <c r="HO82" s="2"/>
      <c r="HP82" s="2"/>
      <c r="HQ82" s="2"/>
      <c r="HR82" s="2"/>
      <c r="HS82" s="2"/>
      <c r="HT82" s="2"/>
      <c r="HU82" s="2"/>
      <c r="HV82" s="2"/>
      <c r="HW82" s="2"/>
      <c r="HX82" s="2"/>
      <c r="HY82" s="2"/>
      <c r="HZ82" s="2"/>
      <c r="IA82" s="2"/>
      <c r="IB82" s="2"/>
      <c r="IC82" s="2"/>
      <c r="ID82" s="2"/>
      <c r="IE82" s="2"/>
      <c r="IF82" s="2"/>
      <c r="IG82" s="2"/>
      <c r="IH82" s="2"/>
      <c r="II82" s="2"/>
      <c r="IJ82" s="2"/>
      <c r="IK82" s="2"/>
      <c r="IL82" s="2"/>
      <c r="IM82" s="2"/>
      <c r="IN82" s="2"/>
      <c r="IO82" s="2"/>
      <c r="IP82" s="2"/>
      <c r="IQ82" s="2"/>
      <c r="IR82" s="2"/>
      <c r="IS82" s="2"/>
      <c r="IT82" s="2"/>
      <c r="IU82" s="2"/>
      <c r="IV82" s="2"/>
      <c r="IW82" s="2"/>
      <c r="IX82" s="2"/>
      <c r="IY82" s="2"/>
      <c r="IZ82" s="2"/>
      <c r="JA82" s="2"/>
      <c r="JB82" s="2"/>
      <c r="JC82" s="2"/>
      <c r="JD82" s="2"/>
      <c r="JE82" s="2"/>
      <c r="JF82" s="2"/>
      <c r="JG82" s="2"/>
      <c r="JH82" s="2"/>
      <c r="JI82" s="2"/>
      <c r="JJ82" s="2"/>
      <c r="JK82" s="2"/>
      <c r="JL82" s="2"/>
      <c r="JM82" s="2"/>
      <c r="JN82" s="2"/>
      <c r="JO82" s="2"/>
      <c r="JP82" s="2"/>
      <c r="JQ82" s="2"/>
      <c r="JR82" s="2"/>
      <c r="JS82" s="2"/>
      <c r="JT82" s="2"/>
      <c r="JU82" s="2"/>
      <c r="JV82" s="2"/>
      <c r="JW82" s="2"/>
      <c r="JX82" s="2"/>
      <c r="JY82" s="2"/>
      <c r="JZ82" s="2"/>
      <c r="KA82" s="2"/>
      <c r="KB82" s="2"/>
      <c r="KC82" s="2"/>
      <c r="KD82" s="2"/>
      <c r="KE82" s="2"/>
      <c r="KF82" s="2"/>
      <c r="KG82" s="2"/>
      <c r="KH82" s="2"/>
      <c r="KI82" s="2"/>
      <c r="KJ82" s="2"/>
      <c r="KK82" s="2"/>
      <c r="KL82" s="2"/>
      <c r="KM82" s="2"/>
      <c r="KN82" s="2"/>
      <c r="KO82" s="2"/>
      <c r="KP82" s="2"/>
      <c r="KQ82" s="2"/>
      <c r="KR82" s="2"/>
      <c r="KS82" s="2"/>
      <c r="KT82" s="2"/>
      <c r="KU82" s="2"/>
      <c r="KV82" s="2"/>
      <c r="KW82" s="2"/>
      <c r="KX82" s="2"/>
      <c r="KY82" s="2"/>
      <c r="KZ82" s="2"/>
      <c r="LA82" s="2"/>
      <c r="LB82" s="2"/>
      <c r="LC82" s="2"/>
      <c r="LD82" s="2"/>
      <c r="LE82" s="2"/>
      <c r="LF82" s="2"/>
      <c r="LG82" s="2"/>
      <c r="LH82" s="2"/>
      <c r="LI82" s="2"/>
      <c r="LJ82" s="2"/>
      <c r="LK82" s="2"/>
      <c r="LL82" s="2"/>
      <c r="LM82" s="2"/>
      <c r="LN82" s="2"/>
      <c r="LO82" s="2"/>
      <c r="LP82" s="2"/>
      <c r="LQ82" s="2"/>
      <c r="LR82" s="2"/>
      <c r="LS82" s="2"/>
      <c r="LT82" s="2"/>
      <c r="LU82" s="2"/>
      <c r="LV82" s="2"/>
      <c r="LW82" s="2"/>
      <c r="LX82" s="2"/>
      <c r="LY82" s="2"/>
      <c r="LZ82" s="2"/>
      <c r="MA82" s="2"/>
      <c r="MB82" s="2"/>
      <c r="MC82" s="2"/>
      <c r="MD82" s="2"/>
      <c r="ME82" s="2"/>
      <c r="MF82" s="2"/>
      <c r="MG82" s="2"/>
      <c r="MH82" s="2"/>
      <c r="MI82" s="2"/>
      <c r="MJ82" s="2"/>
      <c r="MK82" s="2"/>
      <c r="ML82" s="2"/>
      <c r="MM82" s="2"/>
      <c r="MN82" s="2"/>
      <c r="MO82" s="2"/>
      <c r="MP82" s="2"/>
      <c r="MQ82" s="2"/>
      <c r="MR82" s="2"/>
      <c r="MS82" s="2"/>
      <c r="MT82" s="2"/>
      <c r="MU82" s="2"/>
      <c r="MV82" s="2"/>
      <c r="MW82" s="2"/>
      <c r="MX82" s="2"/>
      <c r="MY82" s="2"/>
      <c r="MZ82" s="2"/>
      <c r="NA82" s="2"/>
      <c r="NB82" s="2"/>
      <c r="NC82" s="2"/>
      <c r="ND82" s="2"/>
      <c r="NE82" s="2"/>
      <c r="NF82" s="2"/>
      <c r="NG82" s="2"/>
      <c r="NH82" s="2"/>
      <c r="NI82" s="2"/>
      <c r="NJ82" s="2"/>
      <c r="NK82" s="2"/>
      <c r="NL82" s="2"/>
      <c r="NM82" s="2"/>
      <c r="NN82" s="2"/>
      <c r="NO82" s="2"/>
      <c r="NP82" s="2"/>
      <c r="NQ82" s="2"/>
      <c r="NR82" s="2"/>
      <c r="NS82" s="2"/>
      <c r="NT82" s="2"/>
      <c r="NU82" s="2"/>
      <c r="NV82" s="2"/>
      <c r="NW82" s="2"/>
      <c r="NX82" s="2"/>
      <c r="NY82" s="2"/>
      <c r="NZ82" s="2"/>
      <c r="OA82" s="2"/>
      <c r="OB82" s="2"/>
      <c r="OC82" s="2"/>
      <c r="OD82" s="2"/>
      <c r="OE82" s="2"/>
      <c r="OF82" s="2"/>
      <c r="OG82" s="2"/>
      <c r="OH82" s="2"/>
      <c r="OI82" s="2"/>
      <c r="OJ82" s="2"/>
      <c r="OK82" s="2"/>
      <c r="OL82" s="2"/>
      <c r="OM82" s="2"/>
      <c r="ON82" s="2"/>
      <c r="OO82" s="2"/>
      <c r="OP82" s="2"/>
      <c r="OQ82" s="2"/>
      <c r="OR82" s="2"/>
      <c r="OS82" s="2"/>
      <c r="OT82" s="2"/>
      <c r="OU82" s="2"/>
      <c r="OV82" s="2"/>
      <c r="OW82" s="2"/>
      <c r="OX82" s="2"/>
      <c r="OY82" s="2"/>
      <c r="OZ82" s="2"/>
      <c r="PA82" s="2"/>
      <c r="PB82" s="2"/>
      <c r="PC82" s="2"/>
      <c r="PD82" s="2"/>
      <c r="PE82" s="2"/>
      <c r="PF82" s="2"/>
      <c r="PG82" s="2"/>
      <c r="PH82" s="2"/>
      <c r="PI82" s="2"/>
      <c r="PJ82" s="2"/>
      <c r="PK82" s="2"/>
      <c r="PL82" s="2"/>
      <c r="PM82" s="2"/>
      <c r="PN82" s="2"/>
      <c r="PO82" s="2"/>
      <c r="PP82" s="2"/>
      <c r="PQ82" s="2"/>
      <c r="PR82" s="2"/>
      <c r="PS82" s="2"/>
      <c r="PT82" s="2"/>
      <c r="PU82" s="2"/>
      <c r="PV82" s="2"/>
      <c r="PW82" s="2"/>
      <c r="PX82" s="2"/>
      <c r="PY82" s="2"/>
      <c r="PZ82" s="2"/>
      <c r="QA82" s="2"/>
      <c r="QB82" s="2"/>
      <c r="QC82" s="2"/>
      <c r="QD82" s="2"/>
      <c r="QE82" s="2"/>
      <c r="QF82" s="2"/>
      <c r="QG82" s="2"/>
      <c r="QH82" s="2"/>
      <c r="QI82" s="2"/>
      <c r="QJ82" s="2"/>
      <c r="QK82" s="2"/>
      <c r="QL82" s="2"/>
      <c r="QM82" s="2"/>
      <c r="QN82" s="2"/>
      <c r="QO82" s="2"/>
      <c r="QP82" s="2"/>
      <c r="QQ82" s="2"/>
      <c r="QR82" s="2"/>
      <c r="QS82" s="2"/>
      <c r="QT82" s="2"/>
      <c r="QU82" s="2"/>
      <c r="QV82" s="2"/>
      <c r="QW82" s="2"/>
      <c r="QX82" s="2"/>
      <c r="QY82" s="2"/>
      <c r="QZ82" s="2"/>
      <c r="RA82" s="2"/>
      <c r="RB82" s="2"/>
      <c r="RC82" s="2"/>
      <c r="RD82" s="2"/>
      <c r="RE82" s="2"/>
      <c r="RF82" s="2"/>
      <c r="RG82" s="2"/>
      <c r="RH82" s="2"/>
      <c r="RI82" s="2"/>
      <c r="RJ82" s="2"/>
      <c r="RK82" s="2"/>
      <c r="RL82" s="2"/>
      <c r="RM82" s="2"/>
      <c r="RN82" s="2"/>
      <c r="RO82" s="2"/>
      <c r="RP82" s="2"/>
      <c r="RQ82" s="2"/>
      <c r="RR82" s="2"/>
      <c r="RS82" s="2"/>
      <c r="RT82" s="2"/>
      <c r="RU82" s="2"/>
      <c r="RV82" s="2"/>
      <c r="RW82" s="2"/>
      <c r="RX82" s="2"/>
      <c r="RY82" s="2"/>
      <c r="RZ82" s="2"/>
      <c r="SA82" s="2"/>
      <c r="SB82" s="2"/>
      <c r="SC82" s="2"/>
      <c r="SD82" s="2"/>
      <c r="SE82" s="2"/>
      <c r="SF82" s="2"/>
      <c r="SG82" s="2"/>
      <c r="SH82" s="2"/>
      <c r="SI82" s="2"/>
      <c r="SJ82" s="2"/>
      <c r="SK82" s="2"/>
      <c r="SL82" s="2"/>
      <c r="SM82" s="2"/>
      <c r="SN82" s="2"/>
      <c r="SO82" s="2"/>
      <c r="SP82" s="2"/>
      <c r="SQ82" s="2"/>
      <c r="SR82" s="2"/>
      <c r="SS82" s="2"/>
      <c r="ST82" s="2"/>
      <c r="SU82" s="2"/>
      <c r="SV82" s="2"/>
      <c r="SW82" s="2"/>
      <c r="SX82" s="2"/>
    </row>
    <row r="83" spans="1:518" x14ac:dyDescent="0.25">
      <c r="A83" s="214"/>
      <c r="B83" s="69" t="s">
        <v>170</v>
      </c>
      <c r="C83" s="12">
        <f>NEG_12_23!AG$3</f>
        <v>0</v>
      </c>
      <c r="D83" s="12">
        <f>NEG_12_23!AG$4</f>
        <v>0</v>
      </c>
      <c r="E83" s="12">
        <f>NEG_12_23!AG$5</f>
        <v>0</v>
      </c>
      <c r="F83" s="12">
        <f>NEG_12_23!AG$6</f>
        <v>0</v>
      </c>
      <c r="G83" s="12">
        <f>NEG_12_23!AG$7</f>
        <v>0</v>
      </c>
      <c r="H83" s="12">
        <f>NEG_12_23!AG$8</f>
        <v>0</v>
      </c>
      <c r="I83" s="12">
        <f>NEG_12_23!AG$9</f>
        <v>0</v>
      </c>
      <c r="J83" s="12">
        <f>NEG_12_23!AG$10</f>
        <v>0</v>
      </c>
      <c r="K83" s="12">
        <f>NEG_12_23!AG$11</f>
        <v>0</v>
      </c>
      <c r="L83" s="12">
        <f>NEG_12_23!AG$12</f>
        <v>0</v>
      </c>
      <c r="M83" s="12">
        <f>NEG_12_23!AG$13</f>
        <v>0</v>
      </c>
      <c r="N83" s="12">
        <f>NEG_12_23!AG$14</f>
        <v>0</v>
      </c>
      <c r="O83" s="12">
        <f>NEG_12_23!AG$15</f>
        <v>0</v>
      </c>
      <c r="P83" s="12">
        <f>NEG_12_23!AG$16</f>
        <v>0</v>
      </c>
      <c r="Q83" s="12">
        <f>NEG_12_23!AG$17</f>
        <v>0</v>
      </c>
      <c r="R83" s="12">
        <f>NEG_12_23!AG$18</f>
        <v>0</v>
      </c>
      <c r="S83" s="12">
        <f>NEG_12_23!AG$19</f>
        <v>0</v>
      </c>
      <c r="T83" s="12">
        <f>NEG_12_23!AG$20</f>
        <v>0</v>
      </c>
      <c r="U83" s="12">
        <f>NEG_12_23!AG$21</f>
        <v>0</v>
      </c>
      <c r="V83" s="12">
        <f>NEG_12_23!AG$22</f>
        <v>0</v>
      </c>
      <c r="W83" s="12">
        <f>NEG_12_23!AG$23</f>
        <v>0</v>
      </c>
      <c r="X83" s="12">
        <f>NEG_12_23!AG$24</f>
        <v>0</v>
      </c>
      <c r="Y83" s="12">
        <f>NEG_12_23!AG$25</f>
        <v>0</v>
      </c>
      <c r="Z83" s="12">
        <f>NEG_12_23!AG$26</f>
        <v>0</v>
      </c>
      <c r="AA83" s="12">
        <f>NEG_12_23!AG$27</f>
        <v>0</v>
      </c>
      <c r="AB83" s="12">
        <f>NEG_12_23!AG$28</f>
        <v>0</v>
      </c>
      <c r="AC83" s="12">
        <f>NEG_12_23!AG$29</f>
        <v>0</v>
      </c>
      <c r="AD83" s="12">
        <f>NEG_12_23!AG$30</f>
        <v>0</v>
      </c>
      <c r="AE83" s="12">
        <f>NEG_12_23!AG$31</f>
        <v>0</v>
      </c>
      <c r="AF83" s="12">
        <f>NEG_12_23!AG$32</f>
        <v>0</v>
      </c>
      <c r="AG83" s="8">
        <f t="shared" si="51"/>
        <v>0</v>
      </c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  <c r="FK83" s="2"/>
      <c r="FL83" s="2"/>
      <c r="FM83" s="2"/>
      <c r="FN83" s="2"/>
      <c r="FO83" s="2"/>
      <c r="FP83" s="2"/>
      <c r="FQ83" s="2"/>
      <c r="FR83" s="2"/>
      <c r="FS83" s="2"/>
      <c r="FT83" s="2"/>
      <c r="FU83" s="2"/>
      <c r="FV83" s="2"/>
      <c r="FW83" s="2"/>
      <c r="FX83" s="2"/>
      <c r="FY83" s="2"/>
      <c r="FZ83" s="2"/>
      <c r="GA83" s="2"/>
      <c r="GB83" s="2"/>
      <c r="GC83" s="2"/>
      <c r="GD83" s="2"/>
      <c r="GE83" s="2"/>
      <c r="GF83" s="2"/>
      <c r="GG83" s="2"/>
      <c r="GH83" s="2"/>
      <c r="GI83" s="2"/>
      <c r="GJ83" s="2"/>
      <c r="GK83" s="2"/>
      <c r="GL83" s="2"/>
      <c r="GM83" s="2"/>
      <c r="GN83" s="2"/>
      <c r="GO83" s="2"/>
      <c r="GP83" s="2"/>
      <c r="GQ83" s="2"/>
      <c r="GR83" s="2"/>
      <c r="GS83" s="2"/>
      <c r="GT83" s="2"/>
      <c r="GU83" s="2"/>
      <c r="GV83" s="2"/>
      <c r="GW83" s="2"/>
      <c r="GX83" s="2"/>
      <c r="GY83" s="2"/>
      <c r="GZ83" s="2"/>
      <c r="HA83" s="2"/>
      <c r="HB83" s="2"/>
      <c r="HC83" s="2"/>
      <c r="HD83" s="2"/>
      <c r="HE83" s="2"/>
      <c r="HF83" s="2"/>
      <c r="HG83" s="2"/>
      <c r="HH83" s="2"/>
      <c r="HI83" s="2"/>
      <c r="HJ83" s="2"/>
      <c r="HK83" s="2"/>
      <c r="HL83" s="2"/>
      <c r="HM83" s="2"/>
      <c r="HN83" s="2"/>
      <c r="HO83" s="2"/>
      <c r="HP83" s="2"/>
      <c r="HQ83" s="2"/>
      <c r="HR83" s="2"/>
      <c r="HS83" s="2"/>
      <c r="HT83" s="2"/>
      <c r="HU83" s="2"/>
      <c r="HV83" s="2"/>
      <c r="HW83" s="2"/>
      <c r="HX83" s="2"/>
      <c r="HY83" s="2"/>
      <c r="HZ83" s="2"/>
      <c r="IA83" s="2"/>
      <c r="IB83" s="2"/>
      <c r="IC83" s="2"/>
      <c r="ID83" s="2"/>
      <c r="IE83" s="2"/>
      <c r="IF83" s="2"/>
      <c r="IG83" s="2"/>
      <c r="IH83" s="2"/>
      <c r="II83" s="2"/>
      <c r="IJ83" s="2"/>
      <c r="IK83" s="2"/>
      <c r="IL83" s="2"/>
      <c r="IM83" s="2"/>
      <c r="IN83" s="2"/>
      <c r="IO83" s="2"/>
      <c r="IP83" s="2"/>
      <c r="IQ83" s="2"/>
      <c r="IR83" s="2"/>
      <c r="IS83" s="2"/>
      <c r="IT83" s="2"/>
      <c r="IU83" s="2"/>
      <c r="IV83" s="2"/>
      <c r="IW83" s="2"/>
      <c r="IX83" s="2"/>
      <c r="IY83" s="2"/>
      <c r="IZ83" s="2"/>
      <c r="JA83" s="2"/>
      <c r="JB83" s="2"/>
      <c r="JC83" s="2"/>
      <c r="JD83" s="2"/>
      <c r="JE83" s="2"/>
      <c r="JF83" s="2"/>
      <c r="JG83" s="2"/>
      <c r="JH83" s="2"/>
      <c r="JI83" s="2"/>
      <c r="JJ83" s="2"/>
      <c r="JK83" s="2"/>
      <c r="JL83" s="2"/>
      <c r="JM83" s="2"/>
      <c r="JN83" s="2"/>
      <c r="JO83" s="2"/>
      <c r="JP83" s="2"/>
      <c r="JQ83" s="2"/>
      <c r="JR83" s="2"/>
      <c r="JS83" s="2"/>
      <c r="JT83" s="2"/>
      <c r="JU83" s="2"/>
      <c r="JV83" s="2"/>
      <c r="JW83" s="2"/>
      <c r="JX83" s="2"/>
      <c r="JY83" s="2"/>
      <c r="JZ83" s="2"/>
      <c r="KA83" s="2"/>
      <c r="KB83" s="2"/>
      <c r="KC83" s="2"/>
      <c r="KD83" s="2"/>
      <c r="KE83" s="2"/>
      <c r="KF83" s="2"/>
      <c r="KG83" s="2"/>
      <c r="KH83" s="2"/>
      <c r="KI83" s="2"/>
      <c r="KJ83" s="2"/>
      <c r="KK83" s="2"/>
      <c r="KL83" s="2"/>
      <c r="KM83" s="2"/>
      <c r="KN83" s="2"/>
      <c r="KO83" s="2"/>
      <c r="KP83" s="2"/>
      <c r="KQ83" s="2"/>
      <c r="KR83" s="2"/>
      <c r="KS83" s="2"/>
      <c r="KT83" s="2"/>
      <c r="KU83" s="2"/>
      <c r="KV83" s="2"/>
      <c r="KW83" s="2"/>
      <c r="KX83" s="2"/>
      <c r="KY83" s="2"/>
      <c r="KZ83" s="2"/>
      <c r="LA83" s="2"/>
      <c r="LB83" s="2"/>
      <c r="LC83" s="2"/>
      <c r="LD83" s="2"/>
      <c r="LE83" s="2"/>
      <c r="LF83" s="2"/>
      <c r="LG83" s="2"/>
      <c r="LH83" s="2"/>
      <c r="LI83" s="2"/>
      <c r="LJ83" s="2"/>
      <c r="LK83" s="2"/>
      <c r="LL83" s="2"/>
      <c r="LM83" s="2"/>
      <c r="LN83" s="2"/>
      <c r="LO83" s="2"/>
      <c r="LP83" s="2"/>
      <c r="LQ83" s="2"/>
      <c r="LR83" s="2"/>
      <c r="LS83" s="2"/>
      <c r="LT83" s="2"/>
      <c r="LU83" s="2"/>
      <c r="LV83" s="2"/>
      <c r="LW83" s="2"/>
      <c r="LX83" s="2"/>
      <c r="LY83" s="2"/>
      <c r="LZ83" s="2"/>
      <c r="MA83" s="2"/>
      <c r="MB83" s="2"/>
      <c r="MC83" s="2"/>
      <c r="MD83" s="2"/>
      <c r="ME83" s="2"/>
      <c r="MF83" s="2"/>
      <c r="MG83" s="2"/>
      <c r="MH83" s="2"/>
      <c r="MI83" s="2"/>
      <c r="MJ83" s="2"/>
      <c r="MK83" s="2"/>
      <c r="ML83" s="2"/>
      <c r="MM83" s="2"/>
      <c r="MN83" s="2"/>
      <c r="MO83" s="2"/>
      <c r="MP83" s="2"/>
      <c r="MQ83" s="2"/>
      <c r="MR83" s="2"/>
      <c r="MS83" s="2"/>
      <c r="MT83" s="2"/>
      <c r="MU83" s="2"/>
      <c r="MV83" s="2"/>
      <c r="MW83" s="2"/>
      <c r="MX83" s="2"/>
      <c r="MY83" s="2"/>
      <c r="MZ83" s="2"/>
      <c r="NA83" s="2"/>
      <c r="NB83" s="2"/>
      <c r="NC83" s="2"/>
      <c r="ND83" s="2"/>
      <c r="NE83" s="2"/>
      <c r="NF83" s="2"/>
      <c r="NG83" s="2"/>
      <c r="NH83" s="2"/>
      <c r="NI83" s="2"/>
      <c r="NJ83" s="2"/>
      <c r="NK83" s="2"/>
      <c r="NL83" s="2"/>
      <c r="NM83" s="2"/>
      <c r="NN83" s="2"/>
      <c r="NO83" s="2"/>
      <c r="NP83" s="2"/>
      <c r="NQ83" s="2"/>
      <c r="NR83" s="2"/>
      <c r="NS83" s="2"/>
      <c r="NT83" s="2"/>
      <c r="NU83" s="2"/>
      <c r="NV83" s="2"/>
      <c r="NW83" s="2"/>
      <c r="NX83" s="2"/>
      <c r="NY83" s="2"/>
      <c r="NZ83" s="2"/>
      <c r="OA83" s="2"/>
      <c r="OB83" s="2"/>
      <c r="OC83" s="2"/>
      <c r="OD83" s="2"/>
      <c r="OE83" s="2"/>
      <c r="OF83" s="2"/>
      <c r="OG83" s="2"/>
      <c r="OH83" s="2"/>
      <c r="OI83" s="2"/>
      <c r="OJ83" s="2"/>
      <c r="OK83" s="2"/>
      <c r="OL83" s="2"/>
      <c r="OM83" s="2"/>
      <c r="ON83" s="2"/>
      <c r="OO83" s="2"/>
      <c r="OP83" s="2"/>
      <c r="OQ83" s="2"/>
      <c r="OR83" s="2"/>
      <c r="OS83" s="2"/>
      <c r="OT83" s="2"/>
      <c r="OU83" s="2"/>
      <c r="OV83" s="2"/>
      <c r="OW83" s="2"/>
      <c r="OX83" s="2"/>
      <c r="OY83" s="2"/>
      <c r="OZ83" s="2"/>
      <c r="PA83" s="2"/>
      <c r="PB83" s="2"/>
      <c r="PC83" s="2"/>
      <c r="PD83" s="2"/>
      <c r="PE83" s="2"/>
      <c r="PF83" s="2"/>
      <c r="PG83" s="2"/>
      <c r="PH83" s="2"/>
      <c r="PI83" s="2"/>
      <c r="PJ83" s="2"/>
      <c r="PK83" s="2"/>
      <c r="PL83" s="2"/>
      <c r="PM83" s="2"/>
      <c r="PN83" s="2"/>
      <c r="PO83" s="2"/>
      <c r="PP83" s="2"/>
      <c r="PQ83" s="2"/>
      <c r="PR83" s="2"/>
      <c r="PS83" s="2"/>
      <c r="PT83" s="2"/>
      <c r="PU83" s="2"/>
      <c r="PV83" s="2"/>
      <c r="PW83" s="2"/>
      <c r="PX83" s="2"/>
      <c r="PY83" s="2"/>
      <c r="PZ83" s="2"/>
      <c r="QA83" s="2"/>
      <c r="QB83" s="2"/>
      <c r="QC83" s="2"/>
      <c r="QD83" s="2"/>
      <c r="QE83" s="2"/>
      <c r="QF83" s="2"/>
      <c r="QG83" s="2"/>
      <c r="QH83" s="2"/>
      <c r="QI83" s="2"/>
      <c r="QJ83" s="2"/>
      <c r="QK83" s="2"/>
      <c r="QL83" s="2"/>
      <c r="QM83" s="2"/>
      <c r="QN83" s="2"/>
      <c r="QO83" s="2"/>
      <c r="QP83" s="2"/>
      <c r="QQ83" s="2"/>
      <c r="QR83" s="2"/>
      <c r="QS83" s="2"/>
      <c r="QT83" s="2"/>
      <c r="QU83" s="2"/>
      <c r="QV83" s="2"/>
      <c r="QW83" s="2"/>
      <c r="QX83" s="2"/>
      <c r="QY83" s="2"/>
      <c r="QZ83" s="2"/>
      <c r="RA83" s="2"/>
      <c r="RB83" s="2"/>
      <c r="RC83" s="2"/>
      <c r="RD83" s="2"/>
      <c r="RE83" s="2"/>
      <c r="RF83" s="2"/>
      <c r="RG83" s="2"/>
      <c r="RH83" s="2"/>
      <c r="RI83" s="2"/>
      <c r="RJ83" s="2"/>
      <c r="RK83" s="2"/>
      <c r="RL83" s="2"/>
      <c r="RM83" s="2"/>
      <c r="RN83" s="2"/>
      <c r="RO83" s="2"/>
      <c r="RP83" s="2"/>
      <c r="RQ83" s="2"/>
      <c r="RR83" s="2"/>
      <c r="RS83" s="2"/>
      <c r="RT83" s="2"/>
      <c r="RU83" s="2"/>
      <c r="RV83" s="2"/>
      <c r="RW83" s="2"/>
      <c r="RX83" s="2"/>
      <c r="RY83" s="2"/>
      <c r="RZ83" s="2"/>
      <c r="SA83" s="2"/>
      <c r="SB83" s="2"/>
      <c r="SC83" s="2"/>
      <c r="SD83" s="2"/>
      <c r="SE83" s="2"/>
      <c r="SF83" s="2"/>
      <c r="SG83" s="2"/>
      <c r="SH83" s="2"/>
      <c r="SI83" s="2"/>
      <c r="SJ83" s="2"/>
      <c r="SK83" s="2"/>
      <c r="SL83" s="2"/>
      <c r="SM83" s="2"/>
      <c r="SN83" s="2"/>
      <c r="SO83" s="2"/>
      <c r="SP83" s="2"/>
      <c r="SQ83" s="2"/>
      <c r="SR83" s="2"/>
      <c r="SS83" s="2"/>
      <c r="ST83" s="2"/>
      <c r="SU83" s="2"/>
      <c r="SV83" s="2"/>
      <c r="SW83" s="2"/>
      <c r="SX83" s="2"/>
    </row>
    <row r="84" spans="1:518" x14ac:dyDescent="0.25">
      <c r="A84" s="214"/>
      <c r="B84" s="69" t="s">
        <v>171</v>
      </c>
      <c r="C84" s="12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10"/>
      <c r="Z84" s="10"/>
      <c r="AA84" s="10"/>
      <c r="AB84" s="10"/>
      <c r="AC84" s="10"/>
      <c r="AD84" s="10"/>
      <c r="AE84" s="10"/>
      <c r="AF84" s="10"/>
      <c r="AG84" s="8">
        <f t="shared" si="51"/>
        <v>0</v>
      </c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  <c r="FK84" s="2"/>
      <c r="FL84" s="2"/>
      <c r="FM84" s="2"/>
      <c r="FN84" s="2"/>
      <c r="FO84" s="2"/>
      <c r="FP84" s="2"/>
      <c r="FQ84" s="2"/>
      <c r="FR84" s="2"/>
      <c r="FS84" s="2"/>
      <c r="FT84" s="2"/>
      <c r="FU84" s="2"/>
      <c r="FV84" s="2"/>
      <c r="FW84" s="2"/>
      <c r="FX84" s="2"/>
      <c r="FY84" s="2"/>
      <c r="FZ84" s="2"/>
      <c r="GA84" s="2"/>
      <c r="GB84" s="2"/>
      <c r="GC84" s="2"/>
      <c r="GD84" s="2"/>
      <c r="GE84" s="2"/>
      <c r="GF84" s="2"/>
      <c r="GG84" s="2"/>
      <c r="GH84" s="2"/>
      <c r="GI84" s="2"/>
      <c r="GJ84" s="2"/>
      <c r="GK84" s="2"/>
      <c r="GL84" s="2"/>
      <c r="GM84" s="2"/>
      <c r="GN84" s="2"/>
      <c r="GO84" s="2"/>
      <c r="GP84" s="2"/>
      <c r="GQ84" s="2"/>
      <c r="GR84" s="2"/>
      <c r="GS84" s="2"/>
      <c r="GT84" s="2"/>
      <c r="GU84" s="2"/>
      <c r="GV84" s="2"/>
      <c r="GW84" s="2"/>
      <c r="GX84" s="2"/>
      <c r="GY84" s="2"/>
      <c r="GZ84" s="2"/>
      <c r="HA84" s="2"/>
      <c r="HB84" s="2"/>
      <c r="HC84" s="2"/>
      <c r="HD84" s="2"/>
      <c r="HE84" s="2"/>
      <c r="HF84" s="2"/>
      <c r="HG84" s="2"/>
      <c r="HH84" s="2"/>
      <c r="HI84" s="2"/>
      <c r="HJ84" s="2"/>
      <c r="HK84" s="2"/>
      <c r="HL84" s="2"/>
      <c r="HM84" s="2"/>
      <c r="HN84" s="2"/>
      <c r="HO84" s="2"/>
      <c r="HP84" s="2"/>
      <c r="HQ84" s="2"/>
      <c r="HR84" s="2"/>
      <c r="HS84" s="2"/>
      <c r="HT84" s="2"/>
      <c r="HU84" s="2"/>
      <c r="HV84" s="2"/>
      <c r="HW84" s="2"/>
      <c r="HX84" s="2"/>
      <c r="HY84" s="2"/>
      <c r="HZ84" s="2"/>
      <c r="IA84" s="2"/>
      <c r="IB84" s="2"/>
      <c r="IC84" s="2"/>
      <c r="ID84" s="2"/>
      <c r="IE84" s="2"/>
      <c r="IF84" s="2"/>
      <c r="IG84" s="2"/>
      <c r="IH84" s="2"/>
      <c r="II84" s="2"/>
      <c r="IJ84" s="2"/>
      <c r="IK84" s="2"/>
      <c r="IL84" s="2"/>
      <c r="IM84" s="2"/>
      <c r="IN84" s="2"/>
      <c r="IO84" s="2"/>
      <c r="IP84" s="2"/>
      <c r="IQ84" s="2"/>
      <c r="IR84" s="2"/>
      <c r="IS84" s="2"/>
      <c r="IT84" s="2"/>
      <c r="IU84" s="2"/>
      <c r="IV84" s="2"/>
      <c r="IW84" s="2"/>
      <c r="IX84" s="2"/>
      <c r="IY84" s="2"/>
      <c r="IZ84" s="2"/>
      <c r="JA84" s="2"/>
      <c r="JB84" s="2"/>
      <c r="JC84" s="2"/>
      <c r="JD84" s="2"/>
      <c r="JE84" s="2"/>
      <c r="JF84" s="2"/>
      <c r="JG84" s="2"/>
      <c r="JH84" s="2"/>
      <c r="JI84" s="2"/>
      <c r="JJ84" s="2"/>
      <c r="JK84" s="2"/>
      <c r="JL84" s="2"/>
      <c r="JM84" s="2"/>
      <c r="JN84" s="2"/>
      <c r="JO84" s="2"/>
      <c r="JP84" s="2"/>
      <c r="JQ84" s="2"/>
      <c r="JR84" s="2"/>
      <c r="JS84" s="2"/>
      <c r="JT84" s="2"/>
      <c r="JU84" s="2"/>
      <c r="JV84" s="2"/>
      <c r="JW84" s="2"/>
      <c r="JX84" s="2"/>
      <c r="JY84" s="2"/>
      <c r="JZ84" s="2"/>
      <c r="KA84" s="2"/>
      <c r="KB84" s="2"/>
      <c r="KC84" s="2"/>
      <c r="KD84" s="2"/>
      <c r="KE84" s="2"/>
      <c r="KF84" s="2"/>
      <c r="KG84" s="2"/>
      <c r="KH84" s="2"/>
      <c r="KI84" s="2"/>
      <c r="KJ84" s="2"/>
      <c r="KK84" s="2"/>
      <c r="KL84" s="2"/>
      <c r="KM84" s="2"/>
      <c r="KN84" s="2"/>
      <c r="KO84" s="2"/>
      <c r="KP84" s="2"/>
      <c r="KQ84" s="2"/>
      <c r="KR84" s="2"/>
      <c r="KS84" s="2"/>
      <c r="KT84" s="2"/>
      <c r="KU84" s="2"/>
      <c r="KV84" s="2"/>
      <c r="KW84" s="2"/>
      <c r="KX84" s="2"/>
      <c r="KY84" s="2"/>
      <c r="KZ84" s="2"/>
      <c r="LA84" s="2"/>
      <c r="LB84" s="2"/>
      <c r="LC84" s="2"/>
      <c r="LD84" s="2"/>
      <c r="LE84" s="2"/>
      <c r="LF84" s="2"/>
      <c r="LG84" s="2"/>
      <c r="LH84" s="2"/>
      <c r="LI84" s="2"/>
      <c r="LJ84" s="2"/>
      <c r="LK84" s="2"/>
      <c r="LL84" s="2"/>
      <c r="LM84" s="2"/>
      <c r="LN84" s="2"/>
      <c r="LO84" s="2"/>
      <c r="LP84" s="2"/>
      <c r="LQ84" s="2"/>
      <c r="LR84" s="2"/>
      <c r="LS84" s="2"/>
      <c r="LT84" s="2"/>
      <c r="LU84" s="2"/>
      <c r="LV84" s="2"/>
      <c r="LW84" s="2"/>
      <c r="LX84" s="2"/>
      <c r="LY84" s="2"/>
      <c r="LZ84" s="2"/>
      <c r="MA84" s="2"/>
      <c r="MB84" s="2"/>
      <c r="MC84" s="2"/>
      <c r="MD84" s="2"/>
      <c r="ME84" s="2"/>
      <c r="MF84" s="2"/>
      <c r="MG84" s="2"/>
      <c r="MH84" s="2"/>
      <c r="MI84" s="2"/>
      <c r="MJ84" s="2"/>
      <c r="MK84" s="2"/>
      <c r="ML84" s="2"/>
      <c r="MM84" s="2"/>
      <c r="MN84" s="2"/>
      <c r="MO84" s="2"/>
      <c r="MP84" s="2"/>
      <c r="MQ84" s="2"/>
      <c r="MR84" s="2"/>
      <c r="MS84" s="2"/>
      <c r="MT84" s="2"/>
      <c r="MU84" s="2"/>
      <c r="MV84" s="2"/>
      <c r="MW84" s="2"/>
      <c r="MX84" s="2"/>
      <c r="MY84" s="2"/>
      <c r="MZ84" s="2"/>
      <c r="NA84" s="2"/>
      <c r="NB84" s="2"/>
      <c r="NC84" s="2"/>
      <c r="ND84" s="2"/>
      <c r="NE84" s="2"/>
      <c r="NF84" s="2"/>
      <c r="NG84" s="2"/>
      <c r="NH84" s="2"/>
      <c r="NI84" s="2"/>
      <c r="NJ84" s="2"/>
      <c r="NK84" s="2"/>
      <c r="NL84" s="2"/>
      <c r="NM84" s="2"/>
      <c r="NN84" s="2"/>
      <c r="NO84" s="2"/>
      <c r="NP84" s="2"/>
      <c r="NQ84" s="2"/>
      <c r="NR84" s="2"/>
      <c r="NS84" s="2"/>
      <c r="NT84" s="2"/>
      <c r="NU84" s="2"/>
      <c r="NV84" s="2"/>
      <c r="NW84" s="2"/>
      <c r="NX84" s="2"/>
      <c r="NY84" s="2"/>
      <c r="NZ84" s="2"/>
      <c r="OA84" s="2"/>
      <c r="OB84" s="2"/>
      <c r="OC84" s="2"/>
      <c r="OD84" s="2"/>
      <c r="OE84" s="2"/>
      <c r="OF84" s="2"/>
      <c r="OG84" s="2"/>
      <c r="OH84" s="2"/>
      <c r="OI84" s="2"/>
      <c r="OJ84" s="2"/>
      <c r="OK84" s="2"/>
      <c r="OL84" s="2"/>
      <c r="OM84" s="2"/>
      <c r="ON84" s="2"/>
      <c r="OO84" s="2"/>
      <c r="OP84" s="2"/>
      <c r="OQ84" s="2"/>
      <c r="OR84" s="2"/>
      <c r="OS84" s="2"/>
      <c r="OT84" s="2"/>
      <c r="OU84" s="2"/>
      <c r="OV84" s="2"/>
      <c r="OW84" s="2"/>
      <c r="OX84" s="2"/>
      <c r="OY84" s="2"/>
      <c r="OZ84" s="2"/>
      <c r="PA84" s="2"/>
      <c r="PB84" s="2"/>
      <c r="PC84" s="2"/>
      <c r="PD84" s="2"/>
      <c r="PE84" s="2"/>
      <c r="PF84" s="2"/>
      <c r="PG84" s="2"/>
      <c r="PH84" s="2"/>
      <c r="PI84" s="2"/>
      <c r="PJ84" s="2"/>
      <c r="PK84" s="2"/>
      <c r="PL84" s="2"/>
      <c r="PM84" s="2"/>
      <c r="PN84" s="2"/>
      <c r="PO84" s="2"/>
      <c r="PP84" s="2"/>
      <c r="PQ84" s="2"/>
      <c r="PR84" s="2"/>
      <c r="PS84" s="2"/>
      <c r="PT84" s="2"/>
      <c r="PU84" s="2"/>
      <c r="PV84" s="2"/>
      <c r="PW84" s="2"/>
      <c r="PX84" s="2"/>
      <c r="PY84" s="2"/>
      <c r="PZ84" s="2"/>
      <c r="QA84" s="2"/>
      <c r="QB84" s="2"/>
      <c r="QC84" s="2"/>
      <c r="QD84" s="2"/>
      <c r="QE84" s="2"/>
      <c r="QF84" s="2"/>
      <c r="QG84" s="2"/>
      <c r="QH84" s="2"/>
      <c r="QI84" s="2"/>
      <c r="QJ84" s="2"/>
      <c r="QK84" s="2"/>
      <c r="QL84" s="2"/>
      <c r="QM84" s="2"/>
      <c r="QN84" s="2"/>
      <c r="QO84" s="2"/>
      <c r="QP84" s="2"/>
      <c r="QQ84" s="2"/>
      <c r="QR84" s="2"/>
      <c r="QS84" s="2"/>
      <c r="QT84" s="2"/>
      <c r="QU84" s="2"/>
      <c r="QV84" s="2"/>
      <c r="QW84" s="2"/>
      <c r="QX84" s="2"/>
      <c r="QY84" s="2"/>
      <c r="QZ84" s="2"/>
      <c r="RA84" s="2"/>
      <c r="RB84" s="2"/>
      <c r="RC84" s="2"/>
      <c r="RD84" s="2"/>
      <c r="RE84" s="2"/>
      <c r="RF84" s="2"/>
      <c r="RG84" s="2"/>
      <c r="RH84" s="2"/>
      <c r="RI84" s="2"/>
      <c r="RJ84" s="2"/>
      <c r="RK84" s="2"/>
      <c r="RL84" s="2"/>
      <c r="RM84" s="2"/>
      <c r="RN84" s="2"/>
      <c r="RO84" s="2"/>
      <c r="RP84" s="2"/>
      <c r="RQ84" s="2"/>
      <c r="RR84" s="2"/>
      <c r="RS84" s="2"/>
      <c r="RT84" s="2"/>
      <c r="RU84" s="2"/>
      <c r="RV84" s="2"/>
      <c r="RW84" s="2"/>
      <c r="RX84" s="2"/>
      <c r="RY84" s="2"/>
      <c r="RZ84" s="2"/>
      <c r="SA84" s="2"/>
      <c r="SB84" s="2"/>
      <c r="SC84" s="2"/>
      <c r="SD84" s="2"/>
      <c r="SE84" s="2"/>
      <c r="SF84" s="2"/>
      <c r="SG84" s="2"/>
      <c r="SH84" s="2"/>
      <c r="SI84" s="2"/>
      <c r="SJ84" s="2"/>
      <c r="SK84" s="2"/>
      <c r="SL84" s="2"/>
      <c r="SM84" s="2"/>
      <c r="SN84" s="2"/>
      <c r="SO84" s="2"/>
      <c r="SP84" s="2"/>
      <c r="SQ84" s="2"/>
      <c r="SR84" s="2"/>
      <c r="SS84" s="2"/>
      <c r="ST84" s="2"/>
      <c r="SU84" s="2"/>
      <c r="SV84" s="2"/>
      <c r="SW84" s="2"/>
      <c r="SX84" s="2"/>
    </row>
    <row r="85" spans="1:518" s="4" customFormat="1" x14ac:dyDescent="0.25">
      <c r="A85" s="215" t="s">
        <v>97</v>
      </c>
      <c r="B85" s="216"/>
      <c r="C85" s="8">
        <f>SUM(C79:C84)</f>
        <v>0</v>
      </c>
      <c r="D85" s="8">
        <f>SUM(D79:D84)</f>
        <v>0</v>
      </c>
      <c r="E85" s="8">
        <f t="shared" ref="E85:AF85" si="56">SUM(E79:E84)</f>
        <v>0</v>
      </c>
      <c r="F85" s="8">
        <f t="shared" si="56"/>
        <v>0</v>
      </c>
      <c r="G85" s="8">
        <f t="shared" si="56"/>
        <v>0</v>
      </c>
      <c r="H85" s="8">
        <f t="shared" si="56"/>
        <v>0</v>
      </c>
      <c r="I85" s="8">
        <f t="shared" si="56"/>
        <v>0</v>
      </c>
      <c r="J85" s="8">
        <f t="shared" si="56"/>
        <v>0</v>
      </c>
      <c r="K85" s="8">
        <f t="shared" si="56"/>
        <v>0</v>
      </c>
      <c r="L85" s="8">
        <f t="shared" si="56"/>
        <v>0</v>
      </c>
      <c r="M85" s="8">
        <f t="shared" si="56"/>
        <v>0</v>
      </c>
      <c r="N85" s="8">
        <f t="shared" si="56"/>
        <v>0</v>
      </c>
      <c r="O85" s="8">
        <f t="shared" si="56"/>
        <v>0</v>
      </c>
      <c r="P85" s="8">
        <f t="shared" si="56"/>
        <v>0</v>
      </c>
      <c r="Q85" s="8">
        <f t="shared" si="56"/>
        <v>0</v>
      </c>
      <c r="R85" s="8">
        <f t="shared" si="56"/>
        <v>0</v>
      </c>
      <c r="S85" s="8">
        <f t="shared" si="56"/>
        <v>0</v>
      </c>
      <c r="T85" s="8">
        <f t="shared" si="56"/>
        <v>0</v>
      </c>
      <c r="U85" s="8">
        <f t="shared" si="56"/>
        <v>0</v>
      </c>
      <c r="V85" s="8">
        <f t="shared" si="56"/>
        <v>0</v>
      </c>
      <c r="W85" s="8">
        <f t="shared" si="56"/>
        <v>0</v>
      </c>
      <c r="X85" s="8">
        <f t="shared" si="56"/>
        <v>0</v>
      </c>
      <c r="Y85" s="8">
        <f t="shared" si="56"/>
        <v>0</v>
      </c>
      <c r="Z85" s="8">
        <f t="shared" si="56"/>
        <v>0</v>
      </c>
      <c r="AA85" s="8">
        <f t="shared" si="56"/>
        <v>0</v>
      </c>
      <c r="AB85" s="8">
        <f t="shared" si="56"/>
        <v>0</v>
      </c>
      <c r="AC85" s="8">
        <f t="shared" si="56"/>
        <v>0</v>
      </c>
      <c r="AD85" s="8">
        <f t="shared" si="56"/>
        <v>0</v>
      </c>
      <c r="AE85" s="8">
        <f t="shared" si="56"/>
        <v>0</v>
      </c>
      <c r="AF85" s="8">
        <f t="shared" si="56"/>
        <v>0</v>
      </c>
      <c r="AG85" s="8">
        <f t="shared" si="51"/>
        <v>0</v>
      </c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  <c r="FK85" s="2"/>
      <c r="FL85" s="2"/>
      <c r="FM85" s="2"/>
      <c r="FN85" s="2"/>
      <c r="FO85" s="2"/>
      <c r="FP85" s="2"/>
      <c r="FQ85" s="2"/>
      <c r="FR85" s="2"/>
      <c r="FS85" s="2"/>
      <c r="FT85" s="2"/>
      <c r="FU85" s="2"/>
      <c r="FV85" s="2"/>
      <c r="FW85" s="2"/>
      <c r="FX85" s="2"/>
      <c r="FY85" s="2"/>
      <c r="FZ85" s="2"/>
      <c r="GA85" s="2"/>
      <c r="GB85" s="2"/>
      <c r="GC85" s="2"/>
      <c r="GD85" s="2"/>
      <c r="GE85" s="2"/>
      <c r="GF85" s="2"/>
      <c r="GG85" s="2"/>
      <c r="GH85" s="2"/>
      <c r="GI85" s="2"/>
      <c r="GJ85" s="2"/>
      <c r="GK85" s="2"/>
      <c r="GL85" s="2"/>
      <c r="GM85" s="2"/>
      <c r="GN85" s="2"/>
      <c r="GO85" s="2"/>
      <c r="GP85" s="2"/>
      <c r="GQ85" s="2"/>
      <c r="GR85" s="2"/>
      <c r="GS85" s="2"/>
      <c r="GT85" s="2"/>
      <c r="GU85" s="2"/>
      <c r="GV85" s="2"/>
      <c r="GW85" s="2"/>
      <c r="GX85" s="2"/>
      <c r="GY85" s="2"/>
      <c r="GZ85" s="2"/>
      <c r="HA85" s="2"/>
      <c r="HB85" s="2"/>
      <c r="HC85" s="2"/>
      <c r="HD85" s="2"/>
      <c r="HE85" s="2"/>
      <c r="HF85" s="2"/>
      <c r="HG85" s="2"/>
      <c r="HH85" s="2"/>
      <c r="HI85" s="2"/>
      <c r="HJ85" s="2"/>
      <c r="HK85" s="2"/>
      <c r="HL85" s="2"/>
      <c r="HM85" s="2"/>
      <c r="HN85" s="2"/>
      <c r="HO85" s="2"/>
      <c r="HP85" s="2"/>
      <c r="HQ85" s="2"/>
      <c r="HR85" s="2"/>
      <c r="HS85" s="2"/>
      <c r="HT85" s="2"/>
      <c r="HU85" s="2"/>
      <c r="HV85" s="2"/>
      <c r="HW85" s="2"/>
      <c r="HX85" s="2"/>
      <c r="HY85" s="2"/>
      <c r="HZ85" s="2"/>
      <c r="IA85" s="2"/>
      <c r="IB85" s="2"/>
      <c r="IC85" s="2"/>
      <c r="ID85" s="2"/>
      <c r="IE85" s="2"/>
      <c r="IF85" s="2"/>
      <c r="IG85" s="2"/>
      <c r="IH85" s="2"/>
      <c r="II85" s="2"/>
      <c r="IJ85" s="2"/>
      <c r="IK85" s="2"/>
      <c r="IL85" s="2"/>
      <c r="IM85" s="2"/>
      <c r="IN85" s="2"/>
      <c r="IO85" s="2"/>
      <c r="IP85" s="2"/>
      <c r="IQ85" s="2"/>
      <c r="IR85" s="2"/>
      <c r="IS85" s="2"/>
      <c r="IT85" s="2"/>
      <c r="IU85" s="2"/>
      <c r="IV85" s="2"/>
      <c r="IW85" s="2"/>
      <c r="IX85" s="2"/>
      <c r="IY85" s="2"/>
      <c r="IZ85" s="2"/>
      <c r="JA85" s="2"/>
      <c r="JB85" s="2"/>
      <c r="JC85" s="2"/>
      <c r="JD85" s="2"/>
      <c r="JE85" s="2"/>
      <c r="JF85" s="2"/>
      <c r="JG85" s="2"/>
      <c r="JH85" s="2"/>
      <c r="JI85" s="2"/>
      <c r="JJ85" s="2"/>
      <c r="JK85" s="2"/>
      <c r="JL85" s="2"/>
      <c r="JM85" s="2"/>
      <c r="JN85" s="2"/>
      <c r="JO85" s="2"/>
      <c r="JP85" s="2"/>
      <c r="JQ85" s="2"/>
      <c r="JR85" s="2"/>
      <c r="JS85" s="2"/>
      <c r="JT85" s="2"/>
      <c r="JU85" s="2"/>
      <c r="JV85" s="2"/>
      <c r="JW85" s="2"/>
      <c r="JX85" s="2"/>
      <c r="JY85" s="2"/>
      <c r="JZ85" s="2"/>
      <c r="KA85" s="2"/>
      <c r="KB85" s="2"/>
      <c r="KC85" s="2"/>
      <c r="KD85" s="2"/>
      <c r="KE85" s="2"/>
      <c r="KF85" s="2"/>
      <c r="KG85" s="2"/>
      <c r="KH85" s="2"/>
      <c r="KI85" s="2"/>
      <c r="KJ85" s="2"/>
      <c r="KK85" s="2"/>
      <c r="KL85" s="2"/>
      <c r="KM85" s="2"/>
      <c r="KN85" s="2"/>
      <c r="KO85" s="2"/>
      <c r="KP85" s="2"/>
      <c r="KQ85" s="2"/>
      <c r="KR85" s="2"/>
      <c r="KS85" s="2"/>
      <c r="KT85" s="2"/>
      <c r="KU85" s="2"/>
      <c r="KV85" s="2"/>
      <c r="KW85" s="2"/>
      <c r="KX85" s="2"/>
      <c r="KY85" s="2"/>
      <c r="KZ85" s="2"/>
      <c r="LA85" s="2"/>
      <c r="LB85" s="2"/>
      <c r="LC85" s="2"/>
      <c r="LD85" s="2"/>
      <c r="LE85" s="2"/>
      <c r="LF85" s="2"/>
      <c r="LG85" s="2"/>
      <c r="LH85" s="2"/>
      <c r="LI85" s="2"/>
      <c r="LJ85" s="2"/>
      <c r="LK85" s="2"/>
      <c r="LL85" s="2"/>
      <c r="LM85" s="2"/>
      <c r="LN85" s="2"/>
      <c r="LO85" s="2"/>
      <c r="LP85" s="2"/>
      <c r="LQ85" s="2"/>
      <c r="LR85" s="2"/>
      <c r="LS85" s="2"/>
      <c r="LT85" s="2"/>
      <c r="LU85" s="2"/>
      <c r="LV85" s="2"/>
      <c r="LW85" s="2"/>
      <c r="LX85" s="2"/>
      <c r="LY85" s="2"/>
      <c r="LZ85" s="2"/>
      <c r="MA85" s="2"/>
      <c r="MB85" s="2"/>
      <c r="MC85" s="2"/>
      <c r="MD85" s="2"/>
      <c r="ME85" s="2"/>
      <c r="MF85" s="2"/>
      <c r="MG85" s="2"/>
      <c r="MH85" s="2"/>
      <c r="MI85" s="2"/>
      <c r="MJ85" s="2"/>
      <c r="MK85" s="2"/>
      <c r="ML85" s="2"/>
      <c r="MM85" s="2"/>
      <c r="MN85" s="2"/>
      <c r="MO85" s="2"/>
      <c r="MP85" s="2"/>
      <c r="MQ85" s="2"/>
      <c r="MR85" s="2"/>
      <c r="MS85" s="2"/>
      <c r="MT85" s="2"/>
      <c r="MU85" s="2"/>
      <c r="MV85" s="2"/>
      <c r="MW85" s="2"/>
      <c r="MX85" s="2"/>
      <c r="MY85" s="2"/>
      <c r="MZ85" s="2"/>
      <c r="NA85" s="2"/>
      <c r="NB85" s="2"/>
      <c r="NC85" s="2"/>
      <c r="ND85" s="2"/>
      <c r="NE85" s="2"/>
      <c r="NF85" s="2"/>
      <c r="NG85" s="2"/>
      <c r="NH85" s="2"/>
      <c r="NI85" s="2"/>
      <c r="NJ85" s="2"/>
      <c r="NK85" s="2"/>
      <c r="NL85" s="2"/>
      <c r="NM85" s="2"/>
      <c r="NN85" s="2"/>
      <c r="NO85" s="2"/>
      <c r="NP85" s="2"/>
      <c r="NQ85" s="2"/>
      <c r="NR85" s="2"/>
      <c r="NS85" s="2"/>
      <c r="NT85" s="2"/>
      <c r="NU85" s="2"/>
      <c r="NV85" s="2"/>
      <c r="NW85" s="2"/>
      <c r="NX85" s="2"/>
      <c r="NY85" s="2"/>
      <c r="NZ85" s="2"/>
      <c r="OA85" s="2"/>
      <c r="OB85" s="2"/>
      <c r="OC85" s="2"/>
      <c r="OD85" s="2"/>
      <c r="OE85" s="2"/>
      <c r="OF85" s="2"/>
      <c r="OG85" s="2"/>
      <c r="OH85" s="2"/>
      <c r="OI85" s="2"/>
      <c r="OJ85" s="2"/>
      <c r="OK85" s="2"/>
      <c r="OL85" s="2"/>
      <c r="OM85" s="2"/>
      <c r="ON85" s="2"/>
      <c r="OO85" s="2"/>
      <c r="OP85" s="2"/>
      <c r="OQ85" s="2"/>
      <c r="OR85" s="2"/>
      <c r="OS85" s="2"/>
      <c r="OT85" s="2"/>
      <c r="OU85" s="2"/>
      <c r="OV85" s="2"/>
      <c r="OW85" s="2"/>
      <c r="OX85" s="2"/>
      <c r="OY85" s="2"/>
      <c r="OZ85" s="2"/>
      <c r="PA85" s="2"/>
      <c r="PB85" s="2"/>
      <c r="PC85" s="2"/>
      <c r="PD85" s="2"/>
      <c r="PE85" s="2"/>
      <c r="PF85" s="2"/>
      <c r="PG85" s="2"/>
      <c r="PH85" s="2"/>
      <c r="PI85" s="2"/>
      <c r="PJ85" s="2"/>
      <c r="PK85" s="2"/>
      <c r="PL85" s="2"/>
      <c r="PM85" s="2"/>
      <c r="PN85" s="2"/>
      <c r="PO85" s="2"/>
      <c r="PP85" s="2"/>
      <c r="PQ85" s="2"/>
      <c r="PR85" s="2"/>
      <c r="PS85" s="2"/>
      <c r="PT85" s="2"/>
      <c r="PU85" s="2"/>
      <c r="PV85" s="2"/>
      <c r="PW85" s="2"/>
      <c r="PX85" s="2"/>
      <c r="PY85" s="2"/>
      <c r="PZ85" s="2"/>
      <c r="QA85" s="2"/>
      <c r="QB85" s="2"/>
      <c r="QC85" s="2"/>
      <c r="QD85" s="2"/>
      <c r="QE85" s="2"/>
      <c r="QF85" s="2"/>
      <c r="QG85" s="2"/>
      <c r="QH85" s="2"/>
      <c r="QI85" s="2"/>
      <c r="QJ85" s="2"/>
      <c r="QK85" s="2"/>
      <c r="QL85" s="2"/>
      <c r="QM85" s="2"/>
      <c r="QN85" s="2"/>
      <c r="QO85" s="2"/>
      <c r="QP85" s="2"/>
      <c r="QQ85" s="2"/>
      <c r="QR85" s="2"/>
      <c r="QS85" s="2"/>
      <c r="QT85" s="2"/>
      <c r="QU85" s="2"/>
      <c r="QV85" s="2"/>
      <c r="QW85" s="2"/>
      <c r="QX85" s="2"/>
      <c r="QY85" s="2"/>
      <c r="QZ85" s="2"/>
      <c r="RA85" s="2"/>
      <c r="RB85" s="2"/>
      <c r="RC85" s="2"/>
      <c r="RD85" s="2"/>
      <c r="RE85" s="2"/>
      <c r="RF85" s="2"/>
      <c r="RG85" s="2"/>
      <c r="RH85" s="2"/>
      <c r="RI85" s="2"/>
      <c r="RJ85" s="2"/>
      <c r="RK85" s="2"/>
      <c r="RL85" s="2"/>
      <c r="RM85" s="2"/>
      <c r="RN85" s="2"/>
      <c r="RO85" s="2"/>
      <c r="RP85" s="2"/>
      <c r="RQ85" s="2"/>
      <c r="RR85" s="2"/>
      <c r="RS85" s="2"/>
      <c r="RT85" s="2"/>
      <c r="RU85" s="2"/>
      <c r="RV85" s="2"/>
      <c r="RW85" s="2"/>
      <c r="RX85" s="2"/>
      <c r="RY85" s="2"/>
      <c r="RZ85" s="2"/>
      <c r="SA85" s="2"/>
      <c r="SB85" s="2"/>
      <c r="SC85" s="2"/>
      <c r="SD85" s="2"/>
      <c r="SE85" s="2"/>
      <c r="SF85" s="2"/>
      <c r="SG85" s="2"/>
      <c r="SH85" s="2"/>
      <c r="SI85" s="2"/>
      <c r="SJ85" s="2"/>
      <c r="SK85" s="2"/>
      <c r="SL85" s="2"/>
      <c r="SM85" s="2"/>
      <c r="SN85" s="2"/>
      <c r="SO85" s="2"/>
      <c r="SP85" s="2"/>
      <c r="SQ85" s="2"/>
      <c r="SR85" s="2"/>
      <c r="SS85" s="2"/>
      <c r="ST85" s="2"/>
      <c r="SU85" s="2"/>
      <c r="SV85" s="2"/>
      <c r="SW85" s="2"/>
      <c r="SX85" s="2"/>
    </row>
    <row r="86" spans="1:518" x14ac:dyDescent="0.25">
      <c r="B86" s="110" t="s">
        <v>97</v>
      </c>
      <c r="C86">
        <f>AVERAGE(C71,C64,C57,C50,C43,C36,C29,C8,C15)</f>
        <v>115.73333333333332</v>
      </c>
      <c r="D86">
        <f t="shared" ref="D86:AF86" si="57">AVERAGE(D71,D64,D57,D50,D43,D36,D29,D8,D15)</f>
        <v>51.355555555555554</v>
      </c>
      <c r="E86">
        <f t="shared" si="57"/>
        <v>90.544444444444437</v>
      </c>
      <c r="F86">
        <f t="shared" si="57"/>
        <v>84.477777777777774</v>
      </c>
      <c r="G86">
        <f t="shared" si="57"/>
        <v>53.622222222222227</v>
      </c>
      <c r="H86">
        <f t="shared" si="57"/>
        <v>197.84888888888887</v>
      </c>
      <c r="I86">
        <f t="shared" si="57"/>
        <v>107.33111111111114</v>
      </c>
      <c r="J86">
        <f t="shared" si="57"/>
        <v>278.19888888888886</v>
      </c>
      <c r="K86">
        <f t="shared" si="57"/>
        <v>65.86999999999999</v>
      </c>
      <c r="L86">
        <f t="shared" si="57"/>
        <v>99.555555555555571</v>
      </c>
      <c r="M86">
        <f t="shared" si="57"/>
        <v>49.391111111111108</v>
      </c>
      <c r="N86">
        <f t="shared" si="57"/>
        <v>64.61666666666666</v>
      </c>
      <c r="O86">
        <f t="shared" si="57"/>
        <v>64.500000000000014</v>
      </c>
      <c r="P86">
        <f t="shared" si="57"/>
        <v>48.333333333333336</v>
      </c>
      <c r="Q86">
        <f t="shared" si="57"/>
        <v>27.633333333333336</v>
      </c>
      <c r="R86">
        <f t="shared" si="57"/>
        <v>85.499999999999972</v>
      </c>
      <c r="S86">
        <f t="shared" si="57"/>
        <v>50.93333333333333</v>
      </c>
      <c r="T86">
        <f t="shared" si="57"/>
        <v>161.72555555555556</v>
      </c>
      <c r="U86">
        <f t="shared" si="57"/>
        <v>98.60222222222221</v>
      </c>
      <c r="V86">
        <f t="shared" si="57"/>
        <v>47.233333333333334</v>
      </c>
      <c r="W86">
        <f t="shared" si="57"/>
        <v>25.484444444444442</v>
      </c>
      <c r="X86">
        <f t="shared" si="57"/>
        <v>155.22222222222223</v>
      </c>
      <c r="Y86">
        <f t="shared" si="57"/>
        <v>30</v>
      </c>
      <c r="Z86">
        <f t="shared" si="57"/>
        <v>53.533333333333331</v>
      </c>
      <c r="AA86">
        <f t="shared" si="57"/>
        <v>33.56666666666667</v>
      </c>
      <c r="AB86">
        <f t="shared" si="57"/>
        <v>31.033333333333335</v>
      </c>
      <c r="AC86">
        <f t="shared" si="57"/>
        <v>199.78888888888889</v>
      </c>
      <c r="AD86">
        <f t="shared" si="57"/>
        <v>92.31</v>
      </c>
      <c r="AE86">
        <f t="shared" si="57"/>
        <v>594.19055555555553</v>
      </c>
      <c r="AF86">
        <f t="shared" si="57"/>
        <v>168.31555555555553</v>
      </c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  <c r="FK86" s="2"/>
      <c r="FL86" s="2"/>
      <c r="FM86" s="2"/>
      <c r="FN86" s="2"/>
      <c r="FO86" s="2"/>
      <c r="FP86" s="2"/>
      <c r="FQ86" s="2"/>
      <c r="FR86" s="2"/>
      <c r="FS86" s="2"/>
      <c r="FT86" s="2"/>
      <c r="FU86" s="2"/>
      <c r="FV86" s="2"/>
      <c r="FW86" s="2"/>
      <c r="FX86" s="2"/>
      <c r="FY86" s="2"/>
      <c r="FZ86" s="2"/>
      <c r="GA86" s="2"/>
      <c r="GB86" s="2"/>
      <c r="GC86" s="2"/>
      <c r="GD86" s="2"/>
      <c r="GE86" s="2"/>
      <c r="GF86" s="2"/>
      <c r="GG86" s="2"/>
      <c r="GH86" s="2"/>
      <c r="GI86" s="2"/>
      <c r="GJ86" s="2"/>
      <c r="GK86" s="2"/>
      <c r="GL86" s="2"/>
      <c r="GM86" s="2"/>
      <c r="GN86" s="2"/>
      <c r="GO86" s="2"/>
      <c r="GP86" s="2"/>
      <c r="GQ86" s="2"/>
      <c r="GR86" s="2"/>
      <c r="GS86" s="2"/>
      <c r="GT86" s="2"/>
      <c r="GU86" s="2"/>
      <c r="GV86" s="2"/>
      <c r="GW86" s="2"/>
      <c r="GX86" s="2"/>
      <c r="GY86" s="2"/>
      <c r="GZ86" s="2"/>
      <c r="HA86" s="2"/>
      <c r="HB86" s="2"/>
      <c r="HC86" s="2"/>
      <c r="HD86" s="2"/>
      <c r="HE86" s="2"/>
      <c r="HF86" s="2"/>
      <c r="HG86" s="2"/>
      <c r="HH86" s="2"/>
      <c r="HI86" s="2"/>
      <c r="HJ86" s="2"/>
      <c r="HK86" s="2"/>
      <c r="HL86" s="2"/>
      <c r="HM86" s="2"/>
      <c r="HN86" s="2"/>
      <c r="HO86" s="2"/>
      <c r="HP86" s="2"/>
      <c r="HQ86" s="2"/>
      <c r="HR86" s="2"/>
      <c r="HS86" s="2"/>
      <c r="HT86" s="2"/>
      <c r="HU86" s="2"/>
      <c r="HV86" s="2"/>
      <c r="HW86" s="2"/>
      <c r="HX86" s="2"/>
      <c r="HY86" s="2"/>
      <c r="HZ86" s="2"/>
      <c r="IA86" s="2"/>
      <c r="IB86" s="2"/>
      <c r="IC86" s="2"/>
      <c r="ID86" s="2"/>
      <c r="IE86" s="2"/>
      <c r="IF86" s="2"/>
      <c r="IG86" s="2"/>
      <c r="IH86" s="2"/>
      <c r="II86" s="2"/>
      <c r="IJ86" s="2"/>
      <c r="IK86" s="2"/>
      <c r="IL86" s="2"/>
      <c r="IM86" s="2"/>
      <c r="IN86" s="2"/>
      <c r="IO86" s="2"/>
      <c r="IP86" s="2"/>
      <c r="IQ86" s="2"/>
      <c r="IR86" s="2"/>
      <c r="IS86" s="2"/>
      <c r="IT86" s="2"/>
      <c r="IU86" s="2"/>
      <c r="IV86" s="2"/>
      <c r="IW86" s="2"/>
      <c r="IX86" s="2"/>
      <c r="IY86" s="2"/>
      <c r="IZ86" s="2"/>
      <c r="JA86" s="2"/>
      <c r="JB86" s="2"/>
      <c r="JC86" s="2"/>
      <c r="JD86" s="2"/>
      <c r="JE86" s="2"/>
      <c r="JF86" s="2"/>
      <c r="JG86" s="2"/>
      <c r="JH86" s="2"/>
      <c r="JI86" s="2"/>
      <c r="JJ86" s="2"/>
      <c r="JK86" s="2"/>
      <c r="JL86" s="2"/>
      <c r="JM86" s="2"/>
      <c r="JN86" s="2"/>
      <c r="JO86" s="2"/>
      <c r="JP86" s="2"/>
      <c r="JQ86" s="2"/>
      <c r="JR86" s="2"/>
      <c r="JS86" s="2"/>
      <c r="JT86" s="2"/>
      <c r="JU86" s="2"/>
      <c r="JV86" s="2"/>
      <c r="JW86" s="2"/>
      <c r="JX86" s="2"/>
      <c r="JY86" s="2"/>
      <c r="JZ86" s="2"/>
      <c r="KA86" s="2"/>
      <c r="KB86" s="2"/>
      <c r="KC86" s="2"/>
      <c r="KD86" s="2"/>
      <c r="KE86" s="2"/>
      <c r="KF86" s="2"/>
      <c r="KG86" s="2"/>
      <c r="KH86" s="2"/>
      <c r="KI86" s="2"/>
      <c r="KJ86" s="2"/>
      <c r="KK86" s="2"/>
      <c r="KL86" s="2"/>
      <c r="KM86" s="2"/>
      <c r="KN86" s="2"/>
      <c r="KO86" s="2"/>
      <c r="KP86" s="2"/>
      <c r="KQ86" s="2"/>
      <c r="KR86" s="2"/>
      <c r="KS86" s="2"/>
      <c r="KT86" s="2"/>
      <c r="KU86" s="2"/>
      <c r="KV86" s="2"/>
      <c r="KW86" s="2"/>
      <c r="KX86" s="2"/>
      <c r="KY86" s="2"/>
      <c r="KZ86" s="2"/>
      <c r="LA86" s="2"/>
      <c r="LB86" s="2"/>
      <c r="LC86" s="2"/>
      <c r="LD86" s="2"/>
      <c r="LE86" s="2"/>
      <c r="LF86" s="2"/>
      <c r="LG86" s="2"/>
      <c r="LH86" s="2"/>
      <c r="LI86" s="2"/>
      <c r="LJ86" s="2"/>
      <c r="LK86" s="2"/>
      <c r="LL86" s="2"/>
      <c r="LM86" s="2"/>
      <c r="LN86" s="2"/>
      <c r="LO86" s="2"/>
      <c r="LP86" s="2"/>
      <c r="LQ86" s="2"/>
      <c r="LR86" s="2"/>
      <c r="LS86" s="2"/>
      <c r="LT86" s="2"/>
      <c r="LU86" s="2"/>
      <c r="LV86" s="2"/>
      <c r="LW86" s="2"/>
      <c r="LX86" s="2"/>
      <c r="LY86" s="2"/>
      <c r="LZ86" s="2"/>
      <c r="MA86" s="2"/>
      <c r="MB86" s="2"/>
      <c r="MC86" s="2"/>
      <c r="MD86" s="2"/>
      <c r="ME86" s="2"/>
      <c r="MF86" s="2"/>
      <c r="MG86" s="2"/>
      <c r="MH86" s="2"/>
      <c r="MI86" s="2"/>
      <c r="MJ86" s="2"/>
      <c r="MK86" s="2"/>
      <c r="ML86" s="2"/>
      <c r="MM86" s="2"/>
      <c r="MN86" s="2"/>
      <c r="MO86" s="2"/>
      <c r="MP86" s="2"/>
      <c r="MQ86" s="2"/>
      <c r="MR86" s="2"/>
      <c r="MS86" s="2"/>
      <c r="MT86" s="2"/>
      <c r="MU86" s="2"/>
      <c r="MV86" s="2"/>
      <c r="MW86" s="2"/>
      <c r="MX86" s="2"/>
      <c r="MY86" s="2"/>
      <c r="MZ86" s="2"/>
      <c r="NA86" s="2"/>
      <c r="NB86" s="2"/>
      <c r="NC86" s="2"/>
      <c r="ND86" s="2"/>
      <c r="NE86" s="2"/>
      <c r="NF86" s="2"/>
      <c r="NG86" s="2"/>
      <c r="NH86" s="2"/>
      <c r="NI86" s="2"/>
      <c r="NJ86" s="2"/>
      <c r="NK86" s="2"/>
      <c r="NL86" s="2"/>
      <c r="NM86" s="2"/>
      <c r="NN86" s="2"/>
      <c r="NO86" s="2"/>
      <c r="NP86" s="2"/>
      <c r="NQ86" s="2"/>
      <c r="NR86" s="2"/>
      <c r="NS86" s="2"/>
      <c r="NT86" s="2"/>
      <c r="NU86" s="2"/>
      <c r="NV86" s="2"/>
      <c r="NW86" s="2"/>
      <c r="NX86" s="2"/>
      <c r="NY86" s="2"/>
      <c r="NZ86" s="2"/>
      <c r="OA86" s="2"/>
      <c r="OB86" s="2"/>
      <c r="OC86" s="2"/>
      <c r="OD86" s="2"/>
      <c r="OE86" s="2"/>
      <c r="OF86" s="2"/>
      <c r="OG86" s="2"/>
      <c r="OH86" s="2"/>
      <c r="OI86" s="2"/>
      <c r="OJ86" s="2"/>
      <c r="OK86" s="2"/>
      <c r="OL86" s="2"/>
      <c r="OM86" s="2"/>
      <c r="ON86" s="2"/>
      <c r="OO86" s="2"/>
      <c r="OP86" s="2"/>
      <c r="OQ86" s="2"/>
      <c r="OR86" s="2"/>
      <c r="OS86" s="2"/>
      <c r="OT86" s="2"/>
      <c r="OU86" s="2"/>
      <c r="OV86" s="2"/>
      <c r="OW86" s="2"/>
      <c r="OX86" s="2"/>
      <c r="OY86" s="2"/>
      <c r="OZ86" s="2"/>
      <c r="PA86" s="2"/>
      <c r="PB86" s="2"/>
      <c r="PC86" s="2"/>
      <c r="PD86" s="2"/>
      <c r="PE86" s="2"/>
      <c r="PF86" s="2"/>
      <c r="PG86" s="2"/>
      <c r="PH86" s="2"/>
      <c r="PI86" s="2"/>
      <c r="PJ86" s="2"/>
      <c r="PK86" s="2"/>
      <c r="PL86" s="2"/>
      <c r="PM86" s="2"/>
      <c r="PN86" s="2"/>
      <c r="PO86" s="2"/>
      <c r="PP86" s="2"/>
      <c r="PQ86" s="2"/>
      <c r="PR86" s="2"/>
      <c r="PS86" s="2"/>
      <c r="PT86" s="2"/>
      <c r="PU86" s="2"/>
      <c r="PV86" s="2"/>
      <c r="PW86" s="2"/>
      <c r="PX86" s="2"/>
      <c r="PY86" s="2"/>
      <c r="PZ86" s="2"/>
      <c r="QA86" s="2"/>
      <c r="QB86" s="2"/>
      <c r="QC86" s="2"/>
      <c r="QD86" s="2"/>
      <c r="QE86" s="2"/>
      <c r="QF86" s="2"/>
      <c r="QG86" s="2"/>
      <c r="QH86" s="2"/>
      <c r="QI86" s="2"/>
      <c r="QJ86" s="2"/>
      <c r="QK86" s="2"/>
      <c r="QL86" s="2"/>
      <c r="QM86" s="2"/>
      <c r="QN86" s="2"/>
      <c r="QO86" s="2"/>
      <c r="QP86" s="2"/>
      <c r="QQ86" s="2"/>
      <c r="QR86" s="2"/>
      <c r="QS86" s="2"/>
      <c r="QT86" s="2"/>
      <c r="QU86" s="2"/>
      <c r="QV86" s="2"/>
      <c r="QW86" s="2"/>
      <c r="QX86" s="2"/>
      <c r="QY86" s="2"/>
      <c r="QZ86" s="2"/>
      <c r="RA86" s="2"/>
      <c r="RB86" s="2"/>
      <c r="RC86" s="2"/>
      <c r="RD86" s="2"/>
      <c r="RE86" s="2"/>
      <c r="RF86" s="2"/>
      <c r="RG86" s="2"/>
      <c r="RH86" s="2"/>
      <c r="RI86" s="2"/>
      <c r="RJ86" s="2"/>
      <c r="RK86" s="2"/>
      <c r="RL86" s="2"/>
      <c r="RM86" s="2"/>
      <c r="RN86" s="2"/>
      <c r="RO86" s="2"/>
      <c r="RP86" s="2"/>
      <c r="RQ86" s="2"/>
      <c r="RR86" s="2"/>
      <c r="RS86" s="2"/>
      <c r="RT86" s="2"/>
      <c r="RU86" s="2"/>
      <c r="RV86" s="2"/>
      <c r="RW86" s="2"/>
      <c r="RX86" s="2"/>
      <c r="RY86" s="2"/>
      <c r="RZ86" s="2"/>
      <c r="SA86" s="2"/>
      <c r="SB86" s="2"/>
      <c r="SC86" s="2"/>
      <c r="SD86" s="2"/>
      <c r="SE86" s="2"/>
      <c r="SF86" s="2"/>
      <c r="SG86" s="2"/>
      <c r="SH86" s="2"/>
      <c r="SI86" s="2"/>
      <c r="SJ86" s="2"/>
      <c r="SK86" s="2"/>
      <c r="SL86" s="2"/>
      <c r="SM86" s="2"/>
      <c r="SN86" s="2"/>
      <c r="SO86" s="2"/>
      <c r="SP86" s="2"/>
      <c r="SQ86" s="2"/>
      <c r="SR86" s="2"/>
      <c r="SS86" s="2"/>
      <c r="ST86" s="2"/>
      <c r="SU86" s="2"/>
      <c r="SV86" s="2"/>
      <c r="SW86" s="2"/>
      <c r="SX86" s="2"/>
    </row>
    <row r="87" spans="1:518" x14ac:dyDescent="0.25">
      <c r="B87" s="110" t="s">
        <v>181</v>
      </c>
      <c r="C87">
        <f>AVERAGE(C5,C19,C26,C33,C40,C47,C54,C61,C68)</f>
        <v>0</v>
      </c>
      <c r="D87">
        <f t="shared" ref="D87:AF87" si="58">AVERAGE(D5,D19,D26,D33,D40,D47,D54,D61,D68)</f>
        <v>0</v>
      </c>
      <c r="E87">
        <f t="shared" si="58"/>
        <v>0</v>
      </c>
      <c r="F87" t="e">
        <f>AVERAGE(#REF!,#REF!,#REF!,#REF!,F40,F47,F54,F61,F68)</f>
        <v>#REF!</v>
      </c>
      <c r="G87">
        <f t="shared" si="58"/>
        <v>0</v>
      </c>
      <c r="H87">
        <f t="shared" si="58"/>
        <v>0</v>
      </c>
      <c r="I87">
        <f t="shared" si="58"/>
        <v>0</v>
      </c>
      <c r="J87">
        <f t="shared" si="58"/>
        <v>0</v>
      </c>
      <c r="K87">
        <f t="shared" si="58"/>
        <v>0</v>
      </c>
      <c r="L87">
        <f t="shared" si="58"/>
        <v>0</v>
      </c>
      <c r="M87">
        <f t="shared" si="58"/>
        <v>0</v>
      </c>
      <c r="N87">
        <f t="shared" si="58"/>
        <v>0</v>
      </c>
      <c r="O87">
        <f t="shared" si="58"/>
        <v>0</v>
      </c>
      <c r="P87">
        <f t="shared" si="58"/>
        <v>47.76666666666668</v>
      </c>
      <c r="Q87">
        <f t="shared" si="58"/>
        <v>0</v>
      </c>
      <c r="R87">
        <f t="shared" si="58"/>
        <v>0</v>
      </c>
      <c r="S87">
        <f t="shared" si="58"/>
        <v>0</v>
      </c>
      <c r="T87">
        <f t="shared" si="58"/>
        <v>0</v>
      </c>
      <c r="U87">
        <f t="shared" si="58"/>
        <v>0</v>
      </c>
      <c r="V87">
        <f t="shared" si="58"/>
        <v>0</v>
      </c>
      <c r="W87">
        <f t="shared" si="58"/>
        <v>0</v>
      </c>
      <c r="X87">
        <f t="shared" si="58"/>
        <v>0</v>
      </c>
      <c r="Y87">
        <f t="shared" si="58"/>
        <v>0</v>
      </c>
      <c r="Z87">
        <f t="shared" si="58"/>
        <v>0</v>
      </c>
      <c r="AA87">
        <f t="shared" si="58"/>
        <v>0</v>
      </c>
      <c r="AB87">
        <f t="shared" si="58"/>
        <v>0</v>
      </c>
      <c r="AC87">
        <f t="shared" si="58"/>
        <v>0</v>
      </c>
      <c r="AD87" t="e">
        <f>AVERAGE(AD5,AD19,AD26,#REF!,AD40,AD47,AD54,AD61,AD68)</f>
        <v>#REF!</v>
      </c>
      <c r="AE87">
        <f t="shared" si="58"/>
        <v>0</v>
      </c>
      <c r="AF87">
        <f t="shared" si="58"/>
        <v>0</v>
      </c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  <c r="FK87" s="2"/>
      <c r="FL87" s="2"/>
      <c r="FM87" s="2"/>
      <c r="FN87" s="2"/>
      <c r="FO87" s="2"/>
      <c r="FP87" s="2"/>
      <c r="FQ87" s="2"/>
      <c r="FR87" s="2"/>
      <c r="FS87" s="2"/>
      <c r="FT87" s="2"/>
      <c r="FU87" s="2"/>
      <c r="FV87" s="2"/>
      <c r="FW87" s="2"/>
      <c r="FX87" s="2"/>
      <c r="FY87" s="2"/>
      <c r="FZ87" s="2"/>
      <c r="GA87" s="2"/>
      <c r="GB87" s="2"/>
      <c r="GC87" s="2"/>
      <c r="GD87" s="2"/>
      <c r="GE87" s="2"/>
      <c r="GF87" s="2"/>
      <c r="GG87" s="2"/>
      <c r="GH87" s="2"/>
      <c r="GI87" s="2"/>
      <c r="GJ87" s="2"/>
      <c r="GK87" s="2"/>
      <c r="GL87" s="2"/>
      <c r="GM87" s="2"/>
      <c r="GN87" s="2"/>
      <c r="GO87" s="2"/>
      <c r="GP87" s="2"/>
      <c r="GQ87" s="2"/>
      <c r="GR87" s="2"/>
      <c r="GS87" s="2"/>
      <c r="GT87" s="2"/>
      <c r="GU87" s="2"/>
      <c r="GV87" s="2"/>
      <c r="GW87" s="2"/>
      <c r="GX87" s="2"/>
      <c r="GY87" s="2"/>
      <c r="GZ87" s="2"/>
      <c r="HA87" s="2"/>
      <c r="HB87" s="2"/>
      <c r="HC87" s="2"/>
      <c r="HD87" s="2"/>
      <c r="HE87" s="2"/>
      <c r="HF87" s="2"/>
      <c r="HG87" s="2"/>
      <c r="HH87" s="2"/>
      <c r="HI87" s="2"/>
      <c r="HJ87" s="2"/>
      <c r="HK87" s="2"/>
      <c r="HL87" s="2"/>
      <c r="HM87" s="2"/>
      <c r="HN87" s="2"/>
      <c r="HO87" s="2"/>
      <c r="HP87" s="2"/>
      <c r="HQ87" s="2"/>
      <c r="HR87" s="2"/>
      <c r="HS87" s="2"/>
      <c r="HT87" s="2"/>
      <c r="HU87" s="2"/>
      <c r="HV87" s="2"/>
      <c r="HW87" s="2"/>
      <c r="HX87" s="2"/>
      <c r="HY87" s="2"/>
      <c r="HZ87" s="2"/>
      <c r="IA87" s="2"/>
      <c r="IB87" s="2"/>
      <c r="IC87" s="2"/>
      <c r="ID87" s="2"/>
      <c r="IE87" s="2"/>
      <c r="IF87" s="2"/>
      <c r="IG87" s="2"/>
      <c r="IH87" s="2"/>
      <c r="II87" s="2"/>
      <c r="IJ87" s="2"/>
      <c r="IK87" s="2"/>
      <c r="IL87" s="2"/>
      <c r="IM87" s="2"/>
      <c r="IN87" s="2"/>
      <c r="IO87" s="2"/>
      <c r="IP87" s="2"/>
      <c r="IQ87" s="2"/>
      <c r="IR87" s="2"/>
      <c r="IS87" s="2"/>
      <c r="IT87" s="2"/>
      <c r="IU87" s="2"/>
      <c r="IV87" s="2"/>
      <c r="IW87" s="2"/>
      <c r="IX87" s="2"/>
      <c r="IY87" s="2"/>
      <c r="IZ87" s="2"/>
      <c r="JA87" s="2"/>
      <c r="JB87" s="2"/>
      <c r="JC87" s="2"/>
      <c r="JD87" s="2"/>
      <c r="JE87" s="2"/>
      <c r="JF87" s="2"/>
      <c r="JG87" s="2"/>
      <c r="JH87" s="2"/>
      <c r="JI87" s="2"/>
      <c r="JJ87" s="2"/>
      <c r="JK87" s="2"/>
      <c r="JL87" s="2"/>
      <c r="JM87" s="2"/>
      <c r="JN87" s="2"/>
      <c r="JO87" s="2"/>
      <c r="JP87" s="2"/>
      <c r="JQ87" s="2"/>
      <c r="JR87" s="2"/>
      <c r="JS87" s="2"/>
      <c r="JT87" s="2"/>
      <c r="JU87" s="2"/>
      <c r="JV87" s="2"/>
      <c r="JW87" s="2"/>
      <c r="JX87" s="2"/>
      <c r="JY87" s="2"/>
      <c r="JZ87" s="2"/>
      <c r="KA87" s="2"/>
      <c r="KB87" s="2"/>
      <c r="KC87" s="2"/>
      <c r="KD87" s="2"/>
      <c r="KE87" s="2"/>
      <c r="KF87" s="2"/>
      <c r="KG87" s="2"/>
      <c r="KH87" s="2"/>
      <c r="KI87" s="2"/>
      <c r="KJ87" s="2"/>
      <c r="KK87" s="2"/>
      <c r="KL87" s="2"/>
      <c r="KM87" s="2"/>
      <c r="KN87" s="2"/>
      <c r="KO87" s="2"/>
      <c r="KP87" s="2"/>
      <c r="KQ87" s="2"/>
      <c r="KR87" s="2"/>
      <c r="KS87" s="2"/>
      <c r="KT87" s="2"/>
      <c r="KU87" s="2"/>
      <c r="KV87" s="2"/>
      <c r="KW87" s="2"/>
      <c r="KX87" s="2"/>
      <c r="KY87" s="2"/>
      <c r="KZ87" s="2"/>
      <c r="LA87" s="2"/>
      <c r="LB87" s="2"/>
      <c r="LC87" s="2"/>
      <c r="LD87" s="2"/>
      <c r="LE87" s="2"/>
      <c r="LF87" s="2"/>
      <c r="LG87" s="2"/>
      <c r="LH87" s="2"/>
      <c r="LI87" s="2"/>
      <c r="LJ87" s="2"/>
      <c r="LK87" s="2"/>
      <c r="LL87" s="2"/>
      <c r="LM87" s="2"/>
      <c r="LN87" s="2"/>
      <c r="LO87" s="2"/>
      <c r="LP87" s="2"/>
      <c r="LQ87" s="2"/>
      <c r="LR87" s="2"/>
      <c r="LS87" s="2"/>
      <c r="LT87" s="2"/>
      <c r="LU87" s="2"/>
      <c r="LV87" s="2"/>
      <c r="LW87" s="2"/>
      <c r="LX87" s="2"/>
      <c r="LY87" s="2"/>
      <c r="LZ87" s="2"/>
      <c r="MA87" s="2"/>
      <c r="MB87" s="2"/>
      <c r="MC87" s="2"/>
      <c r="MD87" s="2"/>
      <c r="ME87" s="2"/>
      <c r="MF87" s="2"/>
      <c r="MG87" s="2"/>
      <c r="MH87" s="2"/>
      <c r="MI87" s="2"/>
      <c r="MJ87" s="2"/>
      <c r="MK87" s="2"/>
      <c r="ML87" s="2"/>
      <c r="MM87" s="2"/>
      <c r="MN87" s="2"/>
      <c r="MO87" s="2"/>
      <c r="MP87" s="2"/>
      <c r="MQ87" s="2"/>
      <c r="MR87" s="2"/>
      <c r="MS87" s="2"/>
      <c r="MT87" s="2"/>
      <c r="MU87" s="2"/>
      <c r="MV87" s="2"/>
      <c r="MW87" s="2"/>
      <c r="MX87" s="2"/>
      <c r="MY87" s="2"/>
      <c r="MZ87" s="2"/>
      <c r="NA87" s="2"/>
      <c r="NB87" s="2"/>
      <c r="NC87" s="2"/>
      <c r="ND87" s="2"/>
      <c r="NE87" s="2"/>
      <c r="NF87" s="2"/>
      <c r="NG87" s="2"/>
      <c r="NH87" s="2"/>
      <c r="NI87" s="2"/>
      <c r="NJ87" s="2"/>
      <c r="NK87" s="2"/>
      <c r="NL87" s="2"/>
      <c r="NM87" s="2"/>
      <c r="NN87" s="2"/>
      <c r="NO87" s="2"/>
      <c r="NP87" s="2"/>
      <c r="NQ87" s="2"/>
      <c r="NR87" s="2"/>
      <c r="NS87" s="2"/>
      <c r="NT87" s="2"/>
      <c r="NU87" s="2"/>
      <c r="NV87" s="2"/>
      <c r="NW87" s="2"/>
      <c r="NX87" s="2"/>
      <c r="NY87" s="2"/>
      <c r="NZ87" s="2"/>
      <c r="OA87" s="2"/>
      <c r="OB87" s="2"/>
      <c r="OC87" s="2"/>
      <c r="OD87" s="2"/>
      <c r="OE87" s="2"/>
      <c r="OF87" s="2"/>
      <c r="OG87" s="2"/>
      <c r="OH87" s="2"/>
      <c r="OI87" s="2"/>
      <c r="OJ87" s="2"/>
      <c r="OK87" s="2"/>
      <c r="OL87" s="2"/>
      <c r="OM87" s="2"/>
      <c r="ON87" s="2"/>
      <c r="OO87" s="2"/>
      <c r="OP87" s="2"/>
      <c r="OQ87" s="2"/>
      <c r="OR87" s="2"/>
      <c r="OS87" s="2"/>
      <c r="OT87" s="2"/>
      <c r="OU87" s="2"/>
      <c r="OV87" s="2"/>
      <c r="OW87" s="2"/>
      <c r="OX87" s="2"/>
      <c r="OY87" s="2"/>
      <c r="OZ87" s="2"/>
      <c r="PA87" s="2"/>
      <c r="PB87" s="2"/>
      <c r="PC87" s="2"/>
      <c r="PD87" s="2"/>
      <c r="PE87" s="2"/>
      <c r="PF87" s="2"/>
      <c r="PG87" s="2"/>
      <c r="PH87" s="2"/>
      <c r="PI87" s="2"/>
      <c r="PJ87" s="2"/>
      <c r="PK87" s="2"/>
      <c r="PL87" s="2"/>
      <c r="PM87" s="2"/>
      <c r="PN87" s="2"/>
      <c r="PO87" s="2"/>
      <c r="PP87" s="2"/>
      <c r="PQ87" s="2"/>
      <c r="PR87" s="2"/>
      <c r="PS87" s="2"/>
      <c r="PT87" s="2"/>
      <c r="PU87" s="2"/>
      <c r="PV87" s="2"/>
      <c r="PW87" s="2"/>
      <c r="PX87" s="2"/>
      <c r="PY87" s="2"/>
      <c r="PZ87" s="2"/>
      <c r="QA87" s="2"/>
      <c r="QB87" s="2"/>
      <c r="QC87" s="2"/>
      <c r="QD87" s="2"/>
      <c r="QE87" s="2"/>
      <c r="QF87" s="2"/>
      <c r="QG87" s="2"/>
      <c r="QH87" s="2"/>
      <c r="QI87" s="2"/>
      <c r="QJ87" s="2"/>
      <c r="QK87" s="2"/>
      <c r="QL87" s="2"/>
      <c r="QM87" s="2"/>
      <c r="QN87" s="2"/>
      <c r="QO87" s="2"/>
      <c r="QP87" s="2"/>
      <c r="QQ87" s="2"/>
      <c r="QR87" s="2"/>
      <c r="QS87" s="2"/>
      <c r="QT87" s="2"/>
      <c r="QU87" s="2"/>
      <c r="QV87" s="2"/>
      <c r="QW87" s="2"/>
      <c r="QX87" s="2"/>
      <c r="QY87" s="2"/>
      <c r="QZ87" s="2"/>
      <c r="RA87" s="2"/>
      <c r="RB87" s="2"/>
      <c r="RC87" s="2"/>
      <c r="RD87" s="2"/>
      <c r="RE87" s="2"/>
      <c r="RF87" s="2"/>
      <c r="RG87" s="2"/>
      <c r="RH87" s="2"/>
      <c r="RI87" s="2"/>
      <c r="RJ87" s="2"/>
      <c r="RK87" s="2"/>
      <c r="RL87" s="2"/>
      <c r="RM87" s="2"/>
      <c r="RN87" s="2"/>
      <c r="RO87" s="2"/>
      <c r="RP87" s="2"/>
      <c r="RQ87" s="2"/>
      <c r="RR87" s="2"/>
      <c r="RS87" s="2"/>
      <c r="RT87" s="2"/>
      <c r="RU87" s="2"/>
      <c r="RV87" s="2"/>
      <c r="RW87" s="2"/>
      <c r="RX87" s="2"/>
      <c r="RY87" s="2"/>
      <c r="RZ87" s="2"/>
      <c r="SA87" s="2"/>
      <c r="SB87" s="2"/>
      <c r="SC87" s="2"/>
      <c r="SD87" s="2"/>
      <c r="SE87" s="2"/>
      <c r="SF87" s="2"/>
      <c r="SG87" s="2"/>
      <c r="SH87" s="2"/>
      <c r="SI87" s="2"/>
      <c r="SJ87" s="2"/>
      <c r="SK87" s="2"/>
      <c r="SL87" s="2"/>
      <c r="SM87" s="2"/>
      <c r="SN87" s="2"/>
      <c r="SO87" s="2"/>
      <c r="SP87" s="2"/>
      <c r="SQ87" s="2"/>
      <c r="SR87" s="2"/>
      <c r="SS87" s="2"/>
      <c r="ST87" s="2"/>
      <c r="SU87" s="2"/>
      <c r="SV87" s="2"/>
      <c r="SW87" s="2"/>
      <c r="SX87" s="2"/>
    </row>
    <row r="88" spans="1:518" x14ac:dyDescent="0.25"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  <c r="FK88" s="2"/>
      <c r="FL88" s="2"/>
      <c r="FM88" s="2"/>
      <c r="FN88" s="2"/>
      <c r="FO88" s="2"/>
      <c r="FP88" s="2"/>
      <c r="FQ88" s="2"/>
      <c r="FR88" s="2"/>
      <c r="FS88" s="2"/>
      <c r="FT88" s="2"/>
      <c r="FU88" s="2"/>
      <c r="FV88" s="2"/>
      <c r="FW88" s="2"/>
      <c r="FX88" s="2"/>
      <c r="FY88" s="2"/>
      <c r="FZ88" s="2"/>
      <c r="GA88" s="2"/>
      <c r="GB88" s="2"/>
      <c r="GC88" s="2"/>
      <c r="GD88" s="2"/>
      <c r="GE88" s="2"/>
      <c r="GF88" s="2"/>
      <c r="GG88" s="2"/>
      <c r="GH88" s="2"/>
      <c r="GI88" s="2"/>
      <c r="GJ88" s="2"/>
      <c r="GK88" s="2"/>
      <c r="GL88" s="2"/>
      <c r="GM88" s="2"/>
      <c r="GN88" s="2"/>
      <c r="GO88" s="2"/>
      <c r="GP88" s="2"/>
      <c r="GQ88" s="2"/>
      <c r="GR88" s="2"/>
      <c r="GS88" s="2"/>
      <c r="GT88" s="2"/>
      <c r="GU88" s="2"/>
      <c r="GV88" s="2"/>
      <c r="GW88" s="2"/>
      <c r="GX88" s="2"/>
      <c r="GY88" s="2"/>
      <c r="GZ88" s="2"/>
      <c r="HA88" s="2"/>
      <c r="HB88" s="2"/>
      <c r="HC88" s="2"/>
      <c r="HD88" s="2"/>
      <c r="HE88" s="2"/>
      <c r="HF88" s="2"/>
      <c r="HG88" s="2"/>
      <c r="HH88" s="2"/>
      <c r="HI88" s="2"/>
      <c r="HJ88" s="2"/>
      <c r="HK88" s="2"/>
      <c r="HL88" s="2"/>
      <c r="HM88" s="2"/>
      <c r="HN88" s="2"/>
      <c r="HO88" s="2"/>
      <c r="HP88" s="2"/>
      <c r="HQ88" s="2"/>
      <c r="HR88" s="2"/>
      <c r="HS88" s="2"/>
      <c r="HT88" s="2"/>
      <c r="HU88" s="2"/>
      <c r="HV88" s="2"/>
      <c r="HW88" s="2"/>
      <c r="HX88" s="2"/>
      <c r="HY88" s="2"/>
      <c r="HZ88" s="2"/>
      <c r="IA88" s="2"/>
      <c r="IB88" s="2"/>
      <c r="IC88" s="2"/>
      <c r="ID88" s="2"/>
      <c r="IE88" s="2"/>
      <c r="IF88" s="2"/>
      <c r="IG88" s="2"/>
      <c r="IH88" s="2"/>
      <c r="II88" s="2"/>
      <c r="IJ88" s="2"/>
      <c r="IK88" s="2"/>
      <c r="IL88" s="2"/>
      <c r="IM88" s="2"/>
      <c r="IN88" s="2"/>
      <c r="IO88" s="2"/>
      <c r="IP88" s="2"/>
      <c r="IQ88" s="2"/>
      <c r="IR88" s="2"/>
      <c r="IS88" s="2"/>
      <c r="IT88" s="2"/>
      <c r="IU88" s="2"/>
      <c r="IV88" s="2"/>
      <c r="IW88" s="2"/>
      <c r="IX88" s="2"/>
      <c r="IY88" s="2"/>
      <c r="IZ88" s="2"/>
      <c r="JA88" s="2"/>
      <c r="JB88" s="2"/>
      <c r="JC88" s="2"/>
      <c r="JD88" s="2"/>
      <c r="JE88" s="2"/>
      <c r="JF88" s="2"/>
      <c r="JG88" s="2"/>
      <c r="JH88" s="2"/>
      <c r="JI88" s="2"/>
      <c r="JJ88" s="2"/>
      <c r="JK88" s="2"/>
      <c r="JL88" s="2"/>
      <c r="JM88" s="2"/>
      <c r="JN88" s="2"/>
      <c r="JO88" s="2"/>
      <c r="JP88" s="2"/>
      <c r="JQ88" s="2"/>
      <c r="JR88" s="2"/>
      <c r="JS88" s="2"/>
      <c r="JT88" s="2"/>
      <c r="JU88" s="2"/>
      <c r="JV88" s="2"/>
      <c r="JW88" s="2"/>
      <c r="JX88" s="2"/>
      <c r="JY88" s="2"/>
      <c r="JZ88" s="2"/>
      <c r="KA88" s="2"/>
      <c r="KB88" s="2"/>
      <c r="KC88" s="2"/>
      <c r="KD88" s="2"/>
      <c r="KE88" s="2"/>
      <c r="KF88" s="2"/>
      <c r="KG88" s="2"/>
      <c r="KH88" s="2"/>
      <c r="KI88" s="2"/>
      <c r="KJ88" s="2"/>
      <c r="KK88" s="2"/>
      <c r="KL88" s="2"/>
      <c r="KM88" s="2"/>
      <c r="KN88" s="2"/>
      <c r="KO88" s="2"/>
      <c r="KP88" s="2"/>
      <c r="KQ88" s="2"/>
      <c r="KR88" s="2"/>
      <c r="KS88" s="2"/>
      <c r="KT88" s="2"/>
      <c r="KU88" s="2"/>
      <c r="KV88" s="2"/>
      <c r="KW88" s="2"/>
      <c r="KX88" s="2"/>
      <c r="KY88" s="2"/>
      <c r="KZ88" s="2"/>
      <c r="LA88" s="2"/>
      <c r="LB88" s="2"/>
      <c r="LC88" s="2"/>
      <c r="LD88" s="2"/>
      <c r="LE88" s="2"/>
      <c r="LF88" s="2"/>
      <c r="LG88" s="2"/>
      <c r="LH88" s="2"/>
      <c r="LI88" s="2"/>
      <c r="LJ88" s="2"/>
      <c r="LK88" s="2"/>
      <c r="LL88" s="2"/>
      <c r="LM88" s="2"/>
      <c r="LN88" s="2"/>
      <c r="LO88" s="2"/>
      <c r="LP88" s="2"/>
      <c r="LQ88" s="2"/>
      <c r="LR88" s="2"/>
      <c r="LS88" s="2"/>
      <c r="LT88" s="2"/>
      <c r="LU88" s="2"/>
      <c r="LV88" s="2"/>
      <c r="LW88" s="2"/>
      <c r="LX88" s="2"/>
      <c r="LY88" s="2"/>
      <c r="LZ88" s="2"/>
      <c r="MA88" s="2"/>
      <c r="MB88" s="2"/>
      <c r="MC88" s="2"/>
      <c r="MD88" s="2"/>
      <c r="ME88" s="2"/>
      <c r="MF88" s="2"/>
      <c r="MG88" s="2"/>
      <c r="MH88" s="2"/>
      <c r="MI88" s="2"/>
      <c r="MJ88" s="2"/>
      <c r="MK88" s="2"/>
      <c r="ML88" s="2"/>
      <c r="MM88" s="2"/>
      <c r="MN88" s="2"/>
      <c r="MO88" s="2"/>
      <c r="MP88" s="2"/>
      <c r="MQ88" s="2"/>
      <c r="MR88" s="2"/>
      <c r="MS88" s="2"/>
      <c r="MT88" s="2"/>
      <c r="MU88" s="2"/>
      <c r="MV88" s="2"/>
      <c r="MW88" s="2"/>
      <c r="MX88" s="2"/>
      <c r="MY88" s="2"/>
      <c r="MZ88" s="2"/>
      <c r="NA88" s="2"/>
      <c r="NB88" s="2"/>
      <c r="NC88" s="2"/>
      <c r="ND88" s="2"/>
      <c r="NE88" s="2"/>
      <c r="NF88" s="2"/>
      <c r="NG88" s="2"/>
      <c r="NH88" s="2"/>
      <c r="NI88" s="2"/>
      <c r="NJ88" s="2"/>
      <c r="NK88" s="2"/>
      <c r="NL88" s="2"/>
      <c r="NM88" s="2"/>
      <c r="NN88" s="2"/>
      <c r="NO88" s="2"/>
      <c r="NP88" s="2"/>
      <c r="NQ88" s="2"/>
      <c r="NR88" s="2"/>
      <c r="NS88" s="2"/>
      <c r="NT88" s="2"/>
      <c r="NU88" s="2"/>
      <c r="NV88" s="2"/>
      <c r="NW88" s="2"/>
      <c r="NX88" s="2"/>
      <c r="NY88" s="2"/>
      <c r="NZ88" s="2"/>
      <c r="OA88" s="2"/>
      <c r="OB88" s="2"/>
      <c r="OC88" s="2"/>
      <c r="OD88" s="2"/>
      <c r="OE88" s="2"/>
      <c r="OF88" s="2"/>
      <c r="OG88" s="2"/>
      <c r="OH88" s="2"/>
      <c r="OI88" s="2"/>
      <c r="OJ88" s="2"/>
      <c r="OK88" s="2"/>
      <c r="OL88" s="2"/>
      <c r="OM88" s="2"/>
      <c r="ON88" s="2"/>
      <c r="OO88" s="2"/>
      <c r="OP88" s="2"/>
      <c r="OQ88" s="2"/>
      <c r="OR88" s="2"/>
      <c r="OS88" s="2"/>
      <c r="OT88" s="2"/>
      <c r="OU88" s="2"/>
      <c r="OV88" s="2"/>
      <c r="OW88" s="2"/>
      <c r="OX88" s="2"/>
      <c r="OY88" s="2"/>
      <c r="OZ88" s="2"/>
      <c r="PA88" s="2"/>
      <c r="PB88" s="2"/>
      <c r="PC88" s="2"/>
      <c r="PD88" s="2"/>
      <c r="PE88" s="2"/>
      <c r="PF88" s="2"/>
      <c r="PG88" s="2"/>
      <c r="PH88" s="2"/>
      <c r="PI88" s="2"/>
      <c r="PJ88" s="2"/>
      <c r="PK88" s="2"/>
      <c r="PL88" s="2"/>
      <c r="PM88" s="2"/>
      <c r="PN88" s="2"/>
      <c r="PO88" s="2"/>
      <c r="PP88" s="2"/>
      <c r="PQ88" s="2"/>
      <c r="PR88" s="2"/>
      <c r="PS88" s="2"/>
      <c r="PT88" s="2"/>
      <c r="PU88" s="2"/>
      <c r="PV88" s="2"/>
      <c r="PW88" s="2"/>
      <c r="PX88" s="2"/>
      <c r="PY88" s="2"/>
      <c r="PZ88" s="2"/>
      <c r="QA88" s="2"/>
      <c r="QB88" s="2"/>
      <c r="QC88" s="2"/>
      <c r="QD88" s="2"/>
      <c r="QE88" s="2"/>
      <c r="QF88" s="2"/>
      <c r="QG88" s="2"/>
      <c r="QH88" s="2"/>
      <c r="QI88" s="2"/>
      <c r="QJ88" s="2"/>
      <c r="QK88" s="2"/>
      <c r="QL88" s="2"/>
      <c r="QM88" s="2"/>
      <c r="QN88" s="2"/>
      <c r="QO88" s="2"/>
      <c r="QP88" s="2"/>
      <c r="QQ88" s="2"/>
      <c r="QR88" s="2"/>
      <c r="QS88" s="2"/>
      <c r="QT88" s="2"/>
      <c r="QU88" s="2"/>
      <c r="QV88" s="2"/>
      <c r="QW88" s="2"/>
      <c r="QX88" s="2"/>
      <c r="QY88" s="2"/>
      <c r="QZ88" s="2"/>
      <c r="RA88" s="2"/>
      <c r="RB88" s="2"/>
      <c r="RC88" s="2"/>
      <c r="RD88" s="2"/>
      <c r="RE88" s="2"/>
      <c r="RF88" s="2"/>
      <c r="RG88" s="2"/>
      <c r="RH88" s="2"/>
      <c r="RI88" s="2"/>
      <c r="RJ88" s="2"/>
      <c r="RK88" s="2"/>
      <c r="RL88" s="2"/>
      <c r="RM88" s="2"/>
      <c r="RN88" s="2"/>
      <c r="RO88" s="2"/>
      <c r="RP88" s="2"/>
      <c r="RQ88" s="2"/>
      <c r="RR88" s="2"/>
      <c r="RS88" s="2"/>
      <c r="RT88" s="2"/>
      <c r="RU88" s="2"/>
      <c r="RV88" s="2"/>
      <c r="RW88" s="2"/>
      <c r="RX88" s="2"/>
      <c r="RY88" s="2"/>
      <c r="RZ88" s="2"/>
      <c r="SA88" s="2"/>
      <c r="SB88" s="2"/>
      <c r="SC88" s="2"/>
      <c r="SD88" s="2"/>
      <c r="SE88" s="2"/>
      <c r="SF88" s="2"/>
      <c r="SG88" s="2"/>
      <c r="SH88" s="2"/>
      <c r="SI88" s="2"/>
      <c r="SJ88" s="2"/>
      <c r="SK88" s="2"/>
      <c r="SL88" s="2"/>
      <c r="SM88" s="2"/>
      <c r="SN88" s="2"/>
      <c r="SO88" s="2"/>
      <c r="SP88" s="2"/>
      <c r="SQ88" s="2"/>
      <c r="SR88" s="2"/>
      <c r="SS88" s="2"/>
      <c r="ST88" s="2"/>
      <c r="SU88" s="2"/>
      <c r="SV88" s="2"/>
      <c r="SW88" s="2"/>
      <c r="SX88" s="2"/>
    </row>
    <row r="89" spans="1:518" x14ac:dyDescent="0.25">
      <c r="Q89">
        <f>Q86/2</f>
        <v>13.816666666666668</v>
      </c>
      <c r="T89">
        <f>T86/2</f>
        <v>80.862777777777779</v>
      </c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  <c r="FK89" s="2"/>
      <c r="FL89" s="2"/>
      <c r="FM89" s="2"/>
      <c r="FN89" s="2"/>
      <c r="FO89" s="2"/>
      <c r="FP89" s="2"/>
      <c r="FQ89" s="2"/>
      <c r="FR89" s="2"/>
      <c r="FS89" s="2"/>
      <c r="FT89" s="2"/>
      <c r="FU89" s="2"/>
      <c r="FV89" s="2"/>
      <c r="FW89" s="2"/>
      <c r="FX89" s="2"/>
      <c r="FY89" s="2"/>
      <c r="FZ89" s="2"/>
      <c r="GA89" s="2"/>
      <c r="GB89" s="2"/>
      <c r="GC89" s="2"/>
      <c r="GD89" s="2"/>
      <c r="GE89" s="2"/>
      <c r="GF89" s="2"/>
      <c r="GG89" s="2"/>
      <c r="GH89" s="2"/>
      <c r="GI89" s="2"/>
      <c r="GJ89" s="2"/>
      <c r="GK89" s="2"/>
      <c r="GL89" s="2"/>
      <c r="GM89" s="2"/>
      <c r="GN89" s="2"/>
      <c r="GO89" s="2"/>
      <c r="GP89" s="2"/>
      <c r="GQ89" s="2"/>
      <c r="GR89" s="2"/>
      <c r="GS89" s="2"/>
      <c r="GT89" s="2"/>
      <c r="GU89" s="2"/>
      <c r="GV89" s="2"/>
      <c r="GW89" s="2"/>
      <c r="GX89" s="2"/>
      <c r="GY89" s="2"/>
      <c r="GZ89" s="2"/>
      <c r="HA89" s="2"/>
      <c r="HB89" s="2"/>
      <c r="HC89" s="2"/>
      <c r="HD89" s="2"/>
      <c r="HE89" s="2"/>
      <c r="HF89" s="2"/>
      <c r="HG89" s="2"/>
      <c r="HH89" s="2"/>
      <c r="HI89" s="2"/>
      <c r="HJ89" s="2"/>
      <c r="HK89" s="2"/>
      <c r="HL89" s="2"/>
      <c r="HM89" s="2"/>
      <c r="HN89" s="2"/>
      <c r="HO89" s="2"/>
      <c r="HP89" s="2"/>
      <c r="HQ89" s="2"/>
      <c r="HR89" s="2"/>
      <c r="HS89" s="2"/>
      <c r="HT89" s="2"/>
      <c r="HU89" s="2"/>
      <c r="HV89" s="2"/>
      <c r="HW89" s="2"/>
      <c r="HX89" s="2"/>
      <c r="HY89" s="2"/>
      <c r="HZ89" s="2"/>
      <c r="IA89" s="2"/>
      <c r="IB89" s="2"/>
      <c r="IC89" s="2"/>
      <c r="ID89" s="2"/>
      <c r="IE89" s="2"/>
      <c r="IF89" s="2"/>
      <c r="IG89" s="2"/>
      <c r="IH89" s="2"/>
      <c r="II89" s="2"/>
      <c r="IJ89" s="2"/>
      <c r="IK89" s="2"/>
      <c r="IL89" s="2"/>
      <c r="IM89" s="2"/>
      <c r="IN89" s="2"/>
      <c r="IO89" s="2"/>
      <c r="IP89" s="2"/>
      <c r="IQ89" s="2"/>
      <c r="IR89" s="2"/>
      <c r="IS89" s="2"/>
      <c r="IT89" s="2"/>
      <c r="IU89" s="2"/>
      <c r="IV89" s="2"/>
      <c r="IW89" s="2"/>
      <c r="IX89" s="2"/>
      <c r="IY89" s="2"/>
      <c r="IZ89" s="2"/>
      <c r="JA89" s="2"/>
      <c r="JB89" s="2"/>
      <c r="JC89" s="2"/>
      <c r="JD89" s="2"/>
      <c r="JE89" s="2"/>
      <c r="JF89" s="2"/>
      <c r="JG89" s="2"/>
      <c r="JH89" s="2"/>
      <c r="JI89" s="2"/>
      <c r="JJ89" s="2"/>
      <c r="JK89" s="2"/>
      <c r="JL89" s="2"/>
      <c r="JM89" s="2"/>
      <c r="JN89" s="2"/>
      <c r="JO89" s="2"/>
      <c r="JP89" s="2"/>
      <c r="JQ89" s="2"/>
      <c r="JR89" s="2"/>
      <c r="JS89" s="2"/>
      <c r="JT89" s="2"/>
      <c r="JU89" s="2"/>
      <c r="JV89" s="2"/>
      <c r="JW89" s="2"/>
      <c r="JX89" s="2"/>
      <c r="JY89" s="2"/>
      <c r="JZ89" s="2"/>
      <c r="KA89" s="2"/>
      <c r="KB89" s="2"/>
      <c r="KC89" s="2"/>
      <c r="KD89" s="2"/>
      <c r="KE89" s="2"/>
      <c r="KF89" s="2"/>
      <c r="KG89" s="2"/>
      <c r="KH89" s="2"/>
      <c r="KI89" s="2"/>
      <c r="KJ89" s="2"/>
      <c r="KK89" s="2"/>
      <c r="KL89" s="2"/>
      <c r="KM89" s="2"/>
      <c r="KN89" s="2"/>
      <c r="KO89" s="2"/>
      <c r="KP89" s="2"/>
      <c r="KQ89" s="2"/>
      <c r="KR89" s="2"/>
      <c r="KS89" s="2"/>
      <c r="KT89" s="2"/>
      <c r="KU89" s="2"/>
      <c r="KV89" s="2"/>
      <c r="KW89" s="2"/>
      <c r="KX89" s="2"/>
      <c r="KY89" s="2"/>
      <c r="KZ89" s="2"/>
      <c r="LA89" s="2"/>
      <c r="LB89" s="2"/>
      <c r="LC89" s="2"/>
      <c r="LD89" s="2"/>
      <c r="LE89" s="2"/>
      <c r="LF89" s="2"/>
      <c r="LG89" s="2"/>
      <c r="LH89" s="2"/>
      <c r="LI89" s="2"/>
      <c r="LJ89" s="2"/>
      <c r="LK89" s="2"/>
      <c r="LL89" s="2"/>
      <c r="LM89" s="2"/>
      <c r="LN89" s="2"/>
      <c r="LO89" s="2"/>
      <c r="LP89" s="2"/>
      <c r="LQ89" s="2"/>
      <c r="LR89" s="2"/>
      <c r="LS89" s="2"/>
      <c r="LT89" s="2"/>
      <c r="LU89" s="2"/>
      <c r="LV89" s="2"/>
      <c r="LW89" s="2"/>
      <c r="LX89" s="2"/>
      <c r="LY89" s="2"/>
      <c r="LZ89" s="2"/>
      <c r="MA89" s="2"/>
      <c r="MB89" s="2"/>
      <c r="MC89" s="2"/>
      <c r="MD89" s="2"/>
      <c r="ME89" s="2"/>
      <c r="MF89" s="2"/>
      <c r="MG89" s="2"/>
      <c r="MH89" s="2"/>
      <c r="MI89" s="2"/>
      <c r="MJ89" s="2"/>
      <c r="MK89" s="2"/>
      <c r="ML89" s="2"/>
      <c r="MM89" s="2"/>
      <c r="MN89" s="2"/>
      <c r="MO89" s="2"/>
      <c r="MP89" s="2"/>
      <c r="MQ89" s="2"/>
      <c r="MR89" s="2"/>
      <c r="MS89" s="2"/>
      <c r="MT89" s="2"/>
      <c r="MU89" s="2"/>
      <c r="MV89" s="2"/>
      <c r="MW89" s="2"/>
      <c r="MX89" s="2"/>
      <c r="MY89" s="2"/>
      <c r="MZ89" s="2"/>
      <c r="NA89" s="2"/>
      <c r="NB89" s="2"/>
      <c r="NC89" s="2"/>
      <c r="ND89" s="2"/>
      <c r="NE89" s="2"/>
      <c r="NF89" s="2"/>
      <c r="NG89" s="2"/>
      <c r="NH89" s="2"/>
      <c r="NI89" s="2"/>
      <c r="NJ89" s="2"/>
      <c r="NK89" s="2"/>
      <c r="NL89" s="2"/>
      <c r="NM89" s="2"/>
      <c r="NN89" s="2"/>
      <c r="NO89" s="2"/>
      <c r="NP89" s="2"/>
      <c r="NQ89" s="2"/>
      <c r="NR89" s="2"/>
      <c r="NS89" s="2"/>
      <c r="NT89" s="2"/>
      <c r="NU89" s="2"/>
      <c r="NV89" s="2"/>
      <c r="NW89" s="2"/>
      <c r="NX89" s="2"/>
      <c r="NY89" s="2"/>
      <c r="NZ89" s="2"/>
      <c r="OA89" s="2"/>
      <c r="OB89" s="2"/>
      <c r="OC89" s="2"/>
      <c r="OD89" s="2"/>
      <c r="OE89" s="2"/>
      <c r="OF89" s="2"/>
      <c r="OG89" s="2"/>
      <c r="OH89" s="2"/>
      <c r="OI89" s="2"/>
      <c r="OJ89" s="2"/>
      <c r="OK89" s="2"/>
      <c r="OL89" s="2"/>
      <c r="OM89" s="2"/>
      <c r="ON89" s="2"/>
      <c r="OO89" s="2"/>
      <c r="OP89" s="2"/>
      <c r="OQ89" s="2"/>
      <c r="OR89" s="2"/>
      <c r="OS89" s="2"/>
      <c r="OT89" s="2"/>
      <c r="OU89" s="2"/>
      <c r="OV89" s="2"/>
      <c r="OW89" s="2"/>
      <c r="OX89" s="2"/>
      <c r="OY89" s="2"/>
      <c r="OZ89" s="2"/>
      <c r="PA89" s="2"/>
      <c r="PB89" s="2"/>
      <c r="PC89" s="2"/>
      <c r="PD89" s="2"/>
      <c r="PE89" s="2"/>
      <c r="PF89" s="2"/>
      <c r="PG89" s="2"/>
      <c r="PH89" s="2"/>
      <c r="PI89" s="2"/>
      <c r="PJ89" s="2"/>
      <c r="PK89" s="2"/>
      <c r="PL89" s="2"/>
      <c r="PM89" s="2"/>
      <c r="PN89" s="2"/>
      <c r="PO89" s="2"/>
      <c r="PP89" s="2"/>
      <c r="PQ89" s="2"/>
      <c r="PR89" s="2"/>
      <c r="PS89" s="2"/>
      <c r="PT89" s="2"/>
      <c r="PU89" s="2"/>
      <c r="PV89" s="2"/>
      <c r="PW89" s="2"/>
      <c r="PX89" s="2"/>
      <c r="PY89" s="2"/>
      <c r="PZ89" s="2"/>
      <c r="QA89" s="2"/>
      <c r="QB89" s="2"/>
      <c r="QC89" s="2"/>
      <c r="QD89" s="2"/>
      <c r="QE89" s="2"/>
      <c r="QF89" s="2"/>
      <c r="QG89" s="2"/>
      <c r="QH89" s="2"/>
      <c r="QI89" s="2"/>
      <c r="QJ89" s="2"/>
      <c r="QK89" s="2"/>
      <c r="QL89" s="2"/>
      <c r="QM89" s="2"/>
      <c r="QN89" s="2"/>
      <c r="QO89" s="2"/>
      <c r="QP89" s="2"/>
      <c r="QQ89" s="2"/>
      <c r="QR89" s="2"/>
      <c r="QS89" s="2"/>
      <c r="QT89" s="2"/>
      <c r="QU89" s="2"/>
      <c r="QV89" s="2"/>
      <c r="QW89" s="2"/>
      <c r="QX89" s="2"/>
      <c r="QY89" s="2"/>
      <c r="QZ89" s="2"/>
      <c r="RA89" s="2"/>
      <c r="RB89" s="2"/>
      <c r="RC89" s="2"/>
      <c r="RD89" s="2"/>
      <c r="RE89" s="2"/>
      <c r="RF89" s="2"/>
      <c r="RG89" s="2"/>
      <c r="RH89" s="2"/>
      <c r="RI89" s="2"/>
      <c r="RJ89" s="2"/>
      <c r="RK89" s="2"/>
      <c r="RL89" s="2"/>
      <c r="RM89" s="2"/>
      <c r="RN89" s="2"/>
      <c r="RO89" s="2"/>
      <c r="RP89" s="2"/>
      <c r="RQ89" s="2"/>
      <c r="RR89" s="2"/>
      <c r="RS89" s="2"/>
      <c r="RT89" s="2"/>
      <c r="RU89" s="2"/>
      <c r="RV89" s="2"/>
      <c r="RW89" s="2"/>
      <c r="RX89" s="2"/>
      <c r="RY89" s="2"/>
      <c r="RZ89" s="2"/>
      <c r="SA89" s="2"/>
      <c r="SB89" s="2"/>
      <c r="SC89" s="2"/>
      <c r="SD89" s="2"/>
      <c r="SE89" s="2"/>
      <c r="SF89" s="2"/>
      <c r="SG89" s="2"/>
      <c r="SH89" s="2"/>
      <c r="SI89" s="2"/>
      <c r="SJ89" s="2"/>
      <c r="SK89" s="2"/>
      <c r="SL89" s="2"/>
      <c r="SM89" s="2"/>
      <c r="SN89" s="2"/>
      <c r="SO89" s="2"/>
      <c r="SP89" s="2"/>
      <c r="SQ89" s="2"/>
      <c r="SR89" s="2"/>
      <c r="SS89" s="2"/>
      <c r="ST89" s="2"/>
      <c r="SU89" s="2"/>
      <c r="SV89" s="2"/>
      <c r="SW89" s="2"/>
      <c r="SX89" s="2"/>
    </row>
    <row r="90" spans="1:518" x14ac:dyDescent="0.25"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  <c r="FK90" s="2"/>
      <c r="FL90" s="2"/>
      <c r="FM90" s="2"/>
      <c r="FN90" s="2"/>
      <c r="FO90" s="2"/>
      <c r="FP90" s="2"/>
      <c r="FQ90" s="2"/>
      <c r="FR90" s="2"/>
      <c r="FS90" s="2"/>
      <c r="FT90" s="2"/>
      <c r="FU90" s="2"/>
      <c r="FV90" s="2"/>
      <c r="FW90" s="2"/>
      <c r="FX90" s="2"/>
      <c r="FY90" s="2"/>
      <c r="FZ90" s="2"/>
      <c r="GA90" s="2"/>
      <c r="GB90" s="2"/>
      <c r="GC90" s="2"/>
      <c r="GD90" s="2"/>
      <c r="GE90" s="2"/>
      <c r="GF90" s="2"/>
      <c r="GG90" s="2"/>
      <c r="GH90" s="2"/>
      <c r="GI90" s="2"/>
      <c r="GJ90" s="2"/>
      <c r="GK90" s="2"/>
      <c r="GL90" s="2"/>
      <c r="GM90" s="2"/>
      <c r="GN90" s="2"/>
      <c r="GO90" s="2"/>
      <c r="GP90" s="2"/>
      <c r="GQ90" s="2"/>
      <c r="GR90" s="2"/>
      <c r="GS90" s="2"/>
      <c r="GT90" s="2"/>
      <c r="GU90" s="2"/>
      <c r="GV90" s="2"/>
      <c r="GW90" s="2"/>
      <c r="GX90" s="2"/>
      <c r="GY90" s="2"/>
      <c r="GZ90" s="2"/>
      <c r="HA90" s="2"/>
      <c r="HB90" s="2"/>
      <c r="HC90" s="2"/>
      <c r="HD90" s="2"/>
      <c r="HE90" s="2"/>
      <c r="HF90" s="2"/>
      <c r="HG90" s="2"/>
      <c r="HH90" s="2"/>
      <c r="HI90" s="2"/>
      <c r="HJ90" s="2"/>
      <c r="HK90" s="2"/>
      <c r="HL90" s="2"/>
      <c r="HM90" s="2"/>
      <c r="HN90" s="2"/>
      <c r="HO90" s="2"/>
      <c r="HP90" s="2"/>
      <c r="HQ90" s="2"/>
      <c r="HR90" s="2"/>
      <c r="HS90" s="2"/>
      <c r="HT90" s="2"/>
      <c r="HU90" s="2"/>
      <c r="HV90" s="2"/>
      <c r="HW90" s="2"/>
      <c r="HX90" s="2"/>
      <c r="HY90" s="2"/>
      <c r="HZ90" s="2"/>
      <c r="IA90" s="2"/>
      <c r="IB90" s="2"/>
      <c r="IC90" s="2"/>
      <c r="ID90" s="2"/>
      <c r="IE90" s="2"/>
      <c r="IF90" s="2"/>
      <c r="IG90" s="2"/>
      <c r="IH90" s="2"/>
      <c r="II90" s="2"/>
      <c r="IJ90" s="2"/>
      <c r="IK90" s="2"/>
      <c r="IL90" s="2"/>
      <c r="IM90" s="2"/>
      <c r="IN90" s="2"/>
      <c r="IO90" s="2"/>
      <c r="IP90" s="2"/>
      <c r="IQ90" s="2"/>
      <c r="IR90" s="2"/>
      <c r="IS90" s="2"/>
      <c r="IT90" s="2"/>
      <c r="IU90" s="2"/>
      <c r="IV90" s="2"/>
      <c r="IW90" s="2"/>
      <c r="IX90" s="2"/>
      <c r="IY90" s="2"/>
      <c r="IZ90" s="2"/>
      <c r="JA90" s="2"/>
      <c r="JB90" s="2"/>
      <c r="JC90" s="2"/>
      <c r="JD90" s="2"/>
      <c r="JE90" s="2"/>
      <c r="JF90" s="2"/>
      <c r="JG90" s="2"/>
      <c r="JH90" s="2"/>
      <c r="JI90" s="2"/>
      <c r="JJ90" s="2"/>
      <c r="JK90" s="2"/>
      <c r="JL90" s="2"/>
      <c r="JM90" s="2"/>
      <c r="JN90" s="2"/>
      <c r="JO90" s="2"/>
      <c r="JP90" s="2"/>
      <c r="JQ90" s="2"/>
      <c r="JR90" s="2"/>
      <c r="JS90" s="2"/>
      <c r="JT90" s="2"/>
      <c r="JU90" s="2"/>
      <c r="JV90" s="2"/>
      <c r="JW90" s="2"/>
      <c r="JX90" s="2"/>
      <c r="JY90" s="2"/>
      <c r="JZ90" s="2"/>
      <c r="KA90" s="2"/>
      <c r="KB90" s="2"/>
      <c r="KC90" s="2"/>
      <c r="KD90" s="2"/>
      <c r="KE90" s="2"/>
      <c r="KF90" s="2"/>
      <c r="KG90" s="2"/>
      <c r="KH90" s="2"/>
      <c r="KI90" s="2"/>
      <c r="KJ90" s="2"/>
      <c r="KK90" s="2"/>
      <c r="KL90" s="2"/>
      <c r="KM90" s="2"/>
      <c r="KN90" s="2"/>
      <c r="KO90" s="2"/>
      <c r="KP90" s="2"/>
      <c r="KQ90" s="2"/>
      <c r="KR90" s="2"/>
      <c r="KS90" s="2"/>
      <c r="KT90" s="2"/>
      <c r="KU90" s="2"/>
      <c r="KV90" s="2"/>
      <c r="KW90" s="2"/>
      <c r="KX90" s="2"/>
      <c r="KY90" s="2"/>
      <c r="KZ90" s="2"/>
      <c r="LA90" s="2"/>
      <c r="LB90" s="2"/>
      <c r="LC90" s="2"/>
      <c r="LD90" s="2"/>
      <c r="LE90" s="2"/>
      <c r="LF90" s="2"/>
      <c r="LG90" s="2"/>
      <c r="LH90" s="2"/>
      <c r="LI90" s="2"/>
      <c r="LJ90" s="2"/>
      <c r="LK90" s="2"/>
      <c r="LL90" s="2"/>
      <c r="LM90" s="2"/>
      <c r="LN90" s="2"/>
      <c r="LO90" s="2"/>
      <c r="LP90" s="2"/>
      <c r="LQ90" s="2"/>
      <c r="LR90" s="2"/>
      <c r="LS90" s="2"/>
      <c r="LT90" s="2"/>
      <c r="LU90" s="2"/>
      <c r="LV90" s="2"/>
      <c r="LW90" s="2"/>
      <c r="LX90" s="2"/>
      <c r="LY90" s="2"/>
      <c r="LZ90" s="2"/>
      <c r="MA90" s="2"/>
      <c r="MB90" s="2"/>
      <c r="MC90" s="2"/>
      <c r="MD90" s="2"/>
      <c r="ME90" s="2"/>
      <c r="MF90" s="2"/>
      <c r="MG90" s="2"/>
      <c r="MH90" s="2"/>
      <c r="MI90" s="2"/>
      <c r="MJ90" s="2"/>
      <c r="MK90" s="2"/>
      <c r="ML90" s="2"/>
      <c r="MM90" s="2"/>
      <c r="MN90" s="2"/>
      <c r="MO90" s="2"/>
      <c r="MP90" s="2"/>
      <c r="MQ90" s="2"/>
      <c r="MR90" s="2"/>
      <c r="MS90" s="2"/>
      <c r="MT90" s="2"/>
      <c r="MU90" s="2"/>
      <c r="MV90" s="2"/>
      <c r="MW90" s="2"/>
      <c r="MX90" s="2"/>
      <c r="MY90" s="2"/>
      <c r="MZ90" s="2"/>
      <c r="NA90" s="2"/>
      <c r="NB90" s="2"/>
      <c r="NC90" s="2"/>
      <c r="ND90" s="2"/>
      <c r="NE90" s="2"/>
      <c r="NF90" s="2"/>
      <c r="NG90" s="2"/>
      <c r="NH90" s="2"/>
      <c r="NI90" s="2"/>
      <c r="NJ90" s="2"/>
      <c r="NK90" s="2"/>
      <c r="NL90" s="2"/>
      <c r="NM90" s="2"/>
      <c r="NN90" s="2"/>
      <c r="NO90" s="2"/>
      <c r="NP90" s="2"/>
      <c r="NQ90" s="2"/>
      <c r="NR90" s="2"/>
      <c r="NS90" s="2"/>
      <c r="NT90" s="2"/>
      <c r="NU90" s="2"/>
      <c r="NV90" s="2"/>
      <c r="NW90" s="2"/>
      <c r="NX90" s="2"/>
      <c r="NY90" s="2"/>
      <c r="NZ90" s="2"/>
      <c r="OA90" s="2"/>
      <c r="OB90" s="2"/>
      <c r="OC90" s="2"/>
      <c r="OD90" s="2"/>
      <c r="OE90" s="2"/>
      <c r="OF90" s="2"/>
      <c r="OG90" s="2"/>
      <c r="OH90" s="2"/>
      <c r="OI90" s="2"/>
      <c r="OJ90" s="2"/>
      <c r="OK90" s="2"/>
      <c r="OL90" s="2"/>
      <c r="OM90" s="2"/>
      <c r="ON90" s="2"/>
      <c r="OO90" s="2"/>
      <c r="OP90" s="2"/>
      <c r="OQ90" s="2"/>
      <c r="OR90" s="2"/>
      <c r="OS90" s="2"/>
      <c r="OT90" s="2"/>
      <c r="OU90" s="2"/>
      <c r="OV90" s="2"/>
      <c r="OW90" s="2"/>
      <c r="OX90" s="2"/>
      <c r="OY90" s="2"/>
      <c r="OZ90" s="2"/>
      <c r="PA90" s="2"/>
      <c r="PB90" s="2"/>
      <c r="PC90" s="2"/>
      <c r="PD90" s="2"/>
      <c r="PE90" s="2"/>
      <c r="PF90" s="2"/>
      <c r="PG90" s="2"/>
      <c r="PH90" s="2"/>
      <c r="PI90" s="2"/>
      <c r="PJ90" s="2"/>
      <c r="PK90" s="2"/>
      <c r="PL90" s="2"/>
      <c r="PM90" s="2"/>
      <c r="PN90" s="2"/>
      <c r="PO90" s="2"/>
      <c r="PP90" s="2"/>
      <c r="PQ90" s="2"/>
      <c r="PR90" s="2"/>
      <c r="PS90" s="2"/>
      <c r="PT90" s="2"/>
      <c r="PU90" s="2"/>
      <c r="PV90" s="2"/>
      <c r="PW90" s="2"/>
      <c r="PX90" s="2"/>
      <c r="PY90" s="2"/>
      <c r="PZ90" s="2"/>
      <c r="QA90" s="2"/>
      <c r="QB90" s="2"/>
      <c r="QC90" s="2"/>
      <c r="QD90" s="2"/>
      <c r="QE90" s="2"/>
      <c r="QF90" s="2"/>
      <c r="QG90" s="2"/>
      <c r="QH90" s="2"/>
      <c r="QI90" s="2"/>
      <c r="QJ90" s="2"/>
      <c r="QK90" s="2"/>
      <c r="QL90" s="2"/>
      <c r="QM90" s="2"/>
      <c r="QN90" s="2"/>
      <c r="QO90" s="2"/>
      <c r="QP90" s="2"/>
      <c r="QQ90" s="2"/>
      <c r="QR90" s="2"/>
      <c r="QS90" s="2"/>
      <c r="QT90" s="2"/>
      <c r="QU90" s="2"/>
      <c r="QV90" s="2"/>
      <c r="QW90" s="2"/>
      <c r="QX90" s="2"/>
      <c r="QY90" s="2"/>
      <c r="QZ90" s="2"/>
      <c r="RA90" s="2"/>
      <c r="RB90" s="2"/>
      <c r="RC90" s="2"/>
      <c r="RD90" s="2"/>
      <c r="RE90" s="2"/>
      <c r="RF90" s="2"/>
      <c r="RG90" s="2"/>
      <c r="RH90" s="2"/>
      <c r="RI90" s="2"/>
      <c r="RJ90" s="2"/>
      <c r="RK90" s="2"/>
      <c r="RL90" s="2"/>
      <c r="RM90" s="2"/>
      <c r="RN90" s="2"/>
      <c r="RO90" s="2"/>
      <c r="RP90" s="2"/>
      <c r="RQ90" s="2"/>
      <c r="RR90" s="2"/>
      <c r="RS90" s="2"/>
      <c r="RT90" s="2"/>
      <c r="RU90" s="2"/>
      <c r="RV90" s="2"/>
      <c r="RW90" s="2"/>
      <c r="RX90" s="2"/>
      <c r="RY90" s="2"/>
      <c r="RZ90" s="2"/>
      <c r="SA90" s="2"/>
      <c r="SB90" s="2"/>
      <c r="SC90" s="2"/>
      <c r="SD90" s="2"/>
      <c r="SE90" s="2"/>
      <c r="SF90" s="2"/>
      <c r="SG90" s="2"/>
      <c r="SH90" s="2"/>
      <c r="SI90" s="2"/>
      <c r="SJ90" s="2"/>
      <c r="SK90" s="2"/>
      <c r="SL90" s="2"/>
      <c r="SM90" s="2"/>
      <c r="SN90" s="2"/>
      <c r="SO90" s="2"/>
      <c r="SP90" s="2"/>
      <c r="SQ90" s="2"/>
      <c r="SR90" s="2"/>
      <c r="SS90" s="2"/>
      <c r="ST90" s="2"/>
      <c r="SU90" s="2"/>
      <c r="SV90" s="2"/>
      <c r="SW90" s="2"/>
      <c r="SX90" s="2"/>
    </row>
    <row r="91" spans="1:518" x14ac:dyDescent="0.25"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  <c r="FK91" s="2"/>
      <c r="FL91" s="2"/>
      <c r="FM91" s="2"/>
      <c r="FN91" s="2"/>
      <c r="FO91" s="2"/>
      <c r="FP91" s="2"/>
      <c r="FQ91" s="2"/>
      <c r="FR91" s="2"/>
      <c r="FS91" s="2"/>
      <c r="FT91" s="2"/>
      <c r="FU91" s="2"/>
      <c r="FV91" s="2"/>
      <c r="FW91" s="2"/>
      <c r="FX91" s="2"/>
      <c r="FY91" s="2"/>
      <c r="FZ91" s="2"/>
      <c r="GA91" s="2"/>
      <c r="GB91" s="2"/>
      <c r="GC91" s="2"/>
      <c r="GD91" s="2"/>
      <c r="GE91" s="2"/>
      <c r="GF91" s="2"/>
      <c r="GG91" s="2"/>
      <c r="GH91" s="2"/>
      <c r="GI91" s="2"/>
      <c r="GJ91" s="2"/>
      <c r="GK91" s="2"/>
      <c r="GL91" s="2"/>
      <c r="GM91" s="2"/>
      <c r="GN91" s="2"/>
      <c r="GO91" s="2"/>
      <c r="GP91" s="2"/>
      <c r="GQ91" s="2"/>
      <c r="GR91" s="2"/>
      <c r="GS91" s="2"/>
      <c r="GT91" s="2"/>
      <c r="GU91" s="2"/>
      <c r="GV91" s="2"/>
      <c r="GW91" s="2"/>
      <c r="GX91" s="2"/>
      <c r="GY91" s="2"/>
      <c r="GZ91" s="2"/>
      <c r="HA91" s="2"/>
      <c r="HB91" s="2"/>
      <c r="HC91" s="2"/>
      <c r="HD91" s="2"/>
      <c r="HE91" s="2"/>
      <c r="HF91" s="2"/>
      <c r="HG91" s="2"/>
      <c r="HH91" s="2"/>
      <c r="HI91" s="2"/>
      <c r="HJ91" s="2"/>
      <c r="HK91" s="2"/>
      <c r="HL91" s="2"/>
      <c r="HM91" s="2"/>
      <c r="HN91" s="2"/>
      <c r="HO91" s="2"/>
      <c r="HP91" s="2"/>
      <c r="HQ91" s="2"/>
      <c r="HR91" s="2"/>
      <c r="HS91" s="2"/>
      <c r="HT91" s="2"/>
      <c r="HU91" s="2"/>
      <c r="HV91" s="2"/>
      <c r="HW91" s="2"/>
      <c r="HX91" s="2"/>
      <c r="HY91" s="2"/>
      <c r="HZ91" s="2"/>
      <c r="IA91" s="2"/>
      <c r="IB91" s="2"/>
      <c r="IC91" s="2"/>
      <c r="ID91" s="2"/>
      <c r="IE91" s="2"/>
      <c r="IF91" s="2"/>
      <c r="IG91" s="2"/>
      <c r="IH91" s="2"/>
      <c r="II91" s="2"/>
      <c r="IJ91" s="2"/>
      <c r="IK91" s="2"/>
      <c r="IL91" s="2"/>
      <c r="IM91" s="2"/>
      <c r="IN91" s="2"/>
      <c r="IO91" s="2"/>
      <c r="IP91" s="2"/>
      <c r="IQ91" s="2"/>
      <c r="IR91" s="2"/>
      <c r="IS91" s="2"/>
      <c r="IT91" s="2"/>
      <c r="IU91" s="2"/>
      <c r="IV91" s="2"/>
      <c r="IW91" s="2"/>
      <c r="IX91" s="2"/>
      <c r="IY91" s="2"/>
      <c r="IZ91" s="2"/>
      <c r="JA91" s="2"/>
      <c r="JB91" s="2"/>
      <c r="JC91" s="2"/>
      <c r="JD91" s="2"/>
      <c r="JE91" s="2"/>
      <c r="JF91" s="2"/>
      <c r="JG91" s="2"/>
      <c r="JH91" s="2"/>
      <c r="JI91" s="2"/>
      <c r="JJ91" s="2"/>
      <c r="JK91" s="2"/>
      <c r="JL91" s="2"/>
      <c r="JM91" s="2"/>
      <c r="JN91" s="2"/>
      <c r="JO91" s="2"/>
      <c r="JP91" s="2"/>
      <c r="JQ91" s="2"/>
      <c r="JR91" s="2"/>
      <c r="JS91" s="2"/>
      <c r="JT91" s="2"/>
      <c r="JU91" s="2"/>
      <c r="JV91" s="2"/>
      <c r="JW91" s="2"/>
      <c r="JX91" s="2"/>
      <c r="JY91" s="2"/>
      <c r="JZ91" s="2"/>
      <c r="KA91" s="2"/>
      <c r="KB91" s="2"/>
      <c r="KC91" s="2"/>
      <c r="KD91" s="2"/>
      <c r="KE91" s="2"/>
      <c r="KF91" s="2"/>
      <c r="KG91" s="2"/>
      <c r="KH91" s="2"/>
      <c r="KI91" s="2"/>
      <c r="KJ91" s="2"/>
      <c r="KK91" s="2"/>
      <c r="KL91" s="2"/>
      <c r="KM91" s="2"/>
      <c r="KN91" s="2"/>
      <c r="KO91" s="2"/>
      <c r="KP91" s="2"/>
      <c r="KQ91" s="2"/>
      <c r="KR91" s="2"/>
      <c r="KS91" s="2"/>
      <c r="KT91" s="2"/>
      <c r="KU91" s="2"/>
      <c r="KV91" s="2"/>
      <c r="KW91" s="2"/>
      <c r="KX91" s="2"/>
      <c r="KY91" s="2"/>
      <c r="KZ91" s="2"/>
      <c r="LA91" s="2"/>
      <c r="LB91" s="2"/>
      <c r="LC91" s="2"/>
      <c r="LD91" s="2"/>
      <c r="LE91" s="2"/>
      <c r="LF91" s="2"/>
      <c r="LG91" s="2"/>
      <c r="LH91" s="2"/>
      <c r="LI91" s="2"/>
      <c r="LJ91" s="2"/>
      <c r="LK91" s="2"/>
      <c r="LL91" s="2"/>
      <c r="LM91" s="2"/>
      <c r="LN91" s="2"/>
      <c r="LO91" s="2"/>
      <c r="LP91" s="2"/>
      <c r="LQ91" s="2"/>
      <c r="LR91" s="2"/>
      <c r="LS91" s="2"/>
      <c r="LT91" s="2"/>
      <c r="LU91" s="2"/>
      <c r="LV91" s="2"/>
      <c r="LW91" s="2"/>
      <c r="LX91" s="2"/>
      <c r="LY91" s="2"/>
      <c r="LZ91" s="2"/>
      <c r="MA91" s="2"/>
      <c r="MB91" s="2"/>
      <c r="MC91" s="2"/>
      <c r="MD91" s="2"/>
      <c r="ME91" s="2"/>
      <c r="MF91" s="2"/>
      <c r="MG91" s="2"/>
      <c r="MH91" s="2"/>
      <c r="MI91" s="2"/>
      <c r="MJ91" s="2"/>
      <c r="MK91" s="2"/>
      <c r="ML91" s="2"/>
      <c r="MM91" s="2"/>
      <c r="MN91" s="2"/>
      <c r="MO91" s="2"/>
      <c r="MP91" s="2"/>
      <c r="MQ91" s="2"/>
      <c r="MR91" s="2"/>
      <c r="MS91" s="2"/>
      <c r="MT91" s="2"/>
      <c r="MU91" s="2"/>
      <c r="MV91" s="2"/>
      <c r="MW91" s="2"/>
      <c r="MX91" s="2"/>
      <c r="MY91" s="2"/>
      <c r="MZ91" s="2"/>
      <c r="NA91" s="2"/>
      <c r="NB91" s="2"/>
      <c r="NC91" s="2"/>
      <c r="ND91" s="2"/>
      <c r="NE91" s="2"/>
      <c r="NF91" s="2"/>
      <c r="NG91" s="2"/>
      <c r="NH91" s="2"/>
      <c r="NI91" s="2"/>
      <c r="NJ91" s="2"/>
      <c r="NK91" s="2"/>
      <c r="NL91" s="2"/>
      <c r="NM91" s="2"/>
      <c r="NN91" s="2"/>
      <c r="NO91" s="2"/>
      <c r="NP91" s="2"/>
      <c r="NQ91" s="2"/>
      <c r="NR91" s="2"/>
      <c r="NS91" s="2"/>
      <c r="NT91" s="2"/>
      <c r="NU91" s="2"/>
      <c r="NV91" s="2"/>
      <c r="NW91" s="2"/>
      <c r="NX91" s="2"/>
      <c r="NY91" s="2"/>
      <c r="NZ91" s="2"/>
      <c r="OA91" s="2"/>
      <c r="OB91" s="2"/>
      <c r="OC91" s="2"/>
      <c r="OD91" s="2"/>
      <c r="OE91" s="2"/>
      <c r="OF91" s="2"/>
      <c r="OG91" s="2"/>
      <c r="OH91" s="2"/>
      <c r="OI91" s="2"/>
      <c r="OJ91" s="2"/>
      <c r="OK91" s="2"/>
      <c r="OL91" s="2"/>
      <c r="OM91" s="2"/>
      <c r="ON91" s="2"/>
      <c r="OO91" s="2"/>
      <c r="OP91" s="2"/>
      <c r="OQ91" s="2"/>
      <c r="OR91" s="2"/>
      <c r="OS91" s="2"/>
      <c r="OT91" s="2"/>
      <c r="OU91" s="2"/>
      <c r="OV91" s="2"/>
      <c r="OW91" s="2"/>
      <c r="OX91" s="2"/>
      <c r="OY91" s="2"/>
      <c r="OZ91" s="2"/>
      <c r="PA91" s="2"/>
      <c r="PB91" s="2"/>
      <c r="PC91" s="2"/>
      <c r="PD91" s="2"/>
      <c r="PE91" s="2"/>
      <c r="PF91" s="2"/>
      <c r="PG91" s="2"/>
      <c r="PH91" s="2"/>
      <c r="PI91" s="2"/>
      <c r="PJ91" s="2"/>
      <c r="PK91" s="2"/>
      <c r="PL91" s="2"/>
      <c r="PM91" s="2"/>
      <c r="PN91" s="2"/>
      <c r="PO91" s="2"/>
      <c r="PP91" s="2"/>
      <c r="PQ91" s="2"/>
      <c r="PR91" s="2"/>
      <c r="PS91" s="2"/>
      <c r="PT91" s="2"/>
      <c r="PU91" s="2"/>
      <c r="PV91" s="2"/>
      <c r="PW91" s="2"/>
      <c r="PX91" s="2"/>
      <c r="PY91" s="2"/>
      <c r="PZ91" s="2"/>
      <c r="QA91" s="2"/>
      <c r="QB91" s="2"/>
      <c r="QC91" s="2"/>
      <c r="QD91" s="2"/>
      <c r="QE91" s="2"/>
      <c r="QF91" s="2"/>
      <c r="QG91" s="2"/>
      <c r="QH91" s="2"/>
      <c r="QI91" s="2"/>
      <c r="QJ91" s="2"/>
      <c r="QK91" s="2"/>
      <c r="QL91" s="2"/>
      <c r="QM91" s="2"/>
      <c r="QN91" s="2"/>
      <c r="QO91" s="2"/>
      <c r="QP91" s="2"/>
      <c r="QQ91" s="2"/>
      <c r="QR91" s="2"/>
      <c r="QS91" s="2"/>
      <c r="QT91" s="2"/>
      <c r="QU91" s="2"/>
      <c r="QV91" s="2"/>
      <c r="QW91" s="2"/>
      <c r="QX91" s="2"/>
      <c r="QY91" s="2"/>
      <c r="QZ91" s="2"/>
      <c r="RA91" s="2"/>
      <c r="RB91" s="2"/>
      <c r="RC91" s="2"/>
      <c r="RD91" s="2"/>
      <c r="RE91" s="2"/>
      <c r="RF91" s="2"/>
      <c r="RG91" s="2"/>
      <c r="RH91" s="2"/>
      <c r="RI91" s="2"/>
      <c r="RJ91" s="2"/>
      <c r="RK91" s="2"/>
      <c r="RL91" s="2"/>
      <c r="RM91" s="2"/>
      <c r="RN91" s="2"/>
      <c r="RO91" s="2"/>
      <c r="RP91" s="2"/>
      <c r="RQ91" s="2"/>
      <c r="RR91" s="2"/>
      <c r="RS91" s="2"/>
      <c r="RT91" s="2"/>
      <c r="RU91" s="2"/>
      <c r="RV91" s="2"/>
      <c r="RW91" s="2"/>
      <c r="RX91" s="2"/>
      <c r="RY91" s="2"/>
      <c r="RZ91" s="2"/>
      <c r="SA91" s="2"/>
      <c r="SB91" s="2"/>
      <c r="SC91" s="2"/>
      <c r="SD91" s="2"/>
      <c r="SE91" s="2"/>
      <c r="SF91" s="2"/>
      <c r="SG91" s="2"/>
      <c r="SH91" s="2"/>
      <c r="SI91" s="2"/>
      <c r="SJ91" s="2"/>
      <c r="SK91" s="2"/>
      <c r="SL91" s="2"/>
      <c r="SM91" s="2"/>
      <c r="SN91" s="2"/>
      <c r="SO91" s="2"/>
      <c r="SP91" s="2"/>
      <c r="SQ91" s="2"/>
      <c r="SR91" s="2"/>
      <c r="SS91" s="2"/>
      <c r="ST91" s="2"/>
      <c r="SU91" s="2"/>
      <c r="SV91" s="2"/>
      <c r="SW91" s="2"/>
      <c r="SX91" s="2"/>
    </row>
    <row r="92" spans="1:518" x14ac:dyDescent="0.25"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  <c r="FK92" s="2"/>
      <c r="FL92" s="2"/>
      <c r="FM92" s="2"/>
      <c r="FN92" s="2"/>
      <c r="FO92" s="2"/>
      <c r="FP92" s="2"/>
      <c r="FQ92" s="2"/>
      <c r="FR92" s="2"/>
      <c r="FS92" s="2"/>
      <c r="FT92" s="2"/>
      <c r="FU92" s="2"/>
      <c r="FV92" s="2"/>
      <c r="FW92" s="2"/>
      <c r="FX92" s="2"/>
      <c r="FY92" s="2"/>
      <c r="FZ92" s="2"/>
      <c r="GA92" s="2"/>
      <c r="GB92" s="2"/>
      <c r="GC92" s="2"/>
      <c r="GD92" s="2"/>
      <c r="GE92" s="2"/>
      <c r="GF92" s="2"/>
      <c r="GG92" s="2"/>
      <c r="GH92" s="2"/>
      <c r="GI92" s="2"/>
      <c r="GJ92" s="2"/>
      <c r="GK92" s="2"/>
      <c r="GL92" s="2"/>
      <c r="GM92" s="2"/>
      <c r="GN92" s="2"/>
      <c r="GO92" s="2"/>
      <c r="GP92" s="2"/>
      <c r="GQ92" s="2"/>
      <c r="GR92" s="2"/>
      <c r="GS92" s="2"/>
      <c r="GT92" s="2"/>
      <c r="GU92" s="2"/>
      <c r="GV92" s="2"/>
      <c r="GW92" s="2"/>
      <c r="GX92" s="2"/>
      <c r="GY92" s="2"/>
      <c r="GZ92" s="2"/>
      <c r="HA92" s="2"/>
      <c r="HB92" s="2"/>
      <c r="HC92" s="2"/>
      <c r="HD92" s="2"/>
      <c r="HE92" s="2"/>
      <c r="HF92" s="2"/>
      <c r="HG92" s="2"/>
      <c r="HH92" s="2"/>
      <c r="HI92" s="2"/>
      <c r="HJ92" s="2"/>
      <c r="HK92" s="2"/>
      <c r="HL92" s="2"/>
      <c r="HM92" s="2"/>
      <c r="HN92" s="2"/>
      <c r="HO92" s="2"/>
      <c r="HP92" s="2"/>
      <c r="HQ92" s="2"/>
      <c r="HR92" s="2"/>
      <c r="HS92" s="2"/>
      <c r="HT92" s="2"/>
      <c r="HU92" s="2"/>
      <c r="HV92" s="2"/>
      <c r="HW92" s="2"/>
      <c r="HX92" s="2"/>
      <c r="HY92" s="2"/>
      <c r="HZ92" s="2"/>
      <c r="IA92" s="2"/>
      <c r="IB92" s="2"/>
      <c r="IC92" s="2"/>
      <c r="ID92" s="2"/>
      <c r="IE92" s="2"/>
      <c r="IF92" s="2"/>
      <c r="IG92" s="2"/>
      <c r="IH92" s="2"/>
      <c r="II92" s="2"/>
      <c r="IJ92" s="2"/>
      <c r="IK92" s="2"/>
      <c r="IL92" s="2"/>
      <c r="IM92" s="2"/>
      <c r="IN92" s="2"/>
      <c r="IO92" s="2"/>
      <c r="IP92" s="2"/>
      <c r="IQ92" s="2"/>
      <c r="IR92" s="2"/>
      <c r="IS92" s="2"/>
      <c r="IT92" s="2"/>
      <c r="IU92" s="2"/>
      <c r="IV92" s="2"/>
      <c r="IW92" s="2"/>
      <c r="IX92" s="2"/>
      <c r="IY92" s="2"/>
      <c r="IZ92" s="2"/>
      <c r="JA92" s="2"/>
      <c r="JB92" s="2"/>
      <c r="JC92" s="2"/>
      <c r="JD92" s="2"/>
      <c r="JE92" s="2"/>
      <c r="JF92" s="2"/>
      <c r="JG92" s="2"/>
      <c r="JH92" s="2"/>
      <c r="JI92" s="2"/>
      <c r="JJ92" s="2"/>
      <c r="JK92" s="2"/>
      <c r="JL92" s="2"/>
      <c r="JM92" s="2"/>
      <c r="JN92" s="2"/>
      <c r="JO92" s="2"/>
      <c r="JP92" s="2"/>
      <c r="JQ92" s="2"/>
      <c r="JR92" s="2"/>
      <c r="JS92" s="2"/>
      <c r="JT92" s="2"/>
      <c r="JU92" s="2"/>
      <c r="JV92" s="2"/>
      <c r="JW92" s="2"/>
      <c r="JX92" s="2"/>
      <c r="JY92" s="2"/>
      <c r="JZ92" s="2"/>
      <c r="KA92" s="2"/>
      <c r="KB92" s="2"/>
      <c r="KC92" s="2"/>
      <c r="KD92" s="2"/>
      <c r="KE92" s="2"/>
      <c r="KF92" s="2"/>
      <c r="KG92" s="2"/>
      <c r="KH92" s="2"/>
      <c r="KI92" s="2"/>
      <c r="KJ92" s="2"/>
      <c r="KK92" s="2"/>
      <c r="KL92" s="2"/>
      <c r="KM92" s="2"/>
      <c r="KN92" s="2"/>
      <c r="KO92" s="2"/>
      <c r="KP92" s="2"/>
      <c r="KQ92" s="2"/>
      <c r="KR92" s="2"/>
      <c r="KS92" s="2"/>
      <c r="KT92" s="2"/>
      <c r="KU92" s="2"/>
      <c r="KV92" s="2"/>
      <c r="KW92" s="2"/>
      <c r="KX92" s="2"/>
      <c r="KY92" s="2"/>
      <c r="KZ92" s="2"/>
      <c r="LA92" s="2"/>
      <c r="LB92" s="2"/>
      <c r="LC92" s="2"/>
      <c r="LD92" s="2"/>
      <c r="LE92" s="2"/>
      <c r="LF92" s="2"/>
      <c r="LG92" s="2"/>
      <c r="LH92" s="2"/>
      <c r="LI92" s="2"/>
      <c r="LJ92" s="2"/>
      <c r="LK92" s="2"/>
      <c r="LL92" s="2"/>
      <c r="LM92" s="2"/>
      <c r="LN92" s="2"/>
      <c r="LO92" s="2"/>
      <c r="LP92" s="2"/>
      <c r="LQ92" s="2"/>
      <c r="LR92" s="2"/>
      <c r="LS92" s="2"/>
      <c r="LT92" s="2"/>
      <c r="LU92" s="2"/>
      <c r="LV92" s="2"/>
      <c r="LW92" s="2"/>
      <c r="LX92" s="2"/>
      <c r="LY92" s="2"/>
      <c r="LZ92" s="2"/>
      <c r="MA92" s="2"/>
      <c r="MB92" s="2"/>
      <c r="MC92" s="2"/>
      <c r="MD92" s="2"/>
      <c r="ME92" s="2"/>
      <c r="MF92" s="2"/>
      <c r="MG92" s="2"/>
      <c r="MH92" s="2"/>
      <c r="MI92" s="2"/>
      <c r="MJ92" s="2"/>
      <c r="MK92" s="2"/>
      <c r="ML92" s="2"/>
      <c r="MM92" s="2"/>
      <c r="MN92" s="2"/>
      <c r="MO92" s="2"/>
      <c r="MP92" s="2"/>
      <c r="MQ92" s="2"/>
      <c r="MR92" s="2"/>
      <c r="MS92" s="2"/>
      <c r="MT92" s="2"/>
      <c r="MU92" s="2"/>
      <c r="MV92" s="2"/>
      <c r="MW92" s="2"/>
      <c r="MX92" s="2"/>
      <c r="MY92" s="2"/>
      <c r="MZ92" s="2"/>
      <c r="NA92" s="2"/>
      <c r="NB92" s="2"/>
      <c r="NC92" s="2"/>
      <c r="ND92" s="2"/>
      <c r="NE92" s="2"/>
      <c r="NF92" s="2"/>
      <c r="NG92" s="2"/>
      <c r="NH92" s="2"/>
      <c r="NI92" s="2"/>
      <c r="NJ92" s="2"/>
      <c r="NK92" s="2"/>
      <c r="NL92" s="2"/>
      <c r="NM92" s="2"/>
      <c r="NN92" s="2"/>
      <c r="NO92" s="2"/>
      <c r="NP92" s="2"/>
      <c r="NQ92" s="2"/>
      <c r="NR92" s="2"/>
      <c r="NS92" s="2"/>
      <c r="NT92" s="2"/>
      <c r="NU92" s="2"/>
      <c r="NV92" s="2"/>
      <c r="NW92" s="2"/>
      <c r="NX92" s="2"/>
      <c r="NY92" s="2"/>
      <c r="NZ92" s="2"/>
      <c r="OA92" s="2"/>
      <c r="OB92" s="2"/>
      <c r="OC92" s="2"/>
      <c r="OD92" s="2"/>
      <c r="OE92" s="2"/>
      <c r="OF92" s="2"/>
      <c r="OG92" s="2"/>
      <c r="OH92" s="2"/>
      <c r="OI92" s="2"/>
      <c r="OJ92" s="2"/>
      <c r="OK92" s="2"/>
      <c r="OL92" s="2"/>
      <c r="OM92" s="2"/>
      <c r="ON92" s="2"/>
      <c r="OO92" s="2"/>
      <c r="OP92" s="2"/>
      <c r="OQ92" s="2"/>
      <c r="OR92" s="2"/>
      <c r="OS92" s="2"/>
      <c r="OT92" s="2"/>
      <c r="OU92" s="2"/>
      <c r="OV92" s="2"/>
      <c r="OW92" s="2"/>
      <c r="OX92" s="2"/>
      <c r="OY92" s="2"/>
      <c r="OZ92" s="2"/>
      <c r="PA92" s="2"/>
      <c r="PB92" s="2"/>
      <c r="PC92" s="2"/>
      <c r="PD92" s="2"/>
      <c r="PE92" s="2"/>
      <c r="PF92" s="2"/>
      <c r="PG92" s="2"/>
      <c r="PH92" s="2"/>
      <c r="PI92" s="2"/>
      <c r="PJ92" s="2"/>
      <c r="PK92" s="2"/>
      <c r="PL92" s="2"/>
      <c r="PM92" s="2"/>
      <c r="PN92" s="2"/>
      <c r="PO92" s="2"/>
      <c r="PP92" s="2"/>
      <c r="PQ92" s="2"/>
      <c r="PR92" s="2"/>
      <c r="PS92" s="2"/>
      <c r="PT92" s="2"/>
      <c r="PU92" s="2"/>
      <c r="PV92" s="2"/>
      <c r="PW92" s="2"/>
      <c r="PX92" s="2"/>
      <c r="PY92" s="2"/>
      <c r="PZ92" s="2"/>
      <c r="QA92" s="2"/>
      <c r="QB92" s="2"/>
      <c r="QC92" s="2"/>
      <c r="QD92" s="2"/>
      <c r="QE92" s="2"/>
      <c r="QF92" s="2"/>
      <c r="QG92" s="2"/>
      <c r="QH92" s="2"/>
      <c r="QI92" s="2"/>
      <c r="QJ92" s="2"/>
      <c r="QK92" s="2"/>
      <c r="QL92" s="2"/>
      <c r="QM92" s="2"/>
      <c r="QN92" s="2"/>
      <c r="QO92" s="2"/>
      <c r="QP92" s="2"/>
      <c r="QQ92" s="2"/>
      <c r="QR92" s="2"/>
      <c r="QS92" s="2"/>
      <c r="QT92" s="2"/>
      <c r="QU92" s="2"/>
      <c r="QV92" s="2"/>
      <c r="QW92" s="2"/>
      <c r="QX92" s="2"/>
      <c r="QY92" s="2"/>
      <c r="QZ92" s="2"/>
      <c r="RA92" s="2"/>
      <c r="RB92" s="2"/>
      <c r="RC92" s="2"/>
      <c r="RD92" s="2"/>
      <c r="RE92" s="2"/>
      <c r="RF92" s="2"/>
      <c r="RG92" s="2"/>
      <c r="RH92" s="2"/>
      <c r="RI92" s="2"/>
      <c r="RJ92" s="2"/>
      <c r="RK92" s="2"/>
      <c r="RL92" s="2"/>
      <c r="RM92" s="2"/>
      <c r="RN92" s="2"/>
      <c r="RO92" s="2"/>
      <c r="RP92" s="2"/>
      <c r="RQ92" s="2"/>
      <c r="RR92" s="2"/>
      <c r="RS92" s="2"/>
      <c r="RT92" s="2"/>
      <c r="RU92" s="2"/>
      <c r="RV92" s="2"/>
      <c r="RW92" s="2"/>
      <c r="RX92" s="2"/>
      <c r="RY92" s="2"/>
      <c r="RZ92" s="2"/>
      <c r="SA92" s="2"/>
      <c r="SB92" s="2"/>
      <c r="SC92" s="2"/>
      <c r="SD92" s="2"/>
      <c r="SE92" s="2"/>
      <c r="SF92" s="2"/>
      <c r="SG92" s="2"/>
      <c r="SH92" s="2"/>
      <c r="SI92" s="2"/>
      <c r="SJ92" s="2"/>
      <c r="SK92" s="2"/>
      <c r="SL92" s="2"/>
      <c r="SM92" s="2"/>
      <c r="SN92" s="2"/>
      <c r="SO92" s="2"/>
      <c r="SP92" s="2"/>
      <c r="SQ92" s="2"/>
      <c r="SR92" s="2"/>
      <c r="SS92" s="2"/>
      <c r="ST92" s="2"/>
      <c r="SU92" s="2"/>
      <c r="SV92" s="2"/>
      <c r="SW92" s="2"/>
      <c r="SX92" s="2"/>
    </row>
    <row r="93" spans="1:518" x14ac:dyDescent="0.25"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  <c r="FK93" s="2"/>
      <c r="FL93" s="2"/>
      <c r="FM93" s="2"/>
      <c r="FN93" s="2"/>
      <c r="FO93" s="2"/>
      <c r="FP93" s="2"/>
      <c r="FQ93" s="2"/>
      <c r="FR93" s="2"/>
      <c r="FS93" s="2"/>
      <c r="FT93" s="2"/>
      <c r="FU93" s="2"/>
      <c r="FV93" s="2"/>
      <c r="FW93" s="2"/>
      <c r="FX93" s="2"/>
      <c r="FY93" s="2"/>
      <c r="FZ93" s="2"/>
      <c r="GA93" s="2"/>
      <c r="GB93" s="2"/>
      <c r="GC93" s="2"/>
      <c r="GD93" s="2"/>
      <c r="GE93" s="2"/>
      <c r="GF93" s="2"/>
      <c r="GG93" s="2"/>
      <c r="GH93" s="2"/>
      <c r="GI93" s="2"/>
      <c r="GJ93" s="2"/>
      <c r="GK93" s="2"/>
      <c r="GL93" s="2"/>
      <c r="GM93" s="2"/>
      <c r="GN93" s="2"/>
      <c r="GO93" s="2"/>
      <c r="GP93" s="2"/>
      <c r="GQ93" s="2"/>
      <c r="GR93" s="2"/>
      <c r="GS93" s="2"/>
      <c r="GT93" s="2"/>
      <c r="GU93" s="2"/>
      <c r="GV93" s="2"/>
      <c r="GW93" s="2"/>
      <c r="GX93" s="2"/>
      <c r="GY93" s="2"/>
      <c r="GZ93" s="2"/>
      <c r="HA93" s="2"/>
      <c r="HB93" s="2"/>
      <c r="HC93" s="2"/>
      <c r="HD93" s="2"/>
      <c r="HE93" s="2"/>
      <c r="HF93" s="2"/>
      <c r="HG93" s="2"/>
      <c r="HH93" s="2"/>
      <c r="HI93" s="2"/>
      <c r="HJ93" s="2"/>
      <c r="HK93" s="2"/>
      <c r="HL93" s="2"/>
      <c r="HM93" s="2"/>
      <c r="HN93" s="2"/>
      <c r="HO93" s="2"/>
      <c r="HP93" s="2"/>
      <c r="HQ93" s="2"/>
      <c r="HR93" s="2"/>
      <c r="HS93" s="2"/>
      <c r="HT93" s="2"/>
      <c r="HU93" s="2"/>
      <c r="HV93" s="2"/>
      <c r="HW93" s="2"/>
      <c r="HX93" s="2"/>
      <c r="HY93" s="2"/>
      <c r="HZ93" s="2"/>
      <c r="IA93" s="2"/>
      <c r="IB93" s="2"/>
      <c r="IC93" s="2"/>
      <c r="ID93" s="2"/>
      <c r="IE93" s="2"/>
      <c r="IF93" s="2"/>
      <c r="IG93" s="2"/>
      <c r="IH93" s="2"/>
      <c r="II93" s="2"/>
      <c r="IJ93" s="2"/>
      <c r="IK93" s="2"/>
      <c r="IL93" s="2"/>
      <c r="IM93" s="2"/>
      <c r="IN93" s="2"/>
      <c r="IO93" s="2"/>
      <c r="IP93" s="2"/>
      <c r="IQ93" s="2"/>
      <c r="IR93" s="2"/>
      <c r="IS93" s="2"/>
      <c r="IT93" s="2"/>
      <c r="IU93" s="2"/>
      <c r="IV93" s="2"/>
      <c r="IW93" s="2"/>
      <c r="IX93" s="2"/>
      <c r="IY93" s="2"/>
      <c r="IZ93" s="2"/>
      <c r="JA93" s="2"/>
      <c r="JB93" s="2"/>
      <c r="JC93" s="2"/>
      <c r="JD93" s="2"/>
      <c r="JE93" s="2"/>
      <c r="JF93" s="2"/>
      <c r="JG93" s="2"/>
      <c r="JH93" s="2"/>
      <c r="JI93" s="2"/>
      <c r="JJ93" s="2"/>
      <c r="JK93" s="2"/>
      <c r="JL93" s="2"/>
      <c r="JM93" s="2"/>
      <c r="JN93" s="2"/>
      <c r="JO93" s="2"/>
      <c r="JP93" s="2"/>
      <c r="JQ93" s="2"/>
      <c r="JR93" s="2"/>
      <c r="JS93" s="2"/>
      <c r="JT93" s="2"/>
      <c r="JU93" s="2"/>
      <c r="JV93" s="2"/>
      <c r="JW93" s="2"/>
      <c r="JX93" s="2"/>
      <c r="JY93" s="2"/>
      <c r="JZ93" s="2"/>
      <c r="KA93" s="2"/>
      <c r="KB93" s="2"/>
      <c r="KC93" s="2"/>
      <c r="KD93" s="2"/>
      <c r="KE93" s="2"/>
      <c r="KF93" s="2"/>
      <c r="KG93" s="2"/>
      <c r="KH93" s="2"/>
      <c r="KI93" s="2"/>
      <c r="KJ93" s="2"/>
      <c r="KK93" s="2"/>
      <c r="KL93" s="2"/>
      <c r="KM93" s="2"/>
      <c r="KN93" s="2"/>
      <c r="KO93" s="2"/>
      <c r="KP93" s="2"/>
      <c r="KQ93" s="2"/>
      <c r="KR93" s="2"/>
      <c r="KS93" s="2"/>
      <c r="KT93" s="2"/>
      <c r="KU93" s="2"/>
      <c r="KV93" s="2"/>
      <c r="KW93" s="2"/>
      <c r="KX93" s="2"/>
      <c r="KY93" s="2"/>
      <c r="KZ93" s="2"/>
      <c r="LA93" s="2"/>
      <c r="LB93" s="2"/>
      <c r="LC93" s="2"/>
      <c r="LD93" s="2"/>
      <c r="LE93" s="2"/>
      <c r="LF93" s="2"/>
      <c r="LG93" s="2"/>
      <c r="LH93" s="2"/>
      <c r="LI93" s="2"/>
      <c r="LJ93" s="2"/>
      <c r="LK93" s="2"/>
      <c r="LL93" s="2"/>
      <c r="LM93" s="2"/>
      <c r="LN93" s="2"/>
      <c r="LO93" s="2"/>
      <c r="LP93" s="2"/>
      <c r="LQ93" s="2"/>
      <c r="LR93" s="2"/>
      <c r="LS93" s="2"/>
      <c r="LT93" s="2"/>
      <c r="LU93" s="2"/>
      <c r="LV93" s="2"/>
      <c r="LW93" s="2"/>
      <c r="LX93" s="2"/>
      <c r="LY93" s="2"/>
      <c r="LZ93" s="2"/>
      <c r="MA93" s="2"/>
      <c r="MB93" s="2"/>
      <c r="MC93" s="2"/>
      <c r="MD93" s="2"/>
      <c r="ME93" s="2"/>
      <c r="MF93" s="2"/>
      <c r="MG93" s="2"/>
      <c r="MH93" s="2"/>
      <c r="MI93" s="2"/>
      <c r="MJ93" s="2"/>
      <c r="MK93" s="2"/>
      <c r="ML93" s="2"/>
      <c r="MM93" s="2"/>
      <c r="MN93" s="2"/>
      <c r="MO93" s="2"/>
      <c r="MP93" s="2"/>
      <c r="MQ93" s="2"/>
      <c r="MR93" s="2"/>
      <c r="MS93" s="2"/>
      <c r="MT93" s="2"/>
      <c r="MU93" s="2"/>
      <c r="MV93" s="2"/>
      <c r="MW93" s="2"/>
      <c r="MX93" s="2"/>
      <c r="MY93" s="2"/>
      <c r="MZ93" s="2"/>
      <c r="NA93" s="2"/>
      <c r="NB93" s="2"/>
      <c r="NC93" s="2"/>
      <c r="ND93" s="2"/>
      <c r="NE93" s="2"/>
      <c r="NF93" s="2"/>
      <c r="NG93" s="2"/>
      <c r="NH93" s="2"/>
      <c r="NI93" s="2"/>
      <c r="NJ93" s="2"/>
      <c r="NK93" s="2"/>
      <c r="NL93" s="2"/>
      <c r="NM93" s="2"/>
      <c r="NN93" s="2"/>
      <c r="NO93" s="2"/>
      <c r="NP93" s="2"/>
      <c r="NQ93" s="2"/>
      <c r="NR93" s="2"/>
      <c r="NS93" s="2"/>
      <c r="NT93" s="2"/>
      <c r="NU93" s="2"/>
      <c r="NV93" s="2"/>
      <c r="NW93" s="2"/>
      <c r="NX93" s="2"/>
      <c r="NY93" s="2"/>
      <c r="NZ93" s="2"/>
      <c r="OA93" s="2"/>
      <c r="OB93" s="2"/>
      <c r="OC93" s="2"/>
      <c r="OD93" s="2"/>
      <c r="OE93" s="2"/>
      <c r="OF93" s="2"/>
      <c r="OG93" s="2"/>
      <c r="OH93" s="2"/>
      <c r="OI93" s="2"/>
      <c r="OJ93" s="2"/>
      <c r="OK93" s="2"/>
      <c r="OL93" s="2"/>
      <c r="OM93" s="2"/>
      <c r="ON93" s="2"/>
      <c r="OO93" s="2"/>
      <c r="OP93" s="2"/>
      <c r="OQ93" s="2"/>
      <c r="OR93" s="2"/>
      <c r="OS93" s="2"/>
      <c r="OT93" s="2"/>
      <c r="OU93" s="2"/>
      <c r="OV93" s="2"/>
      <c r="OW93" s="2"/>
      <c r="OX93" s="2"/>
      <c r="OY93" s="2"/>
      <c r="OZ93" s="2"/>
      <c r="PA93" s="2"/>
      <c r="PB93" s="2"/>
      <c r="PC93" s="2"/>
      <c r="PD93" s="2"/>
      <c r="PE93" s="2"/>
      <c r="PF93" s="2"/>
      <c r="PG93" s="2"/>
      <c r="PH93" s="2"/>
      <c r="PI93" s="2"/>
      <c r="PJ93" s="2"/>
      <c r="PK93" s="2"/>
      <c r="PL93" s="2"/>
      <c r="PM93" s="2"/>
      <c r="PN93" s="2"/>
      <c r="PO93" s="2"/>
      <c r="PP93" s="2"/>
      <c r="PQ93" s="2"/>
      <c r="PR93" s="2"/>
      <c r="PS93" s="2"/>
      <c r="PT93" s="2"/>
      <c r="PU93" s="2"/>
      <c r="PV93" s="2"/>
      <c r="PW93" s="2"/>
      <c r="PX93" s="2"/>
      <c r="PY93" s="2"/>
      <c r="PZ93" s="2"/>
      <c r="QA93" s="2"/>
      <c r="QB93" s="2"/>
      <c r="QC93" s="2"/>
      <c r="QD93" s="2"/>
      <c r="QE93" s="2"/>
      <c r="QF93" s="2"/>
      <c r="QG93" s="2"/>
      <c r="QH93" s="2"/>
      <c r="QI93" s="2"/>
      <c r="QJ93" s="2"/>
      <c r="QK93" s="2"/>
      <c r="QL93" s="2"/>
      <c r="QM93" s="2"/>
      <c r="QN93" s="2"/>
      <c r="QO93" s="2"/>
      <c r="QP93" s="2"/>
      <c r="QQ93" s="2"/>
      <c r="QR93" s="2"/>
      <c r="QS93" s="2"/>
      <c r="QT93" s="2"/>
      <c r="QU93" s="2"/>
      <c r="QV93" s="2"/>
      <c r="QW93" s="2"/>
      <c r="QX93" s="2"/>
      <c r="QY93" s="2"/>
      <c r="QZ93" s="2"/>
      <c r="RA93" s="2"/>
      <c r="RB93" s="2"/>
      <c r="RC93" s="2"/>
      <c r="RD93" s="2"/>
      <c r="RE93" s="2"/>
      <c r="RF93" s="2"/>
      <c r="RG93" s="2"/>
      <c r="RH93" s="2"/>
      <c r="RI93" s="2"/>
      <c r="RJ93" s="2"/>
      <c r="RK93" s="2"/>
      <c r="RL93" s="2"/>
      <c r="RM93" s="2"/>
      <c r="RN93" s="2"/>
      <c r="RO93" s="2"/>
      <c r="RP93" s="2"/>
      <c r="RQ93" s="2"/>
      <c r="RR93" s="2"/>
      <c r="RS93" s="2"/>
      <c r="RT93" s="2"/>
      <c r="RU93" s="2"/>
      <c r="RV93" s="2"/>
      <c r="RW93" s="2"/>
      <c r="RX93" s="2"/>
      <c r="RY93" s="2"/>
      <c r="RZ93" s="2"/>
      <c r="SA93" s="2"/>
      <c r="SB93" s="2"/>
      <c r="SC93" s="2"/>
      <c r="SD93" s="2"/>
      <c r="SE93" s="2"/>
      <c r="SF93" s="2"/>
      <c r="SG93" s="2"/>
      <c r="SH93" s="2"/>
      <c r="SI93" s="2"/>
      <c r="SJ93" s="2"/>
      <c r="SK93" s="2"/>
      <c r="SL93" s="2"/>
      <c r="SM93" s="2"/>
      <c r="SN93" s="2"/>
      <c r="SO93" s="2"/>
      <c r="SP93" s="2"/>
      <c r="SQ93" s="2"/>
      <c r="SR93" s="2"/>
      <c r="SS93" s="2"/>
      <c r="ST93" s="2"/>
      <c r="SU93" s="2"/>
      <c r="SV93" s="2"/>
      <c r="SW93" s="2"/>
      <c r="SX93" s="2"/>
    </row>
    <row r="94" spans="1:518" x14ac:dyDescent="0.25"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  <c r="FK94" s="2"/>
      <c r="FL94" s="2"/>
      <c r="FM94" s="2"/>
      <c r="FN94" s="2"/>
      <c r="FO94" s="2"/>
      <c r="FP94" s="2"/>
      <c r="FQ94" s="2"/>
      <c r="FR94" s="2"/>
      <c r="FS94" s="2"/>
      <c r="FT94" s="2"/>
      <c r="FU94" s="2"/>
      <c r="FV94" s="2"/>
      <c r="FW94" s="2"/>
      <c r="FX94" s="2"/>
      <c r="FY94" s="2"/>
      <c r="FZ94" s="2"/>
      <c r="GA94" s="2"/>
      <c r="GB94" s="2"/>
      <c r="GC94" s="2"/>
      <c r="GD94" s="2"/>
      <c r="GE94" s="2"/>
      <c r="GF94" s="2"/>
      <c r="GG94" s="2"/>
      <c r="GH94" s="2"/>
      <c r="GI94" s="2"/>
      <c r="GJ94" s="2"/>
      <c r="GK94" s="2"/>
      <c r="GL94" s="2"/>
      <c r="GM94" s="2"/>
      <c r="GN94" s="2"/>
      <c r="GO94" s="2"/>
      <c r="GP94" s="2"/>
      <c r="GQ94" s="2"/>
      <c r="GR94" s="2"/>
      <c r="GS94" s="2"/>
      <c r="GT94" s="2"/>
      <c r="GU94" s="2"/>
      <c r="GV94" s="2"/>
      <c r="GW94" s="2"/>
      <c r="GX94" s="2"/>
      <c r="GY94" s="2"/>
      <c r="GZ94" s="2"/>
      <c r="HA94" s="2"/>
      <c r="HB94" s="2"/>
      <c r="HC94" s="2"/>
      <c r="HD94" s="2"/>
      <c r="HE94" s="2"/>
      <c r="HF94" s="2"/>
      <c r="HG94" s="2"/>
      <c r="HH94" s="2"/>
      <c r="HI94" s="2"/>
      <c r="HJ94" s="2"/>
      <c r="HK94" s="2"/>
      <c r="HL94" s="2"/>
      <c r="HM94" s="2"/>
      <c r="HN94" s="2"/>
      <c r="HO94" s="2"/>
      <c r="HP94" s="2"/>
      <c r="HQ94" s="2"/>
      <c r="HR94" s="2"/>
      <c r="HS94" s="2"/>
      <c r="HT94" s="2"/>
      <c r="HU94" s="2"/>
      <c r="HV94" s="2"/>
      <c r="HW94" s="2"/>
      <c r="HX94" s="2"/>
      <c r="HY94" s="2"/>
      <c r="HZ94" s="2"/>
      <c r="IA94" s="2"/>
      <c r="IB94" s="2"/>
      <c r="IC94" s="2"/>
      <c r="ID94" s="2"/>
      <c r="IE94" s="2"/>
      <c r="IF94" s="2"/>
      <c r="IG94" s="2"/>
      <c r="IH94" s="2"/>
      <c r="II94" s="2"/>
      <c r="IJ94" s="2"/>
      <c r="IK94" s="2"/>
      <c r="IL94" s="2"/>
      <c r="IM94" s="2"/>
      <c r="IN94" s="2"/>
      <c r="IO94" s="2"/>
      <c r="IP94" s="2"/>
      <c r="IQ94" s="2"/>
      <c r="IR94" s="2"/>
      <c r="IS94" s="2"/>
      <c r="IT94" s="2"/>
      <c r="IU94" s="2"/>
      <c r="IV94" s="2"/>
      <c r="IW94" s="2"/>
      <c r="IX94" s="2"/>
      <c r="IY94" s="2"/>
      <c r="IZ94" s="2"/>
      <c r="JA94" s="2"/>
      <c r="JB94" s="2"/>
      <c r="JC94" s="2"/>
      <c r="JD94" s="2"/>
      <c r="JE94" s="2"/>
      <c r="JF94" s="2"/>
      <c r="JG94" s="2"/>
      <c r="JH94" s="2"/>
      <c r="JI94" s="2"/>
      <c r="JJ94" s="2"/>
      <c r="JK94" s="2"/>
      <c r="JL94" s="2"/>
      <c r="JM94" s="2"/>
      <c r="JN94" s="2"/>
      <c r="JO94" s="2"/>
      <c r="JP94" s="2"/>
      <c r="JQ94" s="2"/>
      <c r="JR94" s="2"/>
      <c r="JS94" s="2"/>
      <c r="JT94" s="2"/>
      <c r="JU94" s="2"/>
      <c r="JV94" s="2"/>
      <c r="JW94" s="2"/>
      <c r="JX94" s="2"/>
      <c r="JY94" s="2"/>
      <c r="JZ94" s="2"/>
      <c r="KA94" s="2"/>
      <c r="KB94" s="2"/>
      <c r="KC94" s="2"/>
      <c r="KD94" s="2"/>
      <c r="KE94" s="2"/>
      <c r="KF94" s="2"/>
      <c r="KG94" s="2"/>
      <c r="KH94" s="2"/>
      <c r="KI94" s="2"/>
      <c r="KJ94" s="2"/>
      <c r="KK94" s="2"/>
      <c r="KL94" s="2"/>
      <c r="KM94" s="2"/>
      <c r="KN94" s="2"/>
      <c r="KO94" s="2"/>
      <c r="KP94" s="2"/>
      <c r="KQ94" s="2"/>
      <c r="KR94" s="2"/>
      <c r="KS94" s="2"/>
      <c r="KT94" s="2"/>
      <c r="KU94" s="2"/>
      <c r="KV94" s="2"/>
      <c r="KW94" s="2"/>
      <c r="KX94" s="2"/>
      <c r="KY94" s="2"/>
      <c r="KZ94" s="2"/>
      <c r="LA94" s="2"/>
      <c r="LB94" s="2"/>
      <c r="LC94" s="2"/>
      <c r="LD94" s="2"/>
      <c r="LE94" s="2"/>
      <c r="LF94" s="2"/>
      <c r="LG94" s="2"/>
      <c r="LH94" s="2"/>
      <c r="LI94" s="2"/>
      <c r="LJ94" s="2"/>
      <c r="LK94" s="2"/>
      <c r="LL94" s="2"/>
      <c r="LM94" s="2"/>
      <c r="LN94" s="2"/>
      <c r="LO94" s="2"/>
      <c r="LP94" s="2"/>
      <c r="LQ94" s="2"/>
      <c r="LR94" s="2"/>
      <c r="LS94" s="2"/>
      <c r="LT94" s="2"/>
      <c r="LU94" s="2"/>
      <c r="LV94" s="2"/>
      <c r="LW94" s="2"/>
      <c r="LX94" s="2"/>
      <c r="LY94" s="2"/>
      <c r="LZ94" s="2"/>
      <c r="MA94" s="2"/>
      <c r="MB94" s="2"/>
      <c r="MC94" s="2"/>
      <c r="MD94" s="2"/>
      <c r="ME94" s="2"/>
      <c r="MF94" s="2"/>
      <c r="MG94" s="2"/>
      <c r="MH94" s="2"/>
      <c r="MI94" s="2"/>
      <c r="MJ94" s="2"/>
      <c r="MK94" s="2"/>
      <c r="ML94" s="2"/>
      <c r="MM94" s="2"/>
      <c r="MN94" s="2"/>
      <c r="MO94" s="2"/>
      <c r="MP94" s="2"/>
      <c r="MQ94" s="2"/>
      <c r="MR94" s="2"/>
      <c r="MS94" s="2"/>
      <c r="MT94" s="2"/>
      <c r="MU94" s="2"/>
      <c r="MV94" s="2"/>
      <c r="MW94" s="2"/>
      <c r="MX94" s="2"/>
      <c r="MY94" s="2"/>
      <c r="MZ94" s="2"/>
      <c r="NA94" s="2"/>
      <c r="NB94" s="2"/>
      <c r="NC94" s="2"/>
      <c r="ND94" s="2"/>
      <c r="NE94" s="2"/>
      <c r="NF94" s="2"/>
      <c r="NG94" s="2"/>
      <c r="NH94" s="2"/>
      <c r="NI94" s="2"/>
      <c r="NJ94" s="2"/>
      <c r="NK94" s="2"/>
      <c r="NL94" s="2"/>
      <c r="NM94" s="2"/>
      <c r="NN94" s="2"/>
      <c r="NO94" s="2"/>
      <c r="NP94" s="2"/>
      <c r="NQ94" s="2"/>
      <c r="NR94" s="2"/>
      <c r="NS94" s="2"/>
      <c r="NT94" s="2"/>
      <c r="NU94" s="2"/>
      <c r="NV94" s="2"/>
      <c r="NW94" s="2"/>
      <c r="NX94" s="2"/>
      <c r="NY94" s="2"/>
      <c r="NZ94" s="2"/>
      <c r="OA94" s="2"/>
      <c r="OB94" s="2"/>
      <c r="OC94" s="2"/>
      <c r="OD94" s="2"/>
      <c r="OE94" s="2"/>
      <c r="OF94" s="2"/>
      <c r="OG94" s="2"/>
      <c r="OH94" s="2"/>
      <c r="OI94" s="2"/>
      <c r="OJ94" s="2"/>
      <c r="OK94" s="2"/>
      <c r="OL94" s="2"/>
      <c r="OM94" s="2"/>
      <c r="ON94" s="2"/>
      <c r="OO94" s="2"/>
      <c r="OP94" s="2"/>
      <c r="OQ94" s="2"/>
      <c r="OR94" s="2"/>
      <c r="OS94" s="2"/>
      <c r="OT94" s="2"/>
      <c r="OU94" s="2"/>
      <c r="OV94" s="2"/>
      <c r="OW94" s="2"/>
      <c r="OX94" s="2"/>
      <c r="OY94" s="2"/>
      <c r="OZ94" s="2"/>
      <c r="PA94" s="2"/>
      <c r="PB94" s="2"/>
      <c r="PC94" s="2"/>
      <c r="PD94" s="2"/>
      <c r="PE94" s="2"/>
      <c r="PF94" s="2"/>
      <c r="PG94" s="2"/>
      <c r="PH94" s="2"/>
      <c r="PI94" s="2"/>
      <c r="PJ94" s="2"/>
      <c r="PK94" s="2"/>
      <c r="PL94" s="2"/>
      <c r="PM94" s="2"/>
      <c r="PN94" s="2"/>
      <c r="PO94" s="2"/>
      <c r="PP94" s="2"/>
      <c r="PQ94" s="2"/>
      <c r="PR94" s="2"/>
      <c r="PS94" s="2"/>
      <c r="PT94" s="2"/>
      <c r="PU94" s="2"/>
      <c r="PV94" s="2"/>
      <c r="PW94" s="2"/>
      <c r="PX94" s="2"/>
      <c r="PY94" s="2"/>
      <c r="PZ94" s="2"/>
      <c r="QA94" s="2"/>
      <c r="QB94" s="2"/>
      <c r="QC94" s="2"/>
      <c r="QD94" s="2"/>
      <c r="QE94" s="2"/>
      <c r="QF94" s="2"/>
      <c r="QG94" s="2"/>
      <c r="QH94" s="2"/>
      <c r="QI94" s="2"/>
      <c r="QJ94" s="2"/>
      <c r="QK94" s="2"/>
      <c r="QL94" s="2"/>
      <c r="QM94" s="2"/>
      <c r="QN94" s="2"/>
      <c r="QO94" s="2"/>
      <c r="QP94" s="2"/>
      <c r="QQ94" s="2"/>
      <c r="QR94" s="2"/>
      <c r="QS94" s="2"/>
      <c r="QT94" s="2"/>
      <c r="QU94" s="2"/>
      <c r="QV94" s="2"/>
      <c r="QW94" s="2"/>
      <c r="QX94" s="2"/>
      <c r="QY94" s="2"/>
      <c r="QZ94" s="2"/>
      <c r="RA94" s="2"/>
      <c r="RB94" s="2"/>
      <c r="RC94" s="2"/>
      <c r="RD94" s="2"/>
      <c r="RE94" s="2"/>
      <c r="RF94" s="2"/>
      <c r="RG94" s="2"/>
      <c r="RH94" s="2"/>
      <c r="RI94" s="2"/>
      <c r="RJ94" s="2"/>
      <c r="RK94" s="2"/>
      <c r="RL94" s="2"/>
      <c r="RM94" s="2"/>
      <c r="RN94" s="2"/>
      <c r="RO94" s="2"/>
      <c r="RP94" s="2"/>
      <c r="RQ94" s="2"/>
      <c r="RR94" s="2"/>
      <c r="RS94" s="2"/>
      <c r="RT94" s="2"/>
      <c r="RU94" s="2"/>
      <c r="RV94" s="2"/>
      <c r="RW94" s="2"/>
      <c r="RX94" s="2"/>
      <c r="RY94" s="2"/>
      <c r="RZ94" s="2"/>
      <c r="SA94" s="2"/>
      <c r="SB94" s="2"/>
      <c r="SC94" s="2"/>
      <c r="SD94" s="2"/>
      <c r="SE94" s="2"/>
      <c r="SF94" s="2"/>
      <c r="SG94" s="2"/>
      <c r="SH94" s="2"/>
      <c r="SI94" s="2"/>
      <c r="SJ94" s="2"/>
      <c r="SK94" s="2"/>
      <c r="SL94" s="2"/>
      <c r="SM94" s="2"/>
      <c r="SN94" s="2"/>
      <c r="SO94" s="2"/>
      <c r="SP94" s="2"/>
      <c r="SQ94" s="2"/>
      <c r="SR94" s="2"/>
      <c r="SS94" s="2"/>
      <c r="ST94" s="2"/>
      <c r="SU94" s="2"/>
      <c r="SV94" s="2"/>
      <c r="SW94" s="2"/>
      <c r="SX94" s="2"/>
    </row>
    <row r="95" spans="1:518" x14ac:dyDescent="0.25"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  <c r="FK95" s="2"/>
      <c r="FL95" s="2"/>
      <c r="FM95" s="2"/>
      <c r="FN95" s="2"/>
      <c r="FO95" s="2"/>
      <c r="FP95" s="2"/>
      <c r="FQ95" s="2"/>
      <c r="FR95" s="2"/>
      <c r="FS95" s="2"/>
      <c r="FT95" s="2"/>
      <c r="FU95" s="2"/>
      <c r="FV95" s="2"/>
      <c r="FW95" s="2"/>
      <c r="FX95" s="2"/>
      <c r="FY95" s="2"/>
      <c r="FZ95" s="2"/>
      <c r="GA95" s="2"/>
      <c r="GB95" s="2"/>
      <c r="GC95" s="2"/>
      <c r="GD95" s="2"/>
      <c r="GE95" s="2"/>
      <c r="GF95" s="2"/>
      <c r="GG95" s="2"/>
      <c r="GH95" s="2"/>
      <c r="GI95" s="2"/>
      <c r="GJ95" s="2"/>
      <c r="GK95" s="2"/>
      <c r="GL95" s="2"/>
      <c r="GM95" s="2"/>
      <c r="GN95" s="2"/>
      <c r="GO95" s="2"/>
      <c r="GP95" s="2"/>
      <c r="GQ95" s="2"/>
      <c r="GR95" s="2"/>
      <c r="GS95" s="2"/>
      <c r="GT95" s="2"/>
      <c r="GU95" s="2"/>
      <c r="GV95" s="2"/>
      <c r="GW95" s="2"/>
      <c r="GX95" s="2"/>
      <c r="GY95" s="2"/>
      <c r="GZ95" s="2"/>
      <c r="HA95" s="2"/>
      <c r="HB95" s="2"/>
      <c r="HC95" s="2"/>
      <c r="HD95" s="2"/>
      <c r="HE95" s="2"/>
      <c r="HF95" s="2"/>
      <c r="HG95" s="2"/>
      <c r="HH95" s="2"/>
      <c r="HI95" s="2"/>
      <c r="HJ95" s="2"/>
      <c r="HK95" s="2"/>
      <c r="HL95" s="2"/>
      <c r="HM95" s="2"/>
      <c r="HN95" s="2"/>
      <c r="HO95" s="2"/>
      <c r="HP95" s="2"/>
      <c r="HQ95" s="2"/>
      <c r="HR95" s="2"/>
      <c r="HS95" s="2"/>
      <c r="HT95" s="2"/>
      <c r="HU95" s="2"/>
      <c r="HV95" s="2"/>
      <c r="HW95" s="2"/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</row>
    <row r="96" spans="1:518" x14ac:dyDescent="0.25"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  <c r="FK96" s="2"/>
      <c r="FL96" s="2"/>
      <c r="FM96" s="2"/>
      <c r="FN96" s="2"/>
      <c r="FO96" s="2"/>
      <c r="FP96" s="2"/>
      <c r="FQ96" s="2"/>
      <c r="FR96" s="2"/>
      <c r="FS96" s="2"/>
      <c r="FT96" s="2"/>
      <c r="FU96" s="2"/>
      <c r="FV96" s="2"/>
      <c r="FW96" s="2"/>
      <c r="FX96" s="2"/>
      <c r="FY96" s="2"/>
      <c r="FZ96" s="2"/>
      <c r="GA96" s="2"/>
      <c r="GB96" s="2"/>
      <c r="GC96" s="2"/>
      <c r="GD96" s="2"/>
      <c r="GE96" s="2"/>
      <c r="GF96" s="2"/>
      <c r="GG96" s="2"/>
      <c r="GH96" s="2"/>
      <c r="GI96" s="2"/>
      <c r="GJ96" s="2"/>
      <c r="GK96" s="2"/>
      <c r="GL96" s="2"/>
      <c r="GM96" s="2"/>
      <c r="GN96" s="2"/>
      <c r="GO96" s="2"/>
      <c r="GP96" s="2"/>
      <c r="GQ96" s="2"/>
      <c r="GR96" s="2"/>
      <c r="GS96" s="2"/>
      <c r="GT96" s="2"/>
      <c r="GU96" s="2"/>
      <c r="GV96" s="2"/>
      <c r="GW96" s="2"/>
      <c r="GX96" s="2"/>
      <c r="GY96" s="2"/>
      <c r="GZ96" s="2"/>
      <c r="HA96" s="2"/>
      <c r="HB96" s="2"/>
      <c r="HC96" s="2"/>
      <c r="HD96" s="2"/>
      <c r="HE96" s="2"/>
      <c r="HF96" s="2"/>
      <c r="HG96" s="2"/>
      <c r="HH96" s="2"/>
      <c r="HI96" s="2"/>
      <c r="HJ96" s="2"/>
      <c r="HK96" s="2"/>
      <c r="HL96" s="2"/>
      <c r="HM96" s="2"/>
      <c r="HN96" s="2"/>
      <c r="HO96" s="2"/>
      <c r="HP96" s="2"/>
      <c r="HQ96" s="2"/>
      <c r="HR96" s="2"/>
      <c r="HS96" s="2"/>
      <c r="HT96" s="2"/>
      <c r="HU96" s="2"/>
      <c r="HV96" s="2"/>
      <c r="HW96" s="2"/>
      <c r="HX96" s="2"/>
      <c r="HY96" s="2"/>
      <c r="HZ96" s="2"/>
      <c r="IA96" s="2"/>
      <c r="IB96" s="2"/>
      <c r="IC96" s="2"/>
      <c r="ID96" s="2"/>
      <c r="IE96" s="2"/>
      <c r="IF96" s="2"/>
      <c r="IG96" s="2"/>
      <c r="IH96" s="2"/>
      <c r="II96" s="2"/>
      <c r="IJ96" s="2"/>
      <c r="IK96" s="2"/>
      <c r="IL96" s="2"/>
      <c r="IM96" s="2"/>
      <c r="IN96" s="2"/>
      <c r="IO96" s="2"/>
      <c r="IP96" s="2"/>
      <c r="IQ96" s="2"/>
      <c r="IR96" s="2"/>
      <c r="IS96" s="2"/>
      <c r="IT96" s="2"/>
      <c r="IU96" s="2"/>
      <c r="IV96" s="2"/>
      <c r="IW96" s="2"/>
      <c r="IX96" s="2"/>
      <c r="IY96" s="2"/>
      <c r="IZ96" s="2"/>
      <c r="JA96" s="2"/>
      <c r="JB96" s="2"/>
      <c r="JC96" s="2"/>
      <c r="JD96" s="2"/>
      <c r="JE96" s="2"/>
      <c r="JF96" s="2"/>
      <c r="JG96" s="2"/>
      <c r="JH96" s="2"/>
      <c r="JI96" s="2"/>
      <c r="JJ96" s="2"/>
      <c r="JK96" s="2"/>
      <c r="JL96" s="2"/>
      <c r="JM96" s="2"/>
      <c r="JN96" s="2"/>
      <c r="JO96" s="2"/>
      <c r="JP96" s="2"/>
      <c r="JQ96" s="2"/>
      <c r="JR96" s="2"/>
      <c r="JS96" s="2"/>
      <c r="JT96" s="2"/>
      <c r="JU96" s="2"/>
      <c r="JV96" s="2"/>
      <c r="JW96" s="2"/>
      <c r="JX96" s="2"/>
      <c r="JY96" s="2"/>
      <c r="JZ96" s="2"/>
      <c r="KA96" s="2"/>
      <c r="KB96" s="2"/>
      <c r="KC96" s="2"/>
      <c r="KD96" s="2"/>
      <c r="KE96" s="2"/>
      <c r="KF96" s="2"/>
      <c r="KG96" s="2"/>
      <c r="KH96" s="2"/>
      <c r="KI96" s="2"/>
      <c r="KJ96" s="2"/>
      <c r="KK96" s="2"/>
      <c r="KL96" s="2"/>
      <c r="KM96" s="2"/>
      <c r="KN96" s="2"/>
      <c r="KO96" s="2"/>
      <c r="KP96" s="2"/>
      <c r="KQ96" s="2"/>
      <c r="KR96" s="2"/>
      <c r="KS96" s="2"/>
      <c r="KT96" s="2"/>
      <c r="KU96" s="2"/>
      <c r="KV96" s="2"/>
      <c r="KW96" s="2"/>
      <c r="KX96" s="2"/>
      <c r="KY96" s="2"/>
      <c r="KZ96" s="2"/>
      <c r="LA96" s="2"/>
      <c r="LB96" s="2"/>
      <c r="LC96" s="2"/>
      <c r="LD96" s="2"/>
      <c r="LE96" s="2"/>
      <c r="LF96" s="2"/>
      <c r="LG96" s="2"/>
      <c r="LH96" s="2"/>
      <c r="LI96" s="2"/>
      <c r="LJ96" s="2"/>
      <c r="LK96" s="2"/>
      <c r="LL96" s="2"/>
      <c r="LM96" s="2"/>
      <c r="LN96" s="2"/>
      <c r="LO96" s="2"/>
      <c r="LP96" s="2"/>
      <c r="LQ96" s="2"/>
      <c r="LR96" s="2"/>
      <c r="LS96" s="2"/>
      <c r="LT96" s="2"/>
      <c r="LU96" s="2"/>
      <c r="LV96" s="2"/>
      <c r="LW96" s="2"/>
      <c r="LX96" s="2"/>
      <c r="LY96" s="2"/>
      <c r="LZ96" s="2"/>
      <c r="MA96" s="2"/>
      <c r="MB96" s="2"/>
      <c r="MC96" s="2"/>
      <c r="MD96" s="2"/>
      <c r="ME96" s="2"/>
      <c r="MF96" s="2"/>
      <c r="MG96" s="2"/>
      <c r="MH96" s="2"/>
      <c r="MI96" s="2"/>
      <c r="MJ96" s="2"/>
      <c r="MK96" s="2"/>
      <c r="ML96" s="2"/>
      <c r="MM96" s="2"/>
      <c r="MN96" s="2"/>
      <c r="MO96" s="2"/>
      <c r="MP96" s="2"/>
      <c r="MQ96" s="2"/>
      <c r="MR96" s="2"/>
      <c r="MS96" s="2"/>
      <c r="MT96" s="2"/>
      <c r="MU96" s="2"/>
      <c r="MV96" s="2"/>
      <c r="MW96" s="2"/>
      <c r="MX96" s="2"/>
      <c r="MY96" s="2"/>
      <c r="MZ96" s="2"/>
      <c r="NA96" s="2"/>
      <c r="NB96" s="2"/>
      <c r="NC96" s="2"/>
      <c r="ND96" s="2"/>
      <c r="NE96" s="2"/>
      <c r="NF96" s="2"/>
      <c r="NG96" s="2"/>
      <c r="NH96" s="2"/>
      <c r="NI96" s="2"/>
      <c r="NJ96" s="2"/>
      <c r="NK96" s="2"/>
      <c r="NL96" s="2"/>
      <c r="NM96" s="2"/>
      <c r="NN96" s="2"/>
      <c r="NO96" s="2"/>
      <c r="NP96" s="2"/>
      <c r="NQ96" s="2"/>
      <c r="NR96" s="2"/>
      <c r="NS96" s="2"/>
      <c r="NT96" s="2"/>
      <c r="NU96" s="2"/>
      <c r="NV96" s="2"/>
      <c r="NW96" s="2"/>
      <c r="NX96" s="2"/>
      <c r="NY96" s="2"/>
      <c r="NZ96" s="2"/>
      <c r="OA96" s="2"/>
      <c r="OB96" s="2"/>
      <c r="OC96" s="2"/>
      <c r="OD96" s="2"/>
      <c r="OE96" s="2"/>
      <c r="OF96" s="2"/>
      <c r="OG96" s="2"/>
      <c r="OH96" s="2"/>
      <c r="OI96" s="2"/>
      <c r="OJ96" s="2"/>
      <c r="OK96" s="2"/>
      <c r="OL96" s="2"/>
      <c r="OM96" s="2"/>
      <c r="ON96" s="2"/>
      <c r="OO96" s="2"/>
      <c r="OP96" s="2"/>
      <c r="OQ96" s="2"/>
      <c r="OR96" s="2"/>
      <c r="OS96" s="2"/>
      <c r="OT96" s="2"/>
      <c r="OU96" s="2"/>
      <c r="OV96" s="2"/>
      <c r="OW96" s="2"/>
      <c r="OX96" s="2"/>
      <c r="OY96" s="2"/>
      <c r="OZ96" s="2"/>
      <c r="PA96" s="2"/>
      <c r="PB96" s="2"/>
      <c r="PC96" s="2"/>
      <c r="PD96" s="2"/>
      <c r="PE96" s="2"/>
      <c r="PF96" s="2"/>
      <c r="PG96" s="2"/>
      <c r="PH96" s="2"/>
      <c r="PI96" s="2"/>
      <c r="PJ96" s="2"/>
      <c r="PK96" s="2"/>
      <c r="PL96" s="2"/>
      <c r="PM96" s="2"/>
      <c r="PN96" s="2"/>
      <c r="PO96" s="2"/>
      <c r="PP96" s="2"/>
      <c r="PQ96" s="2"/>
      <c r="PR96" s="2"/>
      <c r="PS96" s="2"/>
      <c r="PT96" s="2"/>
      <c r="PU96" s="2"/>
      <c r="PV96" s="2"/>
      <c r="PW96" s="2"/>
      <c r="PX96" s="2"/>
      <c r="PY96" s="2"/>
      <c r="PZ96" s="2"/>
      <c r="QA96" s="2"/>
      <c r="QB96" s="2"/>
      <c r="QC96" s="2"/>
      <c r="QD96" s="2"/>
      <c r="QE96" s="2"/>
      <c r="QF96" s="2"/>
      <c r="QG96" s="2"/>
      <c r="QH96" s="2"/>
      <c r="QI96" s="2"/>
      <c r="QJ96" s="2"/>
      <c r="QK96" s="2"/>
      <c r="QL96" s="2"/>
      <c r="QM96" s="2"/>
      <c r="QN96" s="2"/>
      <c r="QO96" s="2"/>
      <c r="QP96" s="2"/>
      <c r="QQ96" s="2"/>
      <c r="QR96" s="2"/>
      <c r="QS96" s="2"/>
      <c r="QT96" s="2"/>
      <c r="QU96" s="2"/>
      <c r="QV96" s="2"/>
      <c r="QW96" s="2"/>
      <c r="QX96" s="2"/>
      <c r="QY96" s="2"/>
      <c r="QZ96" s="2"/>
      <c r="RA96" s="2"/>
      <c r="RB96" s="2"/>
      <c r="RC96" s="2"/>
      <c r="RD96" s="2"/>
      <c r="RE96" s="2"/>
      <c r="RF96" s="2"/>
      <c r="RG96" s="2"/>
      <c r="RH96" s="2"/>
      <c r="RI96" s="2"/>
      <c r="RJ96" s="2"/>
      <c r="RK96" s="2"/>
      <c r="RL96" s="2"/>
      <c r="RM96" s="2"/>
      <c r="RN96" s="2"/>
      <c r="RO96" s="2"/>
      <c r="RP96" s="2"/>
      <c r="RQ96" s="2"/>
      <c r="RR96" s="2"/>
      <c r="RS96" s="2"/>
      <c r="RT96" s="2"/>
      <c r="RU96" s="2"/>
      <c r="RV96" s="2"/>
      <c r="RW96" s="2"/>
      <c r="RX96" s="2"/>
      <c r="RY96" s="2"/>
      <c r="RZ96" s="2"/>
      <c r="SA96" s="2"/>
      <c r="SB96" s="2"/>
      <c r="SC96" s="2"/>
      <c r="SD96" s="2"/>
      <c r="SE96" s="2"/>
      <c r="SF96" s="2"/>
      <c r="SG96" s="2"/>
      <c r="SH96" s="2"/>
      <c r="SI96" s="2"/>
      <c r="SJ96" s="2"/>
      <c r="SK96" s="2"/>
      <c r="SL96" s="2"/>
      <c r="SM96" s="2"/>
      <c r="SN96" s="2"/>
      <c r="SO96" s="2"/>
      <c r="SP96" s="2"/>
      <c r="SQ96" s="2"/>
      <c r="SR96" s="2"/>
      <c r="SS96" s="2"/>
      <c r="ST96" s="2"/>
      <c r="SU96" s="2"/>
      <c r="SV96" s="2"/>
      <c r="SW96" s="2"/>
      <c r="SX96" s="2"/>
    </row>
    <row r="97" spans="33:518" x14ac:dyDescent="0.25"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  <c r="FK97" s="2"/>
      <c r="FL97" s="2"/>
      <c r="FM97" s="2"/>
      <c r="FN97" s="2"/>
      <c r="FO97" s="2"/>
      <c r="FP97" s="2"/>
      <c r="FQ97" s="2"/>
      <c r="FR97" s="2"/>
      <c r="FS97" s="2"/>
      <c r="FT97" s="2"/>
      <c r="FU97" s="2"/>
      <c r="FV97" s="2"/>
      <c r="FW97" s="2"/>
      <c r="FX97" s="2"/>
      <c r="FY97" s="2"/>
      <c r="FZ97" s="2"/>
      <c r="GA97" s="2"/>
      <c r="GB97" s="2"/>
      <c r="GC97" s="2"/>
      <c r="GD97" s="2"/>
      <c r="GE97" s="2"/>
      <c r="GF97" s="2"/>
      <c r="GG97" s="2"/>
      <c r="GH97" s="2"/>
      <c r="GI97" s="2"/>
      <c r="GJ97" s="2"/>
      <c r="GK97" s="2"/>
      <c r="GL97" s="2"/>
      <c r="GM97" s="2"/>
      <c r="GN97" s="2"/>
      <c r="GO97" s="2"/>
      <c r="GP97" s="2"/>
      <c r="GQ97" s="2"/>
      <c r="GR97" s="2"/>
      <c r="GS97" s="2"/>
      <c r="GT97" s="2"/>
      <c r="GU97" s="2"/>
      <c r="GV97" s="2"/>
      <c r="GW97" s="2"/>
      <c r="GX97" s="2"/>
      <c r="GY97" s="2"/>
      <c r="GZ97" s="2"/>
      <c r="HA97" s="2"/>
      <c r="HB97" s="2"/>
      <c r="HC97" s="2"/>
      <c r="HD97" s="2"/>
      <c r="HE97" s="2"/>
      <c r="HF97" s="2"/>
      <c r="HG97" s="2"/>
      <c r="HH97" s="2"/>
      <c r="HI97" s="2"/>
      <c r="HJ97" s="2"/>
      <c r="HK97" s="2"/>
      <c r="HL97" s="2"/>
      <c r="HM97" s="2"/>
      <c r="HN97" s="2"/>
      <c r="HO97" s="2"/>
      <c r="HP97" s="2"/>
      <c r="HQ97" s="2"/>
      <c r="HR97" s="2"/>
      <c r="HS97" s="2"/>
      <c r="HT97" s="2"/>
      <c r="HU97" s="2"/>
      <c r="HV97" s="2"/>
      <c r="HW97" s="2"/>
      <c r="HX97" s="2"/>
      <c r="HY97" s="2"/>
      <c r="HZ97" s="2"/>
      <c r="IA97" s="2"/>
      <c r="IB97" s="2"/>
      <c r="IC97" s="2"/>
      <c r="ID97" s="2"/>
      <c r="IE97" s="2"/>
      <c r="IF97" s="2"/>
      <c r="IG97" s="2"/>
      <c r="IH97" s="2"/>
      <c r="II97" s="2"/>
      <c r="IJ97" s="2"/>
      <c r="IK97" s="2"/>
      <c r="IL97" s="2"/>
      <c r="IM97" s="2"/>
      <c r="IN97" s="2"/>
      <c r="IO97" s="2"/>
      <c r="IP97" s="2"/>
      <c r="IQ97" s="2"/>
      <c r="IR97" s="2"/>
      <c r="IS97" s="2"/>
      <c r="IT97" s="2"/>
      <c r="IU97" s="2"/>
      <c r="IV97" s="2"/>
      <c r="IW97" s="2"/>
      <c r="IX97" s="2"/>
      <c r="IY97" s="2"/>
      <c r="IZ97" s="2"/>
      <c r="JA97" s="2"/>
      <c r="JB97" s="2"/>
      <c r="JC97" s="2"/>
      <c r="JD97" s="2"/>
      <c r="JE97" s="2"/>
      <c r="JF97" s="2"/>
      <c r="JG97" s="2"/>
      <c r="JH97" s="2"/>
      <c r="JI97" s="2"/>
      <c r="JJ97" s="2"/>
      <c r="JK97" s="2"/>
      <c r="JL97" s="2"/>
      <c r="JM97" s="2"/>
      <c r="JN97" s="2"/>
      <c r="JO97" s="2"/>
      <c r="JP97" s="2"/>
      <c r="JQ97" s="2"/>
      <c r="JR97" s="2"/>
      <c r="JS97" s="2"/>
      <c r="JT97" s="2"/>
      <c r="JU97" s="2"/>
      <c r="JV97" s="2"/>
      <c r="JW97" s="2"/>
      <c r="JX97" s="2"/>
      <c r="JY97" s="2"/>
      <c r="JZ97" s="2"/>
      <c r="KA97" s="2"/>
      <c r="KB97" s="2"/>
      <c r="KC97" s="2"/>
      <c r="KD97" s="2"/>
      <c r="KE97" s="2"/>
      <c r="KF97" s="2"/>
      <c r="KG97" s="2"/>
      <c r="KH97" s="2"/>
      <c r="KI97" s="2"/>
      <c r="KJ97" s="2"/>
      <c r="KK97" s="2"/>
      <c r="KL97" s="2"/>
      <c r="KM97" s="2"/>
      <c r="KN97" s="2"/>
      <c r="KO97" s="2"/>
      <c r="KP97" s="2"/>
      <c r="KQ97" s="2"/>
      <c r="KR97" s="2"/>
      <c r="KS97" s="2"/>
      <c r="KT97" s="2"/>
      <c r="KU97" s="2"/>
      <c r="KV97" s="2"/>
      <c r="KW97" s="2"/>
      <c r="KX97" s="2"/>
      <c r="KY97" s="2"/>
      <c r="KZ97" s="2"/>
      <c r="LA97" s="2"/>
      <c r="LB97" s="2"/>
      <c r="LC97" s="2"/>
      <c r="LD97" s="2"/>
      <c r="LE97" s="2"/>
      <c r="LF97" s="2"/>
      <c r="LG97" s="2"/>
      <c r="LH97" s="2"/>
      <c r="LI97" s="2"/>
      <c r="LJ97" s="2"/>
      <c r="LK97" s="2"/>
      <c r="LL97" s="2"/>
      <c r="LM97" s="2"/>
      <c r="LN97" s="2"/>
      <c r="LO97" s="2"/>
      <c r="LP97" s="2"/>
      <c r="LQ97" s="2"/>
      <c r="LR97" s="2"/>
      <c r="LS97" s="2"/>
      <c r="LT97" s="2"/>
      <c r="LU97" s="2"/>
      <c r="LV97" s="2"/>
      <c r="LW97" s="2"/>
      <c r="LX97" s="2"/>
      <c r="LY97" s="2"/>
      <c r="LZ97" s="2"/>
      <c r="MA97" s="2"/>
      <c r="MB97" s="2"/>
      <c r="MC97" s="2"/>
      <c r="MD97" s="2"/>
      <c r="ME97" s="2"/>
      <c r="MF97" s="2"/>
      <c r="MG97" s="2"/>
      <c r="MH97" s="2"/>
      <c r="MI97" s="2"/>
      <c r="MJ97" s="2"/>
      <c r="MK97" s="2"/>
      <c r="ML97" s="2"/>
      <c r="MM97" s="2"/>
      <c r="MN97" s="2"/>
      <c r="MO97" s="2"/>
      <c r="MP97" s="2"/>
      <c r="MQ97" s="2"/>
      <c r="MR97" s="2"/>
      <c r="MS97" s="2"/>
      <c r="MT97" s="2"/>
      <c r="MU97" s="2"/>
      <c r="MV97" s="2"/>
      <c r="MW97" s="2"/>
      <c r="MX97" s="2"/>
      <c r="MY97" s="2"/>
      <c r="MZ97" s="2"/>
      <c r="NA97" s="2"/>
      <c r="NB97" s="2"/>
      <c r="NC97" s="2"/>
      <c r="ND97" s="2"/>
      <c r="NE97" s="2"/>
      <c r="NF97" s="2"/>
      <c r="NG97" s="2"/>
      <c r="NH97" s="2"/>
      <c r="NI97" s="2"/>
      <c r="NJ97" s="2"/>
      <c r="NK97" s="2"/>
      <c r="NL97" s="2"/>
      <c r="NM97" s="2"/>
      <c r="NN97" s="2"/>
      <c r="NO97" s="2"/>
      <c r="NP97" s="2"/>
      <c r="NQ97" s="2"/>
      <c r="NR97" s="2"/>
      <c r="NS97" s="2"/>
      <c r="NT97" s="2"/>
      <c r="NU97" s="2"/>
      <c r="NV97" s="2"/>
      <c r="NW97" s="2"/>
      <c r="NX97" s="2"/>
      <c r="NY97" s="2"/>
      <c r="NZ97" s="2"/>
      <c r="OA97" s="2"/>
      <c r="OB97" s="2"/>
      <c r="OC97" s="2"/>
      <c r="OD97" s="2"/>
      <c r="OE97" s="2"/>
      <c r="OF97" s="2"/>
      <c r="OG97" s="2"/>
      <c r="OH97" s="2"/>
      <c r="OI97" s="2"/>
      <c r="OJ97" s="2"/>
      <c r="OK97" s="2"/>
      <c r="OL97" s="2"/>
      <c r="OM97" s="2"/>
      <c r="ON97" s="2"/>
      <c r="OO97" s="2"/>
      <c r="OP97" s="2"/>
      <c r="OQ97" s="2"/>
      <c r="OR97" s="2"/>
      <c r="OS97" s="2"/>
      <c r="OT97" s="2"/>
      <c r="OU97" s="2"/>
      <c r="OV97" s="2"/>
      <c r="OW97" s="2"/>
      <c r="OX97" s="2"/>
      <c r="OY97" s="2"/>
      <c r="OZ97" s="2"/>
      <c r="PA97" s="2"/>
      <c r="PB97" s="2"/>
      <c r="PC97" s="2"/>
      <c r="PD97" s="2"/>
      <c r="PE97" s="2"/>
      <c r="PF97" s="2"/>
      <c r="PG97" s="2"/>
      <c r="PH97" s="2"/>
      <c r="PI97" s="2"/>
      <c r="PJ97" s="2"/>
      <c r="PK97" s="2"/>
      <c r="PL97" s="2"/>
      <c r="PM97" s="2"/>
      <c r="PN97" s="2"/>
      <c r="PO97" s="2"/>
      <c r="PP97" s="2"/>
      <c r="PQ97" s="2"/>
      <c r="PR97" s="2"/>
      <c r="PS97" s="2"/>
      <c r="PT97" s="2"/>
      <c r="PU97" s="2"/>
      <c r="PV97" s="2"/>
      <c r="PW97" s="2"/>
      <c r="PX97" s="2"/>
      <c r="PY97" s="2"/>
      <c r="PZ97" s="2"/>
      <c r="QA97" s="2"/>
      <c r="QB97" s="2"/>
      <c r="QC97" s="2"/>
      <c r="QD97" s="2"/>
      <c r="QE97" s="2"/>
      <c r="QF97" s="2"/>
      <c r="QG97" s="2"/>
      <c r="QH97" s="2"/>
      <c r="QI97" s="2"/>
      <c r="QJ97" s="2"/>
      <c r="QK97" s="2"/>
      <c r="QL97" s="2"/>
      <c r="QM97" s="2"/>
      <c r="QN97" s="2"/>
      <c r="QO97" s="2"/>
      <c r="QP97" s="2"/>
      <c r="QQ97" s="2"/>
      <c r="QR97" s="2"/>
      <c r="QS97" s="2"/>
      <c r="QT97" s="2"/>
      <c r="QU97" s="2"/>
      <c r="QV97" s="2"/>
      <c r="QW97" s="2"/>
      <c r="QX97" s="2"/>
      <c r="QY97" s="2"/>
      <c r="QZ97" s="2"/>
      <c r="RA97" s="2"/>
      <c r="RB97" s="2"/>
      <c r="RC97" s="2"/>
      <c r="RD97" s="2"/>
      <c r="RE97" s="2"/>
      <c r="RF97" s="2"/>
      <c r="RG97" s="2"/>
      <c r="RH97" s="2"/>
      <c r="RI97" s="2"/>
      <c r="RJ97" s="2"/>
      <c r="RK97" s="2"/>
      <c r="RL97" s="2"/>
      <c r="RM97" s="2"/>
      <c r="RN97" s="2"/>
      <c r="RO97" s="2"/>
      <c r="RP97" s="2"/>
      <c r="RQ97" s="2"/>
      <c r="RR97" s="2"/>
      <c r="RS97" s="2"/>
      <c r="RT97" s="2"/>
      <c r="RU97" s="2"/>
      <c r="RV97" s="2"/>
      <c r="RW97" s="2"/>
      <c r="RX97" s="2"/>
      <c r="RY97" s="2"/>
      <c r="RZ97" s="2"/>
      <c r="SA97" s="2"/>
      <c r="SB97" s="2"/>
      <c r="SC97" s="2"/>
      <c r="SD97" s="2"/>
      <c r="SE97" s="2"/>
      <c r="SF97" s="2"/>
      <c r="SG97" s="2"/>
      <c r="SH97" s="2"/>
      <c r="SI97" s="2"/>
      <c r="SJ97" s="2"/>
      <c r="SK97" s="2"/>
      <c r="SL97" s="2"/>
      <c r="SM97" s="2"/>
      <c r="SN97" s="2"/>
      <c r="SO97" s="2"/>
      <c r="SP97" s="2"/>
      <c r="SQ97" s="2"/>
      <c r="SR97" s="2"/>
      <c r="SS97" s="2"/>
      <c r="ST97" s="2"/>
      <c r="SU97" s="2"/>
      <c r="SV97" s="2"/>
      <c r="SW97" s="2"/>
      <c r="SX97" s="2"/>
    </row>
    <row r="98" spans="33:518" x14ac:dyDescent="0.25"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  <c r="FK98" s="2"/>
      <c r="FL98" s="2"/>
      <c r="FM98" s="2"/>
      <c r="FN98" s="2"/>
      <c r="FO98" s="2"/>
      <c r="FP98" s="2"/>
      <c r="FQ98" s="2"/>
      <c r="FR98" s="2"/>
      <c r="FS98" s="2"/>
      <c r="FT98" s="2"/>
      <c r="FU98" s="2"/>
      <c r="FV98" s="2"/>
      <c r="FW98" s="2"/>
      <c r="FX98" s="2"/>
      <c r="FY98" s="2"/>
      <c r="FZ98" s="2"/>
      <c r="GA98" s="2"/>
      <c r="GB98" s="2"/>
      <c r="GC98" s="2"/>
      <c r="GD98" s="2"/>
      <c r="GE98" s="2"/>
      <c r="GF98" s="2"/>
      <c r="GG98" s="2"/>
      <c r="GH98" s="2"/>
      <c r="GI98" s="2"/>
      <c r="GJ98" s="2"/>
      <c r="GK98" s="2"/>
      <c r="GL98" s="2"/>
      <c r="GM98" s="2"/>
      <c r="GN98" s="2"/>
      <c r="GO98" s="2"/>
      <c r="GP98" s="2"/>
      <c r="GQ98" s="2"/>
      <c r="GR98" s="2"/>
      <c r="GS98" s="2"/>
      <c r="GT98" s="2"/>
      <c r="GU98" s="2"/>
      <c r="GV98" s="2"/>
      <c r="GW98" s="2"/>
      <c r="GX98" s="2"/>
      <c r="GY98" s="2"/>
      <c r="GZ98" s="2"/>
      <c r="HA98" s="2"/>
      <c r="HB98" s="2"/>
      <c r="HC98" s="2"/>
      <c r="HD98" s="2"/>
      <c r="HE98" s="2"/>
      <c r="HF98" s="2"/>
      <c r="HG98" s="2"/>
      <c r="HH98" s="2"/>
      <c r="HI98" s="2"/>
      <c r="HJ98" s="2"/>
      <c r="HK98" s="2"/>
      <c r="HL98" s="2"/>
      <c r="HM98" s="2"/>
      <c r="HN98" s="2"/>
      <c r="HO98" s="2"/>
      <c r="HP98" s="2"/>
      <c r="HQ98" s="2"/>
      <c r="HR98" s="2"/>
      <c r="HS98" s="2"/>
      <c r="HT98" s="2"/>
      <c r="HU98" s="2"/>
      <c r="HV98" s="2"/>
      <c r="HW98" s="2"/>
      <c r="HX98" s="2"/>
      <c r="HY98" s="2"/>
      <c r="HZ98" s="2"/>
      <c r="IA98" s="2"/>
      <c r="IB98" s="2"/>
      <c r="IC98" s="2"/>
      <c r="ID98" s="2"/>
      <c r="IE98" s="2"/>
      <c r="IF98" s="2"/>
      <c r="IG98" s="2"/>
      <c r="IH98" s="2"/>
      <c r="II98" s="2"/>
      <c r="IJ98" s="2"/>
      <c r="IK98" s="2"/>
      <c r="IL98" s="2"/>
      <c r="IM98" s="2"/>
      <c r="IN98" s="2"/>
      <c r="IO98" s="2"/>
      <c r="IP98" s="2"/>
      <c r="IQ98" s="2"/>
      <c r="IR98" s="2"/>
      <c r="IS98" s="2"/>
      <c r="IT98" s="2"/>
      <c r="IU98" s="2"/>
      <c r="IV98" s="2"/>
      <c r="IW98" s="2"/>
      <c r="IX98" s="2"/>
      <c r="IY98" s="2"/>
      <c r="IZ98" s="2"/>
      <c r="JA98" s="2"/>
      <c r="JB98" s="2"/>
      <c r="JC98" s="2"/>
      <c r="JD98" s="2"/>
      <c r="JE98" s="2"/>
      <c r="JF98" s="2"/>
      <c r="JG98" s="2"/>
      <c r="JH98" s="2"/>
      <c r="JI98" s="2"/>
      <c r="JJ98" s="2"/>
      <c r="JK98" s="2"/>
      <c r="JL98" s="2"/>
      <c r="JM98" s="2"/>
      <c r="JN98" s="2"/>
      <c r="JO98" s="2"/>
      <c r="JP98" s="2"/>
      <c r="JQ98" s="2"/>
      <c r="JR98" s="2"/>
      <c r="JS98" s="2"/>
      <c r="JT98" s="2"/>
      <c r="JU98" s="2"/>
      <c r="JV98" s="2"/>
      <c r="JW98" s="2"/>
      <c r="JX98" s="2"/>
      <c r="JY98" s="2"/>
      <c r="JZ98" s="2"/>
      <c r="KA98" s="2"/>
      <c r="KB98" s="2"/>
      <c r="KC98" s="2"/>
      <c r="KD98" s="2"/>
      <c r="KE98" s="2"/>
      <c r="KF98" s="2"/>
      <c r="KG98" s="2"/>
      <c r="KH98" s="2"/>
      <c r="KI98" s="2"/>
      <c r="KJ98" s="2"/>
      <c r="KK98" s="2"/>
      <c r="KL98" s="2"/>
      <c r="KM98" s="2"/>
      <c r="KN98" s="2"/>
      <c r="KO98" s="2"/>
      <c r="KP98" s="2"/>
      <c r="KQ98" s="2"/>
      <c r="KR98" s="2"/>
      <c r="KS98" s="2"/>
      <c r="KT98" s="2"/>
      <c r="KU98" s="2"/>
      <c r="KV98" s="2"/>
      <c r="KW98" s="2"/>
      <c r="KX98" s="2"/>
      <c r="KY98" s="2"/>
      <c r="KZ98" s="2"/>
      <c r="LA98" s="2"/>
      <c r="LB98" s="2"/>
      <c r="LC98" s="2"/>
      <c r="LD98" s="2"/>
      <c r="LE98" s="2"/>
      <c r="LF98" s="2"/>
      <c r="LG98" s="2"/>
      <c r="LH98" s="2"/>
      <c r="LI98" s="2"/>
      <c r="LJ98" s="2"/>
      <c r="LK98" s="2"/>
      <c r="LL98" s="2"/>
      <c r="LM98" s="2"/>
      <c r="LN98" s="2"/>
      <c r="LO98" s="2"/>
      <c r="LP98" s="2"/>
      <c r="LQ98" s="2"/>
      <c r="LR98" s="2"/>
      <c r="LS98" s="2"/>
      <c r="LT98" s="2"/>
      <c r="LU98" s="2"/>
      <c r="LV98" s="2"/>
      <c r="LW98" s="2"/>
      <c r="LX98" s="2"/>
      <c r="LY98" s="2"/>
      <c r="LZ98" s="2"/>
      <c r="MA98" s="2"/>
      <c r="MB98" s="2"/>
      <c r="MC98" s="2"/>
      <c r="MD98" s="2"/>
      <c r="ME98" s="2"/>
      <c r="MF98" s="2"/>
      <c r="MG98" s="2"/>
      <c r="MH98" s="2"/>
      <c r="MI98" s="2"/>
      <c r="MJ98" s="2"/>
      <c r="MK98" s="2"/>
      <c r="ML98" s="2"/>
      <c r="MM98" s="2"/>
      <c r="MN98" s="2"/>
      <c r="MO98" s="2"/>
      <c r="MP98" s="2"/>
      <c r="MQ98" s="2"/>
      <c r="MR98" s="2"/>
      <c r="MS98" s="2"/>
      <c r="MT98" s="2"/>
      <c r="MU98" s="2"/>
      <c r="MV98" s="2"/>
      <c r="MW98" s="2"/>
      <c r="MX98" s="2"/>
      <c r="MY98" s="2"/>
      <c r="MZ98" s="2"/>
      <c r="NA98" s="2"/>
      <c r="NB98" s="2"/>
      <c r="NC98" s="2"/>
      <c r="ND98" s="2"/>
      <c r="NE98" s="2"/>
      <c r="NF98" s="2"/>
      <c r="NG98" s="2"/>
      <c r="NH98" s="2"/>
      <c r="NI98" s="2"/>
      <c r="NJ98" s="2"/>
      <c r="NK98" s="2"/>
      <c r="NL98" s="2"/>
      <c r="NM98" s="2"/>
      <c r="NN98" s="2"/>
      <c r="NO98" s="2"/>
      <c r="NP98" s="2"/>
      <c r="NQ98" s="2"/>
      <c r="NR98" s="2"/>
      <c r="NS98" s="2"/>
      <c r="NT98" s="2"/>
      <c r="NU98" s="2"/>
      <c r="NV98" s="2"/>
      <c r="NW98" s="2"/>
      <c r="NX98" s="2"/>
      <c r="NY98" s="2"/>
      <c r="NZ98" s="2"/>
      <c r="OA98" s="2"/>
      <c r="OB98" s="2"/>
      <c r="OC98" s="2"/>
      <c r="OD98" s="2"/>
      <c r="OE98" s="2"/>
      <c r="OF98" s="2"/>
      <c r="OG98" s="2"/>
      <c r="OH98" s="2"/>
      <c r="OI98" s="2"/>
      <c r="OJ98" s="2"/>
      <c r="OK98" s="2"/>
      <c r="OL98" s="2"/>
      <c r="OM98" s="2"/>
      <c r="ON98" s="2"/>
      <c r="OO98" s="2"/>
      <c r="OP98" s="2"/>
      <c r="OQ98" s="2"/>
      <c r="OR98" s="2"/>
      <c r="OS98" s="2"/>
      <c r="OT98" s="2"/>
      <c r="OU98" s="2"/>
      <c r="OV98" s="2"/>
      <c r="OW98" s="2"/>
      <c r="OX98" s="2"/>
      <c r="OY98" s="2"/>
      <c r="OZ98" s="2"/>
      <c r="PA98" s="2"/>
      <c r="PB98" s="2"/>
      <c r="PC98" s="2"/>
      <c r="PD98" s="2"/>
      <c r="PE98" s="2"/>
      <c r="PF98" s="2"/>
      <c r="PG98" s="2"/>
      <c r="PH98" s="2"/>
      <c r="PI98" s="2"/>
      <c r="PJ98" s="2"/>
      <c r="PK98" s="2"/>
      <c r="PL98" s="2"/>
      <c r="PM98" s="2"/>
      <c r="PN98" s="2"/>
      <c r="PO98" s="2"/>
      <c r="PP98" s="2"/>
      <c r="PQ98" s="2"/>
      <c r="PR98" s="2"/>
      <c r="PS98" s="2"/>
      <c r="PT98" s="2"/>
      <c r="PU98" s="2"/>
      <c r="PV98" s="2"/>
      <c r="PW98" s="2"/>
      <c r="PX98" s="2"/>
      <c r="PY98" s="2"/>
      <c r="PZ98" s="2"/>
      <c r="QA98" s="2"/>
      <c r="QB98" s="2"/>
      <c r="QC98" s="2"/>
      <c r="QD98" s="2"/>
      <c r="QE98" s="2"/>
      <c r="QF98" s="2"/>
      <c r="QG98" s="2"/>
      <c r="QH98" s="2"/>
      <c r="QI98" s="2"/>
      <c r="QJ98" s="2"/>
      <c r="QK98" s="2"/>
      <c r="QL98" s="2"/>
      <c r="QM98" s="2"/>
      <c r="QN98" s="2"/>
      <c r="QO98" s="2"/>
      <c r="QP98" s="2"/>
      <c r="QQ98" s="2"/>
      <c r="QR98" s="2"/>
      <c r="QS98" s="2"/>
      <c r="QT98" s="2"/>
      <c r="QU98" s="2"/>
      <c r="QV98" s="2"/>
      <c r="QW98" s="2"/>
      <c r="QX98" s="2"/>
      <c r="QY98" s="2"/>
      <c r="QZ98" s="2"/>
      <c r="RA98" s="2"/>
      <c r="RB98" s="2"/>
      <c r="RC98" s="2"/>
      <c r="RD98" s="2"/>
      <c r="RE98" s="2"/>
      <c r="RF98" s="2"/>
      <c r="RG98" s="2"/>
      <c r="RH98" s="2"/>
      <c r="RI98" s="2"/>
      <c r="RJ98" s="2"/>
      <c r="RK98" s="2"/>
      <c r="RL98" s="2"/>
      <c r="RM98" s="2"/>
      <c r="RN98" s="2"/>
      <c r="RO98" s="2"/>
      <c r="RP98" s="2"/>
      <c r="RQ98" s="2"/>
      <c r="RR98" s="2"/>
      <c r="RS98" s="2"/>
      <c r="RT98" s="2"/>
      <c r="RU98" s="2"/>
      <c r="RV98" s="2"/>
      <c r="RW98" s="2"/>
      <c r="RX98" s="2"/>
      <c r="RY98" s="2"/>
      <c r="RZ98" s="2"/>
      <c r="SA98" s="2"/>
      <c r="SB98" s="2"/>
      <c r="SC98" s="2"/>
      <c r="SD98" s="2"/>
      <c r="SE98" s="2"/>
      <c r="SF98" s="2"/>
      <c r="SG98" s="2"/>
      <c r="SH98" s="2"/>
      <c r="SI98" s="2"/>
      <c r="SJ98" s="2"/>
      <c r="SK98" s="2"/>
      <c r="SL98" s="2"/>
      <c r="SM98" s="2"/>
      <c r="SN98" s="2"/>
      <c r="SO98" s="2"/>
      <c r="SP98" s="2"/>
      <c r="SQ98" s="2"/>
      <c r="SR98" s="2"/>
      <c r="SS98" s="2"/>
      <c r="ST98" s="2"/>
      <c r="SU98" s="2"/>
      <c r="SV98" s="2"/>
      <c r="SW98" s="2"/>
      <c r="SX98" s="2"/>
    </row>
    <row r="99" spans="33:518" x14ac:dyDescent="0.25"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  <c r="FK99" s="2"/>
      <c r="FL99" s="2"/>
      <c r="FM99" s="2"/>
      <c r="FN99" s="2"/>
      <c r="FO99" s="2"/>
      <c r="FP99" s="2"/>
      <c r="FQ99" s="2"/>
      <c r="FR99" s="2"/>
      <c r="FS99" s="2"/>
      <c r="FT99" s="2"/>
      <c r="FU99" s="2"/>
      <c r="FV99" s="2"/>
      <c r="FW99" s="2"/>
      <c r="FX99" s="2"/>
      <c r="FY99" s="2"/>
      <c r="FZ99" s="2"/>
      <c r="GA99" s="2"/>
      <c r="GB99" s="2"/>
      <c r="GC99" s="2"/>
      <c r="GD99" s="2"/>
      <c r="GE99" s="2"/>
      <c r="GF99" s="2"/>
      <c r="GG99" s="2"/>
      <c r="GH99" s="2"/>
      <c r="GI99" s="2"/>
      <c r="GJ99" s="2"/>
      <c r="GK99" s="2"/>
      <c r="GL99" s="2"/>
      <c r="GM99" s="2"/>
      <c r="GN99" s="2"/>
      <c r="GO99" s="2"/>
      <c r="GP99" s="2"/>
      <c r="GQ99" s="2"/>
      <c r="GR99" s="2"/>
      <c r="GS99" s="2"/>
      <c r="GT99" s="2"/>
      <c r="GU99" s="2"/>
      <c r="GV99" s="2"/>
      <c r="GW99" s="2"/>
      <c r="GX99" s="2"/>
      <c r="GY99" s="2"/>
      <c r="GZ99" s="2"/>
      <c r="HA99" s="2"/>
      <c r="HB99" s="2"/>
      <c r="HC99" s="2"/>
      <c r="HD99" s="2"/>
      <c r="HE99" s="2"/>
      <c r="HF99" s="2"/>
      <c r="HG99" s="2"/>
      <c r="HH99" s="2"/>
      <c r="HI99" s="2"/>
      <c r="HJ99" s="2"/>
      <c r="HK99" s="2"/>
      <c r="HL99" s="2"/>
      <c r="HM99" s="2"/>
      <c r="HN99" s="2"/>
      <c r="HO99" s="2"/>
      <c r="HP99" s="2"/>
      <c r="HQ99" s="2"/>
      <c r="HR99" s="2"/>
      <c r="HS99" s="2"/>
      <c r="HT99" s="2"/>
      <c r="HU99" s="2"/>
      <c r="HV99" s="2"/>
      <c r="HW99" s="2"/>
      <c r="HX99" s="2"/>
      <c r="HY99" s="2"/>
      <c r="HZ99" s="2"/>
      <c r="IA99" s="2"/>
      <c r="IB99" s="2"/>
      <c r="IC99" s="2"/>
      <c r="ID99" s="2"/>
      <c r="IE99" s="2"/>
      <c r="IF99" s="2"/>
      <c r="IG99" s="2"/>
      <c r="IH99" s="2"/>
      <c r="II99" s="2"/>
      <c r="IJ99" s="2"/>
      <c r="IK99" s="2"/>
      <c r="IL99" s="2"/>
      <c r="IM99" s="2"/>
      <c r="IN99" s="2"/>
      <c r="IO99" s="2"/>
      <c r="IP99" s="2"/>
      <c r="IQ99" s="2"/>
      <c r="IR99" s="2"/>
      <c r="IS99" s="2"/>
      <c r="IT99" s="2"/>
      <c r="IU99" s="2"/>
      <c r="IV99" s="2"/>
      <c r="IW99" s="2"/>
      <c r="IX99" s="2"/>
      <c r="IY99" s="2"/>
      <c r="IZ99" s="2"/>
      <c r="JA99" s="2"/>
      <c r="JB99" s="2"/>
      <c r="JC99" s="2"/>
      <c r="JD99" s="2"/>
      <c r="JE99" s="2"/>
      <c r="JF99" s="2"/>
      <c r="JG99" s="2"/>
      <c r="JH99" s="2"/>
      <c r="JI99" s="2"/>
      <c r="JJ99" s="2"/>
      <c r="JK99" s="2"/>
      <c r="JL99" s="2"/>
      <c r="JM99" s="2"/>
      <c r="JN99" s="2"/>
      <c r="JO99" s="2"/>
      <c r="JP99" s="2"/>
      <c r="JQ99" s="2"/>
      <c r="JR99" s="2"/>
      <c r="JS99" s="2"/>
      <c r="JT99" s="2"/>
      <c r="JU99" s="2"/>
      <c r="JV99" s="2"/>
      <c r="JW99" s="2"/>
      <c r="JX99" s="2"/>
      <c r="JY99" s="2"/>
      <c r="JZ99" s="2"/>
      <c r="KA99" s="2"/>
      <c r="KB99" s="2"/>
      <c r="KC99" s="2"/>
      <c r="KD99" s="2"/>
      <c r="KE99" s="2"/>
      <c r="KF99" s="2"/>
      <c r="KG99" s="2"/>
      <c r="KH99" s="2"/>
      <c r="KI99" s="2"/>
      <c r="KJ99" s="2"/>
      <c r="KK99" s="2"/>
      <c r="KL99" s="2"/>
      <c r="KM99" s="2"/>
      <c r="KN99" s="2"/>
      <c r="KO99" s="2"/>
      <c r="KP99" s="2"/>
      <c r="KQ99" s="2"/>
      <c r="KR99" s="2"/>
      <c r="KS99" s="2"/>
      <c r="KT99" s="2"/>
      <c r="KU99" s="2"/>
      <c r="KV99" s="2"/>
      <c r="KW99" s="2"/>
      <c r="KX99" s="2"/>
      <c r="KY99" s="2"/>
      <c r="KZ99" s="2"/>
      <c r="LA99" s="2"/>
      <c r="LB99" s="2"/>
      <c r="LC99" s="2"/>
      <c r="LD99" s="2"/>
      <c r="LE99" s="2"/>
      <c r="LF99" s="2"/>
      <c r="LG99" s="2"/>
      <c r="LH99" s="2"/>
      <c r="LI99" s="2"/>
      <c r="LJ99" s="2"/>
      <c r="LK99" s="2"/>
      <c r="LL99" s="2"/>
      <c r="LM99" s="2"/>
      <c r="LN99" s="2"/>
      <c r="LO99" s="2"/>
      <c r="LP99" s="2"/>
      <c r="LQ99" s="2"/>
      <c r="LR99" s="2"/>
      <c r="LS99" s="2"/>
      <c r="LT99" s="2"/>
      <c r="LU99" s="2"/>
      <c r="LV99" s="2"/>
      <c r="LW99" s="2"/>
      <c r="LX99" s="2"/>
      <c r="LY99" s="2"/>
      <c r="LZ99" s="2"/>
      <c r="MA99" s="2"/>
      <c r="MB99" s="2"/>
      <c r="MC99" s="2"/>
      <c r="MD99" s="2"/>
      <c r="ME99" s="2"/>
      <c r="MF99" s="2"/>
      <c r="MG99" s="2"/>
      <c r="MH99" s="2"/>
      <c r="MI99" s="2"/>
      <c r="MJ99" s="2"/>
      <c r="MK99" s="2"/>
      <c r="ML99" s="2"/>
      <c r="MM99" s="2"/>
      <c r="MN99" s="2"/>
      <c r="MO99" s="2"/>
      <c r="MP99" s="2"/>
      <c r="MQ99" s="2"/>
      <c r="MR99" s="2"/>
      <c r="MS99" s="2"/>
      <c r="MT99" s="2"/>
      <c r="MU99" s="2"/>
      <c r="MV99" s="2"/>
      <c r="MW99" s="2"/>
      <c r="MX99" s="2"/>
      <c r="MY99" s="2"/>
      <c r="MZ99" s="2"/>
      <c r="NA99" s="2"/>
      <c r="NB99" s="2"/>
      <c r="NC99" s="2"/>
      <c r="ND99" s="2"/>
      <c r="NE99" s="2"/>
      <c r="NF99" s="2"/>
      <c r="NG99" s="2"/>
      <c r="NH99" s="2"/>
      <c r="NI99" s="2"/>
      <c r="NJ99" s="2"/>
      <c r="NK99" s="2"/>
      <c r="NL99" s="2"/>
      <c r="NM99" s="2"/>
      <c r="NN99" s="2"/>
      <c r="NO99" s="2"/>
      <c r="NP99" s="2"/>
      <c r="NQ99" s="2"/>
      <c r="NR99" s="2"/>
      <c r="NS99" s="2"/>
      <c r="NT99" s="2"/>
      <c r="NU99" s="2"/>
      <c r="NV99" s="2"/>
      <c r="NW99" s="2"/>
      <c r="NX99" s="2"/>
      <c r="NY99" s="2"/>
      <c r="NZ99" s="2"/>
      <c r="OA99" s="2"/>
      <c r="OB99" s="2"/>
      <c r="OC99" s="2"/>
      <c r="OD99" s="2"/>
      <c r="OE99" s="2"/>
      <c r="OF99" s="2"/>
      <c r="OG99" s="2"/>
      <c r="OH99" s="2"/>
      <c r="OI99" s="2"/>
      <c r="OJ99" s="2"/>
      <c r="OK99" s="2"/>
      <c r="OL99" s="2"/>
      <c r="OM99" s="2"/>
      <c r="ON99" s="2"/>
      <c r="OO99" s="2"/>
      <c r="OP99" s="2"/>
      <c r="OQ99" s="2"/>
      <c r="OR99" s="2"/>
      <c r="OS99" s="2"/>
      <c r="OT99" s="2"/>
      <c r="OU99" s="2"/>
      <c r="OV99" s="2"/>
      <c r="OW99" s="2"/>
      <c r="OX99" s="2"/>
      <c r="OY99" s="2"/>
      <c r="OZ99" s="2"/>
      <c r="PA99" s="2"/>
      <c r="PB99" s="2"/>
      <c r="PC99" s="2"/>
      <c r="PD99" s="2"/>
      <c r="PE99" s="2"/>
      <c r="PF99" s="2"/>
      <c r="PG99" s="2"/>
      <c r="PH99" s="2"/>
      <c r="PI99" s="2"/>
      <c r="PJ99" s="2"/>
      <c r="PK99" s="2"/>
      <c r="PL99" s="2"/>
      <c r="PM99" s="2"/>
      <c r="PN99" s="2"/>
      <c r="PO99" s="2"/>
      <c r="PP99" s="2"/>
      <c r="PQ99" s="2"/>
      <c r="PR99" s="2"/>
      <c r="PS99" s="2"/>
      <c r="PT99" s="2"/>
      <c r="PU99" s="2"/>
      <c r="PV99" s="2"/>
      <c r="PW99" s="2"/>
      <c r="PX99" s="2"/>
      <c r="PY99" s="2"/>
      <c r="PZ99" s="2"/>
      <c r="QA99" s="2"/>
      <c r="QB99" s="2"/>
      <c r="QC99" s="2"/>
      <c r="QD99" s="2"/>
      <c r="QE99" s="2"/>
      <c r="QF99" s="2"/>
      <c r="QG99" s="2"/>
      <c r="QH99" s="2"/>
      <c r="QI99" s="2"/>
      <c r="QJ99" s="2"/>
      <c r="QK99" s="2"/>
      <c r="QL99" s="2"/>
      <c r="QM99" s="2"/>
      <c r="QN99" s="2"/>
      <c r="QO99" s="2"/>
      <c r="QP99" s="2"/>
      <c r="QQ99" s="2"/>
      <c r="QR99" s="2"/>
      <c r="QS99" s="2"/>
      <c r="QT99" s="2"/>
      <c r="QU99" s="2"/>
      <c r="QV99" s="2"/>
      <c r="QW99" s="2"/>
      <c r="QX99" s="2"/>
      <c r="QY99" s="2"/>
      <c r="QZ99" s="2"/>
      <c r="RA99" s="2"/>
      <c r="RB99" s="2"/>
      <c r="RC99" s="2"/>
      <c r="RD99" s="2"/>
      <c r="RE99" s="2"/>
      <c r="RF99" s="2"/>
      <c r="RG99" s="2"/>
      <c r="RH99" s="2"/>
      <c r="RI99" s="2"/>
      <c r="RJ99" s="2"/>
      <c r="RK99" s="2"/>
      <c r="RL99" s="2"/>
      <c r="RM99" s="2"/>
      <c r="RN99" s="2"/>
      <c r="RO99" s="2"/>
      <c r="RP99" s="2"/>
      <c r="RQ99" s="2"/>
      <c r="RR99" s="2"/>
      <c r="RS99" s="2"/>
      <c r="RT99" s="2"/>
      <c r="RU99" s="2"/>
      <c r="RV99" s="2"/>
      <c r="RW99" s="2"/>
      <c r="RX99" s="2"/>
      <c r="RY99" s="2"/>
      <c r="RZ99" s="2"/>
      <c r="SA99" s="2"/>
      <c r="SB99" s="2"/>
      <c r="SC99" s="2"/>
      <c r="SD99" s="2"/>
      <c r="SE99" s="2"/>
      <c r="SF99" s="2"/>
      <c r="SG99" s="2"/>
      <c r="SH99" s="2"/>
      <c r="SI99" s="2"/>
      <c r="SJ99" s="2"/>
      <c r="SK99" s="2"/>
      <c r="SL99" s="2"/>
      <c r="SM99" s="2"/>
      <c r="SN99" s="2"/>
      <c r="SO99" s="2"/>
      <c r="SP99" s="2"/>
      <c r="SQ99" s="2"/>
      <c r="SR99" s="2"/>
      <c r="SS99" s="2"/>
      <c r="ST99" s="2"/>
      <c r="SU99" s="2"/>
      <c r="SV99" s="2"/>
      <c r="SW99" s="2"/>
      <c r="SX99" s="2"/>
    </row>
    <row r="100" spans="33:518" x14ac:dyDescent="0.25"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  <c r="FK100" s="2"/>
      <c r="FL100" s="2"/>
      <c r="FM100" s="2"/>
      <c r="FN100" s="2"/>
      <c r="FO100" s="2"/>
      <c r="FP100" s="2"/>
      <c r="FQ100" s="2"/>
      <c r="FR100" s="2"/>
      <c r="FS100" s="2"/>
      <c r="FT100" s="2"/>
      <c r="FU100" s="2"/>
      <c r="FV100" s="2"/>
      <c r="FW100" s="2"/>
      <c r="FX100" s="2"/>
      <c r="FY100" s="2"/>
      <c r="FZ100" s="2"/>
      <c r="GA100" s="2"/>
      <c r="GB100" s="2"/>
      <c r="GC100" s="2"/>
      <c r="GD100" s="2"/>
      <c r="GE100" s="2"/>
      <c r="GF100" s="2"/>
      <c r="GG100" s="2"/>
      <c r="GH100" s="2"/>
      <c r="GI100" s="2"/>
      <c r="GJ100" s="2"/>
      <c r="GK100" s="2"/>
      <c r="GL100" s="2"/>
      <c r="GM100" s="2"/>
      <c r="GN100" s="2"/>
      <c r="GO100" s="2"/>
      <c r="GP100" s="2"/>
      <c r="GQ100" s="2"/>
      <c r="GR100" s="2"/>
      <c r="GS100" s="2"/>
      <c r="GT100" s="2"/>
      <c r="GU100" s="2"/>
      <c r="GV100" s="2"/>
      <c r="GW100" s="2"/>
      <c r="GX100" s="2"/>
      <c r="GY100" s="2"/>
      <c r="GZ100" s="2"/>
      <c r="HA100" s="2"/>
      <c r="HB100" s="2"/>
      <c r="HC100" s="2"/>
      <c r="HD100" s="2"/>
      <c r="HE100" s="2"/>
      <c r="HF100" s="2"/>
      <c r="HG100" s="2"/>
      <c r="HH100" s="2"/>
      <c r="HI100" s="2"/>
      <c r="HJ100" s="2"/>
      <c r="HK100" s="2"/>
      <c r="HL100" s="2"/>
      <c r="HM100" s="2"/>
      <c r="HN100" s="2"/>
      <c r="HO100" s="2"/>
      <c r="HP100" s="2"/>
      <c r="HQ100" s="2"/>
      <c r="HR100" s="2"/>
      <c r="HS100" s="2"/>
      <c r="HT100" s="2"/>
      <c r="HU100" s="2"/>
      <c r="HV100" s="2"/>
      <c r="HW100" s="2"/>
      <c r="HX100" s="2"/>
      <c r="HY100" s="2"/>
      <c r="HZ100" s="2"/>
      <c r="IA100" s="2"/>
      <c r="IB100" s="2"/>
      <c r="IC100" s="2"/>
      <c r="ID100" s="2"/>
      <c r="IE100" s="2"/>
      <c r="IF100" s="2"/>
      <c r="IG100" s="2"/>
      <c r="IH100" s="2"/>
      <c r="II100" s="2"/>
      <c r="IJ100" s="2"/>
      <c r="IK100" s="2"/>
      <c r="IL100" s="2"/>
      <c r="IM100" s="2"/>
      <c r="IN100" s="2"/>
      <c r="IO100" s="2"/>
      <c r="IP100" s="2"/>
      <c r="IQ100" s="2"/>
      <c r="IR100" s="2"/>
      <c r="IS100" s="2"/>
      <c r="IT100" s="2"/>
      <c r="IU100" s="2"/>
      <c r="IV100" s="2"/>
      <c r="IW100" s="2"/>
      <c r="IX100" s="2"/>
      <c r="IY100" s="2"/>
      <c r="IZ100" s="2"/>
      <c r="JA100" s="2"/>
      <c r="JB100" s="2"/>
      <c r="JC100" s="2"/>
      <c r="JD100" s="2"/>
      <c r="JE100" s="2"/>
      <c r="JF100" s="2"/>
      <c r="JG100" s="2"/>
      <c r="JH100" s="2"/>
      <c r="JI100" s="2"/>
      <c r="JJ100" s="2"/>
      <c r="JK100" s="2"/>
      <c r="JL100" s="2"/>
      <c r="JM100" s="2"/>
      <c r="JN100" s="2"/>
      <c r="JO100" s="2"/>
      <c r="JP100" s="2"/>
      <c r="JQ100" s="2"/>
      <c r="JR100" s="2"/>
      <c r="JS100" s="2"/>
      <c r="JT100" s="2"/>
      <c r="JU100" s="2"/>
      <c r="JV100" s="2"/>
      <c r="JW100" s="2"/>
      <c r="JX100" s="2"/>
      <c r="JY100" s="2"/>
      <c r="JZ100" s="2"/>
      <c r="KA100" s="2"/>
      <c r="KB100" s="2"/>
      <c r="KC100" s="2"/>
      <c r="KD100" s="2"/>
      <c r="KE100" s="2"/>
      <c r="KF100" s="2"/>
      <c r="KG100" s="2"/>
      <c r="KH100" s="2"/>
      <c r="KI100" s="2"/>
      <c r="KJ100" s="2"/>
      <c r="KK100" s="2"/>
      <c r="KL100" s="2"/>
      <c r="KM100" s="2"/>
      <c r="KN100" s="2"/>
      <c r="KO100" s="2"/>
      <c r="KP100" s="2"/>
      <c r="KQ100" s="2"/>
      <c r="KR100" s="2"/>
      <c r="KS100" s="2"/>
      <c r="KT100" s="2"/>
      <c r="KU100" s="2"/>
      <c r="KV100" s="2"/>
      <c r="KW100" s="2"/>
      <c r="KX100" s="2"/>
      <c r="KY100" s="2"/>
      <c r="KZ100" s="2"/>
      <c r="LA100" s="2"/>
      <c r="LB100" s="2"/>
      <c r="LC100" s="2"/>
      <c r="LD100" s="2"/>
      <c r="LE100" s="2"/>
      <c r="LF100" s="2"/>
      <c r="LG100" s="2"/>
      <c r="LH100" s="2"/>
      <c r="LI100" s="2"/>
      <c r="LJ100" s="2"/>
      <c r="LK100" s="2"/>
      <c r="LL100" s="2"/>
      <c r="LM100" s="2"/>
      <c r="LN100" s="2"/>
      <c r="LO100" s="2"/>
      <c r="LP100" s="2"/>
      <c r="LQ100" s="2"/>
      <c r="LR100" s="2"/>
      <c r="LS100" s="2"/>
      <c r="LT100" s="2"/>
      <c r="LU100" s="2"/>
      <c r="LV100" s="2"/>
      <c r="LW100" s="2"/>
      <c r="LX100" s="2"/>
      <c r="LY100" s="2"/>
      <c r="LZ100" s="2"/>
      <c r="MA100" s="2"/>
      <c r="MB100" s="2"/>
      <c r="MC100" s="2"/>
      <c r="MD100" s="2"/>
      <c r="ME100" s="2"/>
      <c r="MF100" s="2"/>
      <c r="MG100" s="2"/>
      <c r="MH100" s="2"/>
      <c r="MI100" s="2"/>
      <c r="MJ100" s="2"/>
      <c r="MK100" s="2"/>
      <c r="ML100" s="2"/>
      <c r="MM100" s="2"/>
      <c r="MN100" s="2"/>
      <c r="MO100" s="2"/>
      <c r="MP100" s="2"/>
      <c r="MQ100" s="2"/>
      <c r="MR100" s="2"/>
      <c r="MS100" s="2"/>
      <c r="MT100" s="2"/>
      <c r="MU100" s="2"/>
      <c r="MV100" s="2"/>
      <c r="MW100" s="2"/>
      <c r="MX100" s="2"/>
      <c r="MY100" s="2"/>
      <c r="MZ100" s="2"/>
      <c r="NA100" s="2"/>
      <c r="NB100" s="2"/>
      <c r="NC100" s="2"/>
      <c r="ND100" s="2"/>
      <c r="NE100" s="2"/>
      <c r="NF100" s="2"/>
      <c r="NG100" s="2"/>
      <c r="NH100" s="2"/>
      <c r="NI100" s="2"/>
      <c r="NJ100" s="2"/>
      <c r="NK100" s="2"/>
      <c r="NL100" s="2"/>
      <c r="NM100" s="2"/>
      <c r="NN100" s="2"/>
      <c r="NO100" s="2"/>
      <c r="NP100" s="2"/>
      <c r="NQ100" s="2"/>
      <c r="NR100" s="2"/>
      <c r="NS100" s="2"/>
      <c r="NT100" s="2"/>
      <c r="NU100" s="2"/>
      <c r="NV100" s="2"/>
      <c r="NW100" s="2"/>
      <c r="NX100" s="2"/>
      <c r="NY100" s="2"/>
      <c r="NZ100" s="2"/>
      <c r="OA100" s="2"/>
      <c r="OB100" s="2"/>
      <c r="OC100" s="2"/>
      <c r="OD100" s="2"/>
      <c r="OE100" s="2"/>
      <c r="OF100" s="2"/>
      <c r="OG100" s="2"/>
      <c r="OH100" s="2"/>
      <c r="OI100" s="2"/>
      <c r="OJ100" s="2"/>
      <c r="OK100" s="2"/>
      <c r="OL100" s="2"/>
      <c r="OM100" s="2"/>
      <c r="ON100" s="2"/>
      <c r="OO100" s="2"/>
      <c r="OP100" s="2"/>
      <c r="OQ100" s="2"/>
      <c r="OR100" s="2"/>
      <c r="OS100" s="2"/>
      <c r="OT100" s="2"/>
      <c r="OU100" s="2"/>
      <c r="OV100" s="2"/>
      <c r="OW100" s="2"/>
      <c r="OX100" s="2"/>
      <c r="OY100" s="2"/>
      <c r="OZ100" s="2"/>
      <c r="PA100" s="2"/>
      <c r="PB100" s="2"/>
      <c r="PC100" s="2"/>
      <c r="PD100" s="2"/>
      <c r="PE100" s="2"/>
      <c r="PF100" s="2"/>
      <c r="PG100" s="2"/>
      <c r="PH100" s="2"/>
      <c r="PI100" s="2"/>
      <c r="PJ100" s="2"/>
      <c r="PK100" s="2"/>
      <c r="PL100" s="2"/>
      <c r="PM100" s="2"/>
      <c r="PN100" s="2"/>
      <c r="PO100" s="2"/>
      <c r="PP100" s="2"/>
      <c r="PQ100" s="2"/>
      <c r="PR100" s="2"/>
      <c r="PS100" s="2"/>
      <c r="PT100" s="2"/>
      <c r="PU100" s="2"/>
      <c r="PV100" s="2"/>
      <c r="PW100" s="2"/>
      <c r="PX100" s="2"/>
      <c r="PY100" s="2"/>
      <c r="PZ100" s="2"/>
      <c r="QA100" s="2"/>
      <c r="QB100" s="2"/>
      <c r="QC100" s="2"/>
      <c r="QD100" s="2"/>
      <c r="QE100" s="2"/>
      <c r="QF100" s="2"/>
      <c r="QG100" s="2"/>
      <c r="QH100" s="2"/>
      <c r="QI100" s="2"/>
      <c r="QJ100" s="2"/>
      <c r="QK100" s="2"/>
      <c r="QL100" s="2"/>
      <c r="QM100" s="2"/>
      <c r="QN100" s="2"/>
      <c r="QO100" s="2"/>
      <c r="QP100" s="2"/>
      <c r="QQ100" s="2"/>
      <c r="QR100" s="2"/>
      <c r="QS100" s="2"/>
      <c r="QT100" s="2"/>
      <c r="QU100" s="2"/>
      <c r="QV100" s="2"/>
      <c r="QW100" s="2"/>
      <c r="QX100" s="2"/>
      <c r="QY100" s="2"/>
      <c r="QZ100" s="2"/>
      <c r="RA100" s="2"/>
      <c r="RB100" s="2"/>
      <c r="RC100" s="2"/>
      <c r="RD100" s="2"/>
      <c r="RE100" s="2"/>
      <c r="RF100" s="2"/>
      <c r="RG100" s="2"/>
      <c r="RH100" s="2"/>
      <c r="RI100" s="2"/>
      <c r="RJ100" s="2"/>
      <c r="RK100" s="2"/>
      <c r="RL100" s="2"/>
      <c r="RM100" s="2"/>
      <c r="RN100" s="2"/>
      <c r="RO100" s="2"/>
      <c r="RP100" s="2"/>
      <c r="RQ100" s="2"/>
      <c r="RR100" s="2"/>
      <c r="RS100" s="2"/>
      <c r="RT100" s="2"/>
      <c r="RU100" s="2"/>
      <c r="RV100" s="2"/>
      <c r="RW100" s="2"/>
      <c r="RX100" s="2"/>
      <c r="RY100" s="2"/>
      <c r="RZ100" s="2"/>
      <c r="SA100" s="2"/>
      <c r="SB100" s="2"/>
      <c r="SC100" s="2"/>
      <c r="SD100" s="2"/>
      <c r="SE100" s="2"/>
      <c r="SF100" s="2"/>
      <c r="SG100" s="2"/>
      <c r="SH100" s="2"/>
      <c r="SI100" s="2"/>
      <c r="SJ100" s="2"/>
      <c r="SK100" s="2"/>
      <c r="SL100" s="2"/>
      <c r="SM100" s="2"/>
      <c r="SN100" s="2"/>
      <c r="SO100" s="2"/>
      <c r="SP100" s="2"/>
      <c r="SQ100" s="2"/>
      <c r="SR100" s="2"/>
      <c r="SS100" s="2"/>
      <c r="ST100" s="2"/>
      <c r="SU100" s="2"/>
      <c r="SV100" s="2"/>
      <c r="SW100" s="2"/>
      <c r="SX100" s="2"/>
    </row>
    <row r="101" spans="33:518" x14ac:dyDescent="0.25"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  <c r="FK101" s="2"/>
      <c r="FL101" s="2"/>
      <c r="FM101" s="2"/>
      <c r="FN101" s="2"/>
      <c r="FO101" s="2"/>
      <c r="FP101" s="2"/>
      <c r="FQ101" s="2"/>
      <c r="FR101" s="2"/>
      <c r="FS101" s="2"/>
      <c r="FT101" s="2"/>
      <c r="FU101" s="2"/>
      <c r="FV101" s="2"/>
      <c r="FW101" s="2"/>
      <c r="FX101" s="2"/>
      <c r="FY101" s="2"/>
      <c r="FZ101" s="2"/>
      <c r="GA101" s="2"/>
      <c r="GB101" s="2"/>
      <c r="GC101" s="2"/>
      <c r="GD101" s="2"/>
      <c r="GE101" s="2"/>
      <c r="GF101" s="2"/>
      <c r="GG101" s="2"/>
      <c r="GH101" s="2"/>
      <c r="GI101" s="2"/>
      <c r="GJ101" s="2"/>
      <c r="GK101" s="2"/>
      <c r="GL101" s="2"/>
      <c r="GM101" s="2"/>
      <c r="GN101" s="2"/>
      <c r="GO101" s="2"/>
      <c r="GP101" s="2"/>
      <c r="GQ101" s="2"/>
      <c r="GR101" s="2"/>
      <c r="GS101" s="2"/>
      <c r="GT101" s="2"/>
      <c r="GU101" s="2"/>
      <c r="GV101" s="2"/>
      <c r="GW101" s="2"/>
      <c r="GX101" s="2"/>
      <c r="GY101" s="2"/>
      <c r="GZ101" s="2"/>
      <c r="HA101" s="2"/>
      <c r="HB101" s="2"/>
      <c r="HC101" s="2"/>
      <c r="HD101" s="2"/>
      <c r="HE101" s="2"/>
      <c r="HF101" s="2"/>
      <c r="HG101" s="2"/>
      <c r="HH101" s="2"/>
      <c r="HI101" s="2"/>
      <c r="HJ101" s="2"/>
      <c r="HK101" s="2"/>
      <c r="HL101" s="2"/>
      <c r="HM101" s="2"/>
      <c r="HN101" s="2"/>
      <c r="HO101" s="2"/>
      <c r="HP101" s="2"/>
      <c r="HQ101" s="2"/>
      <c r="HR101" s="2"/>
      <c r="HS101" s="2"/>
      <c r="HT101" s="2"/>
      <c r="HU101" s="2"/>
      <c r="HV101" s="2"/>
      <c r="HW101" s="2"/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</row>
    <row r="102" spans="33:518" x14ac:dyDescent="0.25"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  <c r="FK102" s="2"/>
      <c r="FL102" s="2"/>
      <c r="FM102" s="2"/>
      <c r="FN102" s="2"/>
      <c r="FO102" s="2"/>
      <c r="FP102" s="2"/>
      <c r="FQ102" s="2"/>
      <c r="FR102" s="2"/>
      <c r="FS102" s="2"/>
      <c r="FT102" s="2"/>
      <c r="FU102" s="2"/>
      <c r="FV102" s="2"/>
      <c r="FW102" s="2"/>
      <c r="FX102" s="2"/>
      <c r="FY102" s="2"/>
      <c r="FZ102" s="2"/>
      <c r="GA102" s="2"/>
      <c r="GB102" s="2"/>
      <c r="GC102" s="2"/>
      <c r="GD102" s="2"/>
      <c r="GE102" s="2"/>
      <c r="GF102" s="2"/>
      <c r="GG102" s="2"/>
      <c r="GH102" s="2"/>
      <c r="GI102" s="2"/>
      <c r="GJ102" s="2"/>
      <c r="GK102" s="2"/>
      <c r="GL102" s="2"/>
      <c r="GM102" s="2"/>
      <c r="GN102" s="2"/>
      <c r="GO102" s="2"/>
      <c r="GP102" s="2"/>
      <c r="GQ102" s="2"/>
      <c r="GR102" s="2"/>
      <c r="GS102" s="2"/>
      <c r="GT102" s="2"/>
      <c r="GU102" s="2"/>
      <c r="GV102" s="2"/>
      <c r="GW102" s="2"/>
      <c r="GX102" s="2"/>
      <c r="GY102" s="2"/>
      <c r="GZ102" s="2"/>
      <c r="HA102" s="2"/>
      <c r="HB102" s="2"/>
      <c r="HC102" s="2"/>
      <c r="HD102" s="2"/>
      <c r="HE102" s="2"/>
      <c r="HF102" s="2"/>
      <c r="HG102" s="2"/>
      <c r="HH102" s="2"/>
      <c r="HI102" s="2"/>
      <c r="HJ102" s="2"/>
      <c r="HK102" s="2"/>
      <c r="HL102" s="2"/>
      <c r="HM102" s="2"/>
      <c r="HN102" s="2"/>
      <c r="HO102" s="2"/>
      <c r="HP102" s="2"/>
      <c r="HQ102" s="2"/>
      <c r="HR102" s="2"/>
      <c r="HS102" s="2"/>
      <c r="HT102" s="2"/>
      <c r="HU102" s="2"/>
      <c r="HV102" s="2"/>
      <c r="HW102" s="2"/>
      <c r="HX102" s="2"/>
      <c r="HY102" s="2"/>
      <c r="HZ102" s="2"/>
      <c r="IA102" s="2"/>
      <c r="IB102" s="2"/>
      <c r="IC102" s="2"/>
      <c r="ID102" s="2"/>
      <c r="IE102" s="2"/>
      <c r="IF102" s="2"/>
      <c r="IG102" s="2"/>
      <c r="IH102" s="2"/>
      <c r="II102" s="2"/>
      <c r="IJ102" s="2"/>
      <c r="IK102" s="2"/>
      <c r="IL102" s="2"/>
      <c r="IM102" s="2"/>
      <c r="IN102" s="2"/>
      <c r="IO102" s="2"/>
      <c r="IP102" s="2"/>
      <c r="IQ102" s="2"/>
      <c r="IR102" s="2"/>
      <c r="IS102" s="2"/>
      <c r="IT102" s="2"/>
      <c r="IU102" s="2"/>
      <c r="IV102" s="2"/>
      <c r="IW102" s="2"/>
      <c r="IX102" s="2"/>
      <c r="IY102" s="2"/>
      <c r="IZ102" s="2"/>
      <c r="JA102" s="2"/>
      <c r="JB102" s="2"/>
      <c r="JC102" s="2"/>
      <c r="JD102" s="2"/>
      <c r="JE102" s="2"/>
      <c r="JF102" s="2"/>
      <c r="JG102" s="2"/>
      <c r="JH102" s="2"/>
      <c r="JI102" s="2"/>
      <c r="JJ102" s="2"/>
      <c r="JK102" s="2"/>
      <c r="JL102" s="2"/>
      <c r="JM102" s="2"/>
      <c r="JN102" s="2"/>
      <c r="JO102" s="2"/>
      <c r="JP102" s="2"/>
      <c r="JQ102" s="2"/>
      <c r="JR102" s="2"/>
      <c r="JS102" s="2"/>
      <c r="JT102" s="2"/>
      <c r="JU102" s="2"/>
      <c r="JV102" s="2"/>
      <c r="JW102" s="2"/>
      <c r="JX102" s="2"/>
      <c r="JY102" s="2"/>
      <c r="JZ102" s="2"/>
      <c r="KA102" s="2"/>
      <c r="KB102" s="2"/>
      <c r="KC102" s="2"/>
      <c r="KD102" s="2"/>
      <c r="KE102" s="2"/>
      <c r="KF102" s="2"/>
      <c r="KG102" s="2"/>
      <c r="KH102" s="2"/>
      <c r="KI102" s="2"/>
      <c r="KJ102" s="2"/>
      <c r="KK102" s="2"/>
      <c r="KL102" s="2"/>
      <c r="KM102" s="2"/>
      <c r="KN102" s="2"/>
      <c r="KO102" s="2"/>
      <c r="KP102" s="2"/>
      <c r="KQ102" s="2"/>
      <c r="KR102" s="2"/>
      <c r="KS102" s="2"/>
      <c r="KT102" s="2"/>
      <c r="KU102" s="2"/>
      <c r="KV102" s="2"/>
      <c r="KW102" s="2"/>
      <c r="KX102" s="2"/>
      <c r="KY102" s="2"/>
      <c r="KZ102" s="2"/>
      <c r="LA102" s="2"/>
      <c r="LB102" s="2"/>
      <c r="LC102" s="2"/>
      <c r="LD102" s="2"/>
      <c r="LE102" s="2"/>
      <c r="LF102" s="2"/>
      <c r="LG102" s="2"/>
      <c r="LH102" s="2"/>
      <c r="LI102" s="2"/>
      <c r="LJ102" s="2"/>
      <c r="LK102" s="2"/>
      <c r="LL102" s="2"/>
      <c r="LM102" s="2"/>
      <c r="LN102" s="2"/>
      <c r="LO102" s="2"/>
      <c r="LP102" s="2"/>
      <c r="LQ102" s="2"/>
      <c r="LR102" s="2"/>
      <c r="LS102" s="2"/>
      <c r="LT102" s="2"/>
      <c r="LU102" s="2"/>
      <c r="LV102" s="2"/>
      <c r="LW102" s="2"/>
      <c r="LX102" s="2"/>
      <c r="LY102" s="2"/>
      <c r="LZ102" s="2"/>
      <c r="MA102" s="2"/>
      <c r="MB102" s="2"/>
      <c r="MC102" s="2"/>
      <c r="MD102" s="2"/>
      <c r="ME102" s="2"/>
      <c r="MF102" s="2"/>
      <c r="MG102" s="2"/>
      <c r="MH102" s="2"/>
      <c r="MI102" s="2"/>
      <c r="MJ102" s="2"/>
      <c r="MK102" s="2"/>
      <c r="ML102" s="2"/>
      <c r="MM102" s="2"/>
      <c r="MN102" s="2"/>
      <c r="MO102" s="2"/>
      <c r="MP102" s="2"/>
      <c r="MQ102" s="2"/>
      <c r="MR102" s="2"/>
      <c r="MS102" s="2"/>
      <c r="MT102" s="2"/>
      <c r="MU102" s="2"/>
      <c r="MV102" s="2"/>
      <c r="MW102" s="2"/>
      <c r="MX102" s="2"/>
      <c r="MY102" s="2"/>
      <c r="MZ102" s="2"/>
      <c r="NA102" s="2"/>
      <c r="NB102" s="2"/>
      <c r="NC102" s="2"/>
      <c r="ND102" s="2"/>
      <c r="NE102" s="2"/>
      <c r="NF102" s="2"/>
      <c r="NG102" s="2"/>
      <c r="NH102" s="2"/>
      <c r="NI102" s="2"/>
      <c r="NJ102" s="2"/>
      <c r="NK102" s="2"/>
      <c r="NL102" s="2"/>
      <c r="NM102" s="2"/>
      <c r="NN102" s="2"/>
      <c r="NO102" s="2"/>
      <c r="NP102" s="2"/>
      <c r="NQ102" s="2"/>
      <c r="NR102" s="2"/>
      <c r="NS102" s="2"/>
      <c r="NT102" s="2"/>
      <c r="NU102" s="2"/>
      <c r="NV102" s="2"/>
      <c r="NW102" s="2"/>
      <c r="NX102" s="2"/>
      <c r="NY102" s="2"/>
      <c r="NZ102" s="2"/>
      <c r="OA102" s="2"/>
      <c r="OB102" s="2"/>
      <c r="OC102" s="2"/>
      <c r="OD102" s="2"/>
      <c r="OE102" s="2"/>
      <c r="OF102" s="2"/>
      <c r="OG102" s="2"/>
      <c r="OH102" s="2"/>
      <c r="OI102" s="2"/>
      <c r="OJ102" s="2"/>
      <c r="OK102" s="2"/>
      <c r="OL102" s="2"/>
      <c r="OM102" s="2"/>
      <c r="ON102" s="2"/>
      <c r="OO102" s="2"/>
      <c r="OP102" s="2"/>
      <c r="OQ102" s="2"/>
      <c r="OR102" s="2"/>
      <c r="OS102" s="2"/>
      <c r="OT102" s="2"/>
      <c r="OU102" s="2"/>
      <c r="OV102" s="2"/>
      <c r="OW102" s="2"/>
      <c r="OX102" s="2"/>
      <c r="OY102" s="2"/>
      <c r="OZ102" s="2"/>
      <c r="PA102" s="2"/>
      <c r="PB102" s="2"/>
      <c r="PC102" s="2"/>
      <c r="PD102" s="2"/>
      <c r="PE102" s="2"/>
      <c r="PF102" s="2"/>
      <c r="PG102" s="2"/>
      <c r="PH102" s="2"/>
      <c r="PI102" s="2"/>
      <c r="PJ102" s="2"/>
      <c r="PK102" s="2"/>
      <c r="PL102" s="2"/>
      <c r="PM102" s="2"/>
      <c r="PN102" s="2"/>
      <c r="PO102" s="2"/>
      <c r="PP102" s="2"/>
      <c r="PQ102" s="2"/>
      <c r="PR102" s="2"/>
      <c r="PS102" s="2"/>
      <c r="PT102" s="2"/>
      <c r="PU102" s="2"/>
      <c r="PV102" s="2"/>
      <c r="PW102" s="2"/>
      <c r="PX102" s="2"/>
      <c r="PY102" s="2"/>
      <c r="PZ102" s="2"/>
      <c r="QA102" s="2"/>
      <c r="QB102" s="2"/>
      <c r="QC102" s="2"/>
      <c r="QD102" s="2"/>
      <c r="QE102" s="2"/>
      <c r="QF102" s="2"/>
      <c r="QG102" s="2"/>
      <c r="QH102" s="2"/>
      <c r="QI102" s="2"/>
      <c r="QJ102" s="2"/>
      <c r="QK102" s="2"/>
      <c r="QL102" s="2"/>
      <c r="QM102" s="2"/>
      <c r="QN102" s="2"/>
      <c r="QO102" s="2"/>
      <c r="QP102" s="2"/>
      <c r="QQ102" s="2"/>
      <c r="QR102" s="2"/>
      <c r="QS102" s="2"/>
      <c r="QT102" s="2"/>
      <c r="QU102" s="2"/>
      <c r="QV102" s="2"/>
      <c r="QW102" s="2"/>
      <c r="QX102" s="2"/>
      <c r="QY102" s="2"/>
      <c r="QZ102" s="2"/>
      <c r="RA102" s="2"/>
      <c r="RB102" s="2"/>
      <c r="RC102" s="2"/>
      <c r="RD102" s="2"/>
      <c r="RE102" s="2"/>
      <c r="RF102" s="2"/>
      <c r="RG102" s="2"/>
      <c r="RH102" s="2"/>
      <c r="RI102" s="2"/>
      <c r="RJ102" s="2"/>
      <c r="RK102" s="2"/>
      <c r="RL102" s="2"/>
      <c r="RM102" s="2"/>
      <c r="RN102" s="2"/>
      <c r="RO102" s="2"/>
      <c r="RP102" s="2"/>
      <c r="RQ102" s="2"/>
      <c r="RR102" s="2"/>
      <c r="RS102" s="2"/>
      <c r="RT102" s="2"/>
      <c r="RU102" s="2"/>
      <c r="RV102" s="2"/>
      <c r="RW102" s="2"/>
      <c r="RX102" s="2"/>
      <c r="RY102" s="2"/>
      <c r="RZ102" s="2"/>
      <c r="SA102" s="2"/>
      <c r="SB102" s="2"/>
      <c r="SC102" s="2"/>
      <c r="SD102" s="2"/>
      <c r="SE102" s="2"/>
      <c r="SF102" s="2"/>
      <c r="SG102" s="2"/>
      <c r="SH102" s="2"/>
      <c r="SI102" s="2"/>
      <c r="SJ102" s="2"/>
      <c r="SK102" s="2"/>
      <c r="SL102" s="2"/>
      <c r="SM102" s="2"/>
      <c r="SN102" s="2"/>
      <c r="SO102" s="2"/>
      <c r="SP102" s="2"/>
      <c r="SQ102" s="2"/>
      <c r="SR102" s="2"/>
      <c r="SS102" s="2"/>
      <c r="ST102" s="2"/>
      <c r="SU102" s="2"/>
      <c r="SV102" s="2"/>
      <c r="SW102" s="2"/>
      <c r="SX102" s="2"/>
    </row>
    <row r="103" spans="33:518" x14ac:dyDescent="0.25"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  <c r="FK103" s="2"/>
      <c r="FL103" s="2"/>
      <c r="FM103" s="2"/>
      <c r="FN103" s="2"/>
      <c r="FO103" s="2"/>
      <c r="FP103" s="2"/>
      <c r="FQ103" s="2"/>
      <c r="FR103" s="2"/>
      <c r="FS103" s="2"/>
      <c r="FT103" s="2"/>
      <c r="FU103" s="2"/>
      <c r="FV103" s="2"/>
      <c r="FW103" s="2"/>
      <c r="FX103" s="2"/>
      <c r="FY103" s="2"/>
      <c r="FZ103" s="2"/>
      <c r="GA103" s="2"/>
      <c r="GB103" s="2"/>
      <c r="GC103" s="2"/>
      <c r="GD103" s="2"/>
      <c r="GE103" s="2"/>
      <c r="GF103" s="2"/>
      <c r="GG103" s="2"/>
      <c r="GH103" s="2"/>
      <c r="GI103" s="2"/>
      <c r="GJ103" s="2"/>
      <c r="GK103" s="2"/>
      <c r="GL103" s="2"/>
      <c r="GM103" s="2"/>
      <c r="GN103" s="2"/>
      <c r="GO103" s="2"/>
      <c r="GP103" s="2"/>
      <c r="GQ103" s="2"/>
      <c r="GR103" s="2"/>
      <c r="GS103" s="2"/>
      <c r="GT103" s="2"/>
      <c r="GU103" s="2"/>
      <c r="GV103" s="2"/>
      <c r="GW103" s="2"/>
      <c r="GX103" s="2"/>
      <c r="GY103" s="2"/>
      <c r="GZ103" s="2"/>
      <c r="HA103" s="2"/>
      <c r="HB103" s="2"/>
      <c r="HC103" s="2"/>
      <c r="HD103" s="2"/>
      <c r="HE103" s="2"/>
      <c r="HF103" s="2"/>
      <c r="HG103" s="2"/>
      <c r="HH103" s="2"/>
      <c r="HI103" s="2"/>
      <c r="HJ103" s="2"/>
      <c r="HK103" s="2"/>
      <c r="HL103" s="2"/>
      <c r="HM103" s="2"/>
      <c r="HN103" s="2"/>
      <c r="HO103" s="2"/>
      <c r="HP103" s="2"/>
      <c r="HQ103" s="2"/>
      <c r="HR103" s="2"/>
      <c r="HS103" s="2"/>
      <c r="HT103" s="2"/>
      <c r="HU103" s="2"/>
      <c r="HV103" s="2"/>
      <c r="HW103" s="2"/>
      <c r="HX103" s="2"/>
      <c r="HY103" s="2"/>
      <c r="HZ103" s="2"/>
      <c r="IA103" s="2"/>
      <c r="IB103" s="2"/>
      <c r="IC103" s="2"/>
      <c r="ID103" s="2"/>
      <c r="IE103" s="2"/>
      <c r="IF103" s="2"/>
      <c r="IG103" s="2"/>
      <c r="IH103" s="2"/>
      <c r="II103" s="2"/>
      <c r="IJ103" s="2"/>
      <c r="IK103" s="2"/>
      <c r="IL103" s="2"/>
      <c r="IM103" s="2"/>
      <c r="IN103" s="2"/>
      <c r="IO103" s="2"/>
      <c r="IP103" s="2"/>
      <c r="IQ103" s="2"/>
      <c r="IR103" s="2"/>
      <c r="IS103" s="2"/>
      <c r="IT103" s="2"/>
      <c r="IU103" s="2"/>
      <c r="IV103" s="2"/>
      <c r="IW103" s="2"/>
      <c r="IX103" s="2"/>
      <c r="IY103" s="2"/>
      <c r="IZ103" s="2"/>
      <c r="JA103" s="2"/>
      <c r="JB103" s="2"/>
      <c r="JC103" s="2"/>
      <c r="JD103" s="2"/>
      <c r="JE103" s="2"/>
      <c r="JF103" s="2"/>
      <c r="JG103" s="2"/>
      <c r="JH103" s="2"/>
      <c r="JI103" s="2"/>
      <c r="JJ103" s="2"/>
      <c r="JK103" s="2"/>
      <c r="JL103" s="2"/>
      <c r="JM103" s="2"/>
      <c r="JN103" s="2"/>
      <c r="JO103" s="2"/>
      <c r="JP103" s="2"/>
      <c r="JQ103" s="2"/>
      <c r="JR103" s="2"/>
      <c r="JS103" s="2"/>
      <c r="JT103" s="2"/>
      <c r="JU103" s="2"/>
      <c r="JV103" s="2"/>
      <c r="JW103" s="2"/>
      <c r="JX103" s="2"/>
      <c r="JY103" s="2"/>
      <c r="JZ103" s="2"/>
      <c r="KA103" s="2"/>
      <c r="KB103" s="2"/>
      <c r="KC103" s="2"/>
      <c r="KD103" s="2"/>
      <c r="KE103" s="2"/>
      <c r="KF103" s="2"/>
      <c r="KG103" s="2"/>
      <c r="KH103" s="2"/>
      <c r="KI103" s="2"/>
      <c r="KJ103" s="2"/>
      <c r="KK103" s="2"/>
      <c r="KL103" s="2"/>
      <c r="KM103" s="2"/>
      <c r="KN103" s="2"/>
      <c r="KO103" s="2"/>
      <c r="KP103" s="2"/>
      <c r="KQ103" s="2"/>
      <c r="KR103" s="2"/>
      <c r="KS103" s="2"/>
      <c r="KT103" s="2"/>
      <c r="KU103" s="2"/>
      <c r="KV103" s="2"/>
      <c r="KW103" s="2"/>
      <c r="KX103" s="2"/>
      <c r="KY103" s="2"/>
      <c r="KZ103" s="2"/>
      <c r="LA103" s="2"/>
      <c r="LB103" s="2"/>
      <c r="LC103" s="2"/>
      <c r="LD103" s="2"/>
      <c r="LE103" s="2"/>
      <c r="LF103" s="2"/>
      <c r="LG103" s="2"/>
      <c r="LH103" s="2"/>
      <c r="LI103" s="2"/>
      <c r="LJ103" s="2"/>
      <c r="LK103" s="2"/>
      <c r="LL103" s="2"/>
      <c r="LM103" s="2"/>
      <c r="LN103" s="2"/>
      <c r="LO103" s="2"/>
      <c r="LP103" s="2"/>
      <c r="LQ103" s="2"/>
      <c r="LR103" s="2"/>
      <c r="LS103" s="2"/>
      <c r="LT103" s="2"/>
      <c r="LU103" s="2"/>
      <c r="LV103" s="2"/>
      <c r="LW103" s="2"/>
      <c r="LX103" s="2"/>
      <c r="LY103" s="2"/>
      <c r="LZ103" s="2"/>
      <c r="MA103" s="2"/>
      <c r="MB103" s="2"/>
      <c r="MC103" s="2"/>
      <c r="MD103" s="2"/>
      <c r="ME103" s="2"/>
      <c r="MF103" s="2"/>
      <c r="MG103" s="2"/>
      <c r="MH103" s="2"/>
      <c r="MI103" s="2"/>
      <c r="MJ103" s="2"/>
      <c r="MK103" s="2"/>
      <c r="ML103" s="2"/>
      <c r="MM103" s="2"/>
      <c r="MN103" s="2"/>
      <c r="MO103" s="2"/>
      <c r="MP103" s="2"/>
      <c r="MQ103" s="2"/>
      <c r="MR103" s="2"/>
      <c r="MS103" s="2"/>
      <c r="MT103" s="2"/>
      <c r="MU103" s="2"/>
      <c r="MV103" s="2"/>
      <c r="MW103" s="2"/>
      <c r="MX103" s="2"/>
      <c r="MY103" s="2"/>
      <c r="MZ103" s="2"/>
      <c r="NA103" s="2"/>
      <c r="NB103" s="2"/>
      <c r="NC103" s="2"/>
      <c r="ND103" s="2"/>
      <c r="NE103" s="2"/>
      <c r="NF103" s="2"/>
      <c r="NG103" s="2"/>
      <c r="NH103" s="2"/>
      <c r="NI103" s="2"/>
      <c r="NJ103" s="2"/>
      <c r="NK103" s="2"/>
      <c r="NL103" s="2"/>
      <c r="NM103" s="2"/>
      <c r="NN103" s="2"/>
      <c r="NO103" s="2"/>
      <c r="NP103" s="2"/>
      <c r="NQ103" s="2"/>
      <c r="NR103" s="2"/>
      <c r="NS103" s="2"/>
      <c r="NT103" s="2"/>
      <c r="NU103" s="2"/>
      <c r="NV103" s="2"/>
      <c r="NW103" s="2"/>
      <c r="NX103" s="2"/>
      <c r="NY103" s="2"/>
      <c r="NZ103" s="2"/>
      <c r="OA103" s="2"/>
      <c r="OB103" s="2"/>
      <c r="OC103" s="2"/>
      <c r="OD103" s="2"/>
      <c r="OE103" s="2"/>
      <c r="OF103" s="2"/>
      <c r="OG103" s="2"/>
      <c r="OH103" s="2"/>
      <c r="OI103" s="2"/>
      <c r="OJ103" s="2"/>
      <c r="OK103" s="2"/>
      <c r="OL103" s="2"/>
      <c r="OM103" s="2"/>
      <c r="ON103" s="2"/>
      <c r="OO103" s="2"/>
      <c r="OP103" s="2"/>
      <c r="OQ103" s="2"/>
      <c r="OR103" s="2"/>
      <c r="OS103" s="2"/>
      <c r="OT103" s="2"/>
      <c r="OU103" s="2"/>
      <c r="OV103" s="2"/>
      <c r="OW103" s="2"/>
      <c r="OX103" s="2"/>
      <c r="OY103" s="2"/>
      <c r="OZ103" s="2"/>
      <c r="PA103" s="2"/>
      <c r="PB103" s="2"/>
      <c r="PC103" s="2"/>
      <c r="PD103" s="2"/>
      <c r="PE103" s="2"/>
      <c r="PF103" s="2"/>
      <c r="PG103" s="2"/>
      <c r="PH103" s="2"/>
      <c r="PI103" s="2"/>
      <c r="PJ103" s="2"/>
      <c r="PK103" s="2"/>
      <c r="PL103" s="2"/>
      <c r="PM103" s="2"/>
      <c r="PN103" s="2"/>
      <c r="PO103" s="2"/>
      <c r="PP103" s="2"/>
      <c r="PQ103" s="2"/>
      <c r="PR103" s="2"/>
      <c r="PS103" s="2"/>
      <c r="PT103" s="2"/>
      <c r="PU103" s="2"/>
      <c r="PV103" s="2"/>
      <c r="PW103" s="2"/>
      <c r="PX103" s="2"/>
      <c r="PY103" s="2"/>
      <c r="PZ103" s="2"/>
      <c r="QA103" s="2"/>
      <c r="QB103" s="2"/>
      <c r="QC103" s="2"/>
      <c r="QD103" s="2"/>
      <c r="QE103" s="2"/>
      <c r="QF103" s="2"/>
      <c r="QG103" s="2"/>
      <c r="QH103" s="2"/>
      <c r="QI103" s="2"/>
      <c r="QJ103" s="2"/>
      <c r="QK103" s="2"/>
      <c r="QL103" s="2"/>
      <c r="QM103" s="2"/>
      <c r="QN103" s="2"/>
      <c r="QO103" s="2"/>
      <c r="QP103" s="2"/>
      <c r="QQ103" s="2"/>
      <c r="QR103" s="2"/>
      <c r="QS103" s="2"/>
      <c r="QT103" s="2"/>
      <c r="QU103" s="2"/>
      <c r="QV103" s="2"/>
      <c r="QW103" s="2"/>
      <c r="QX103" s="2"/>
      <c r="QY103" s="2"/>
      <c r="QZ103" s="2"/>
      <c r="RA103" s="2"/>
      <c r="RB103" s="2"/>
      <c r="RC103" s="2"/>
      <c r="RD103" s="2"/>
      <c r="RE103" s="2"/>
      <c r="RF103" s="2"/>
      <c r="RG103" s="2"/>
      <c r="RH103" s="2"/>
      <c r="RI103" s="2"/>
      <c r="RJ103" s="2"/>
      <c r="RK103" s="2"/>
      <c r="RL103" s="2"/>
      <c r="RM103" s="2"/>
      <c r="RN103" s="2"/>
      <c r="RO103" s="2"/>
      <c r="RP103" s="2"/>
      <c r="RQ103" s="2"/>
      <c r="RR103" s="2"/>
      <c r="RS103" s="2"/>
      <c r="RT103" s="2"/>
      <c r="RU103" s="2"/>
      <c r="RV103" s="2"/>
      <c r="RW103" s="2"/>
      <c r="RX103" s="2"/>
      <c r="RY103" s="2"/>
      <c r="RZ103" s="2"/>
      <c r="SA103" s="2"/>
      <c r="SB103" s="2"/>
      <c r="SC103" s="2"/>
      <c r="SD103" s="2"/>
      <c r="SE103" s="2"/>
      <c r="SF103" s="2"/>
      <c r="SG103" s="2"/>
      <c r="SH103" s="2"/>
      <c r="SI103" s="2"/>
      <c r="SJ103" s="2"/>
      <c r="SK103" s="2"/>
      <c r="SL103" s="2"/>
      <c r="SM103" s="2"/>
      <c r="SN103" s="2"/>
      <c r="SO103" s="2"/>
      <c r="SP103" s="2"/>
      <c r="SQ103" s="2"/>
      <c r="SR103" s="2"/>
      <c r="SS103" s="2"/>
      <c r="ST103" s="2"/>
      <c r="SU103" s="2"/>
      <c r="SV103" s="2"/>
      <c r="SW103" s="2"/>
      <c r="SX103" s="2"/>
    </row>
    <row r="104" spans="33:518" x14ac:dyDescent="0.25"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  <c r="FK104" s="2"/>
      <c r="FL104" s="2"/>
      <c r="FM104" s="2"/>
      <c r="FN104" s="2"/>
      <c r="FO104" s="2"/>
      <c r="FP104" s="2"/>
      <c r="FQ104" s="2"/>
      <c r="FR104" s="2"/>
      <c r="FS104" s="2"/>
      <c r="FT104" s="2"/>
      <c r="FU104" s="2"/>
      <c r="FV104" s="2"/>
      <c r="FW104" s="2"/>
      <c r="FX104" s="2"/>
      <c r="FY104" s="2"/>
      <c r="FZ104" s="2"/>
      <c r="GA104" s="2"/>
      <c r="GB104" s="2"/>
      <c r="GC104" s="2"/>
      <c r="GD104" s="2"/>
      <c r="GE104" s="2"/>
      <c r="GF104" s="2"/>
      <c r="GG104" s="2"/>
      <c r="GH104" s="2"/>
      <c r="GI104" s="2"/>
      <c r="GJ104" s="2"/>
      <c r="GK104" s="2"/>
      <c r="GL104" s="2"/>
      <c r="GM104" s="2"/>
      <c r="GN104" s="2"/>
      <c r="GO104" s="2"/>
      <c r="GP104" s="2"/>
      <c r="GQ104" s="2"/>
      <c r="GR104" s="2"/>
      <c r="GS104" s="2"/>
      <c r="GT104" s="2"/>
      <c r="GU104" s="2"/>
      <c r="GV104" s="2"/>
      <c r="GW104" s="2"/>
      <c r="GX104" s="2"/>
      <c r="GY104" s="2"/>
      <c r="GZ104" s="2"/>
      <c r="HA104" s="2"/>
      <c r="HB104" s="2"/>
      <c r="HC104" s="2"/>
      <c r="HD104" s="2"/>
      <c r="HE104" s="2"/>
      <c r="HF104" s="2"/>
      <c r="HG104" s="2"/>
      <c r="HH104" s="2"/>
      <c r="HI104" s="2"/>
      <c r="HJ104" s="2"/>
      <c r="HK104" s="2"/>
      <c r="HL104" s="2"/>
      <c r="HM104" s="2"/>
      <c r="HN104" s="2"/>
      <c r="HO104" s="2"/>
      <c r="HP104" s="2"/>
      <c r="HQ104" s="2"/>
      <c r="HR104" s="2"/>
      <c r="HS104" s="2"/>
      <c r="HT104" s="2"/>
      <c r="HU104" s="2"/>
      <c r="HV104" s="2"/>
      <c r="HW104" s="2"/>
      <c r="HX104" s="2"/>
      <c r="HY104" s="2"/>
      <c r="HZ104" s="2"/>
      <c r="IA104" s="2"/>
      <c r="IB104" s="2"/>
      <c r="IC104" s="2"/>
      <c r="ID104" s="2"/>
      <c r="IE104" s="2"/>
      <c r="IF104" s="2"/>
      <c r="IG104" s="2"/>
      <c r="IH104" s="2"/>
      <c r="II104" s="2"/>
      <c r="IJ104" s="2"/>
      <c r="IK104" s="2"/>
      <c r="IL104" s="2"/>
      <c r="IM104" s="2"/>
      <c r="IN104" s="2"/>
      <c r="IO104" s="2"/>
      <c r="IP104" s="2"/>
      <c r="IQ104" s="2"/>
      <c r="IR104" s="2"/>
      <c r="IS104" s="2"/>
      <c r="IT104" s="2"/>
      <c r="IU104" s="2"/>
      <c r="IV104" s="2"/>
      <c r="IW104" s="2"/>
      <c r="IX104" s="2"/>
      <c r="IY104" s="2"/>
      <c r="IZ104" s="2"/>
      <c r="JA104" s="2"/>
      <c r="JB104" s="2"/>
      <c r="JC104" s="2"/>
      <c r="JD104" s="2"/>
      <c r="JE104" s="2"/>
      <c r="JF104" s="2"/>
      <c r="JG104" s="2"/>
      <c r="JH104" s="2"/>
      <c r="JI104" s="2"/>
      <c r="JJ104" s="2"/>
      <c r="JK104" s="2"/>
      <c r="JL104" s="2"/>
      <c r="JM104" s="2"/>
      <c r="JN104" s="2"/>
      <c r="JO104" s="2"/>
      <c r="JP104" s="2"/>
      <c r="JQ104" s="2"/>
      <c r="JR104" s="2"/>
      <c r="JS104" s="2"/>
      <c r="JT104" s="2"/>
      <c r="JU104" s="2"/>
      <c r="JV104" s="2"/>
      <c r="JW104" s="2"/>
      <c r="JX104" s="2"/>
      <c r="JY104" s="2"/>
      <c r="JZ104" s="2"/>
      <c r="KA104" s="2"/>
      <c r="KB104" s="2"/>
      <c r="KC104" s="2"/>
      <c r="KD104" s="2"/>
      <c r="KE104" s="2"/>
      <c r="KF104" s="2"/>
      <c r="KG104" s="2"/>
      <c r="KH104" s="2"/>
      <c r="KI104" s="2"/>
      <c r="KJ104" s="2"/>
      <c r="KK104" s="2"/>
      <c r="KL104" s="2"/>
      <c r="KM104" s="2"/>
      <c r="KN104" s="2"/>
      <c r="KO104" s="2"/>
      <c r="KP104" s="2"/>
      <c r="KQ104" s="2"/>
      <c r="KR104" s="2"/>
      <c r="KS104" s="2"/>
      <c r="KT104" s="2"/>
      <c r="KU104" s="2"/>
      <c r="KV104" s="2"/>
      <c r="KW104" s="2"/>
      <c r="KX104" s="2"/>
      <c r="KY104" s="2"/>
      <c r="KZ104" s="2"/>
      <c r="LA104" s="2"/>
      <c r="LB104" s="2"/>
      <c r="LC104" s="2"/>
      <c r="LD104" s="2"/>
      <c r="LE104" s="2"/>
      <c r="LF104" s="2"/>
      <c r="LG104" s="2"/>
      <c r="LH104" s="2"/>
      <c r="LI104" s="2"/>
      <c r="LJ104" s="2"/>
      <c r="LK104" s="2"/>
      <c r="LL104" s="2"/>
      <c r="LM104" s="2"/>
      <c r="LN104" s="2"/>
      <c r="LO104" s="2"/>
      <c r="LP104" s="2"/>
      <c r="LQ104" s="2"/>
      <c r="LR104" s="2"/>
      <c r="LS104" s="2"/>
      <c r="LT104" s="2"/>
      <c r="LU104" s="2"/>
      <c r="LV104" s="2"/>
      <c r="LW104" s="2"/>
      <c r="LX104" s="2"/>
      <c r="LY104" s="2"/>
      <c r="LZ104" s="2"/>
      <c r="MA104" s="2"/>
      <c r="MB104" s="2"/>
      <c r="MC104" s="2"/>
      <c r="MD104" s="2"/>
      <c r="ME104" s="2"/>
      <c r="MF104" s="2"/>
      <c r="MG104" s="2"/>
      <c r="MH104" s="2"/>
      <c r="MI104" s="2"/>
      <c r="MJ104" s="2"/>
      <c r="MK104" s="2"/>
      <c r="ML104" s="2"/>
      <c r="MM104" s="2"/>
      <c r="MN104" s="2"/>
      <c r="MO104" s="2"/>
      <c r="MP104" s="2"/>
      <c r="MQ104" s="2"/>
      <c r="MR104" s="2"/>
      <c r="MS104" s="2"/>
      <c r="MT104" s="2"/>
      <c r="MU104" s="2"/>
      <c r="MV104" s="2"/>
      <c r="MW104" s="2"/>
      <c r="MX104" s="2"/>
      <c r="MY104" s="2"/>
      <c r="MZ104" s="2"/>
      <c r="NA104" s="2"/>
      <c r="NB104" s="2"/>
      <c r="NC104" s="2"/>
      <c r="ND104" s="2"/>
      <c r="NE104" s="2"/>
      <c r="NF104" s="2"/>
      <c r="NG104" s="2"/>
      <c r="NH104" s="2"/>
      <c r="NI104" s="2"/>
      <c r="NJ104" s="2"/>
      <c r="NK104" s="2"/>
      <c r="NL104" s="2"/>
      <c r="NM104" s="2"/>
      <c r="NN104" s="2"/>
      <c r="NO104" s="2"/>
      <c r="NP104" s="2"/>
      <c r="NQ104" s="2"/>
      <c r="NR104" s="2"/>
      <c r="NS104" s="2"/>
      <c r="NT104" s="2"/>
      <c r="NU104" s="2"/>
      <c r="NV104" s="2"/>
      <c r="NW104" s="2"/>
      <c r="NX104" s="2"/>
      <c r="NY104" s="2"/>
      <c r="NZ104" s="2"/>
      <c r="OA104" s="2"/>
      <c r="OB104" s="2"/>
      <c r="OC104" s="2"/>
      <c r="OD104" s="2"/>
      <c r="OE104" s="2"/>
      <c r="OF104" s="2"/>
      <c r="OG104" s="2"/>
      <c r="OH104" s="2"/>
      <c r="OI104" s="2"/>
      <c r="OJ104" s="2"/>
      <c r="OK104" s="2"/>
      <c r="OL104" s="2"/>
      <c r="OM104" s="2"/>
      <c r="ON104" s="2"/>
      <c r="OO104" s="2"/>
      <c r="OP104" s="2"/>
      <c r="OQ104" s="2"/>
      <c r="OR104" s="2"/>
      <c r="OS104" s="2"/>
      <c r="OT104" s="2"/>
      <c r="OU104" s="2"/>
      <c r="OV104" s="2"/>
      <c r="OW104" s="2"/>
      <c r="OX104" s="2"/>
      <c r="OY104" s="2"/>
      <c r="OZ104" s="2"/>
      <c r="PA104" s="2"/>
      <c r="PB104" s="2"/>
      <c r="PC104" s="2"/>
      <c r="PD104" s="2"/>
      <c r="PE104" s="2"/>
      <c r="PF104" s="2"/>
      <c r="PG104" s="2"/>
      <c r="PH104" s="2"/>
      <c r="PI104" s="2"/>
      <c r="PJ104" s="2"/>
      <c r="PK104" s="2"/>
      <c r="PL104" s="2"/>
      <c r="PM104" s="2"/>
      <c r="PN104" s="2"/>
      <c r="PO104" s="2"/>
      <c r="PP104" s="2"/>
      <c r="PQ104" s="2"/>
      <c r="PR104" s="2"/>
      <c r="PS104" s="2"/>
      <c r="PT104" s="2"/>
      <c r="PU104" s="2"/>
      <c r="PV104" s="2"/>
      <c r="PW104" s="2"/>
      <c r="PX104" s="2"/>
      <c r="PY104" s="2"/>
      <c r="PZ104" s="2"/>
      <c r="QA104" s="2"/>
      <c r="QB104" s="2"/>
      <c r="QC104" s="2"/>
      <c r="QD104" s="2"/>
      <c r="QE104" s="2"/>
      <c r="QF104" s="2"/>
      <c r="QG104" s="2"/>
      <c r="QH104" s="2"/>
      <c r="QI104" s="2"/>
      <c r="QJ104" s="2"/>
      <c r="QK104" s="2"/>
      <c r="QL104" s="2"/>
      <c r="QM104" s="2"/>
      <c r="QN104" s="2"/>
      <c r="QO104" s="2"/>
      <c r="QP104" s="2"/>
      <c r="QQ104" s="2"/>
      <c r="QR104" s="2"/>
      <c r="QS104" s="2"/>
      <c r="QT104" s="2"/>
      <c r="QU104" s="2"/>
      <c r="QV104" s="2"/>
      <c r="QW104" s="2"/>
      <c r="QX104" s="2"/>
      <c r="QY104" s="2"/>
      <c r="QZ104" s="2"/>
      <c r="RA104" s="2"/>
      <c r="RB104" s="2"/>
      <c r="RC104" s="2"/>
      <c r="RD104" s="2"/>
      <c r="RE104" s="2"/>
      <c r="RF104" s="2"/>
      <c r="RG104" s="2"/>
      <c r="RH104" s="2"/>
      <c r="RI104" s="2"/>
      <c r="RJ104" s="2"/>
      <c r="RK104" s="2"/>
      <c r="RL104" s="2"/>
      <c r="RM104" s="2"/>
      <c r="RN104" s="2"/>
      <c r="RO104" s="2"/>
      <c r="RP104" s="2"/>
      <c r="RQ104" s="2"/>
      <c r="RR104" s="2"/>
      <c r="RS104" s="2"/>
      <c r="RT104" s="2"/>
      <c r="RU104" s="2"/>
      <c r="RV104" s="2"/>
      <c r="RW104" s="2"/>
      <c r="RX104" s="2"/>
      <c r="RY104" s="2"/>
      <c r="RZ104" s="2"/>
      <c r="SA104" s="2"/>
      <c r="SB104" s="2"/>
      <c r="SC104" s="2"/>
      <c r="SD104" s="2"/>
      <c r="SE104" s="2"/>
      <c r="SF104" s="2"/>
      <c r="SG104" s="2"/>
      <c r="SH104" s="2"/>
      <c r="SI104" s="2"/>
      <c r="SJ104" s="2"/>
      <c r="SK104" s="2"/>
      <c r="SL104" s="2"/>
      <c r="SM104" s="2"/>
      <c r="SN104" s="2"/>
      <c r="SO104" s="2"/>
      <c r="SP104" s="2"/>
      <c r="SQ104" s="2"/>
      <c r="SR104" s="2"/>
      <c r="SS104" s="2"/>
      <c r="ST104" s="2"/>
      <c r="SU104" s="2"/>
      <c r="SV104" s="2"/>
      <c r="SW104" s="2"/>
      <c r="SX104" s="2"/>
    </row>
    <row r="105" spans="33:518" x14ac:dyDescent="0.25"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  <c r="RA105" s="2"/>
      <c r="RB105" s="2"/>
      <c r="RC105" s="2"/>
      <c r="RD105" s="2"/>
      <c r="RE105" s="2"/>
      <c r="RF105" s="2"/>
      <c r="RG105" s="2"/>
      <c r="RH105" s="2"/>
      <c r="RI105" s="2"/>
      <c r="RJ105" s="2"/>
      <c r="RK105" s="2"/>
      <c r="RL105" s="2"/>
      <c r="RM105" s="2"/>
      <c r="RN105" s="2"/>
      <c r="RO105" s="2"/>
      <c r="RP105" s="2"/>
      <c r="RQ105" s="2"/>
      <c r="RR105" s="2"/>
      <c r="RS105" s="2"/>
      <c r="RT105" s="2"/>
      <c r="RU105" s="2"/>
      <c r="RV105" s="2"/>
      <c r="RW105" s="2"/>
      <c r="RX105" s="2"/>
      <c r="RY105" s="2"/>
      <c r="RZ105" s="2"/>
      <c r="SA105" s="2"/>
      <c r="SB105" s="2"/>
      <c r="SC105" s="2"/>
      <c r="SD105" s="2"/>
      <c r="SE105" s="2"/>
      <c r="SF105" s="2"/>
      <c r="SG105" s="2"/>
      <c r="SH105" s="2"/>
      <c r="SI105" s="2"/>
      <c r="SJ105" s="2"/>
      <c r="SK105" s="2"/>
      <c r="SL105" s="2"/>
      <c r="SM105" s="2"/>
      <c r="SN105" s="2"/>
      <c r="SO105" s="2"/>
      <c r="SP105" s="2"/>
      <c r="SQ105" s="2"/>
      <c r="SR105" s="2"/>
      <c r="SS105" s="2"/>
      <c r="ST105" s="2"/>
      <c r="SU105" s="2"/>
      <c r="SV105" s="2"/>
      <c r="SW105" s="2"/>
      <c r="SX105" s="2"/>
    </row>
    <row r="106" spans="33:518" x14ac:dyDescent="0.25"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  <c r="RA106" s="2"/>
      <c r="RB106" s="2"/>
      <c r="RC106" s="2"/>
      <c r="RD106" s="2"/>
      <c r="RE106" s="2"/>
      <c r="RF106" s="2"/>
      <c r="RG106" s="2"/>
      <c r="RH106" s="2"/>
      <c r="RI106" s="2"/>
      <c r="RJ106" s="2"/>
      <c r="RK106" s="2"/>
      <c r="RL106" s="2"/>
      <c r="RM106" s="2"/>
      <c r="RN106" s="2"/>
      <c r="RO106" s="2"/>
      <c r="RP106" s="2"/>
      <c r="RQ106" s="2"/>
      <c r="RR106" s="2"/>
      <c r="RS106" s="2"/>
      <c r="RT106" s="2"/>
      <c r="RU106" s="2"/>
      <c r="RV106" s="2"/>
      <c r="RW106" s="2"/>
      <c r="RX106" s="2"/>
      <c r="RY106" s="2"/>
      <c r="RZ106" s="2"/>
      <c r="SA106" s="2"/>
      <c r="SB106" s="2"/>
      <c r="SC106" s="2"/>
      <c r="SD106" s="2"/>
      <c r="SE106" s="2"/>
      <c r="SF106" s="2"/>
      <c r="SG106" s="2"/>
      <c r="SH106" s="2"/>
      <c r="SI106" s="2"/>
      <c r="SJ106" s="2"/>
      <c r="SK106" s="2"/>
      <c r="SL106" s="2"/>
      <c r="SM106" s="2"/>
      <c r="SN106" s="2"/>
      <c r="SO106" s="2"/>
      <c r="SP106" s="2"/>
      <c r="SQ106" s="2"/>
      <c r="SR106" s="2"/>
      <c r="SS106" s="2"/>
      <c r="ST106" s="2"/>
      <c r="SU106" s="2"/>
      <c r="SV106" s="2"/>
      <c r="SW106" s="2"/>
      <c r="SX106" s="2"/>
    </row>
    <row r="107" spans="33:518" x14ac:dyDescent="0.25"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  <c r="FK107" s="2"/>
      <c r="FL107" s="2"/>
      <c r="FM107" s="2"/>
      <c r="FN107" s="2"/>
      <c r="FO107" s="2"/>
      <c r="FP107" s="2"/>
      <c r="FQ107" s="2"/>
      <c r="FR107" s="2"/>
      <c r="FS107" s="2"/>
      <c r="FT107" s="2"/>
      <c r="FU107" s="2"/>
      <c r="FV107" s="2"/>
      <c r="FW107" s="2"/>
      <c r="FX107" s="2"/>
      <c r="FY107" s="2"/>
      <c r="FZ107" s="2"/>
      <c r="GA107" s="2"/>
      <c r="GB107" s="2"/>
      <c r="GC107" s="2"/>
      <c r="GD107" s="2"/>
      <c r="GE107" s="2"/>
      <c r="GF107" s="2"/>
      <c r="GG107" s="2"/>
      <c r="GH107" s="2"/>
      <c r="GI107" s="2"/>
      <c r="GJ107" s="2"/>
      <c r="GK107" s="2"/>
      <c r="GL107" s="2"/>
      <c r="GM107" s="2"/>
      <c r="GN107" s="2"/>
      <c r="GO107" s="2"/>
      <c r="GP107" s="2"/>
      <c r="GQ107" s="2"/>
      <c r="GR107" s="2"/>
      <c r="GS107" s="2"/>
      <c r="GT107" s="2"/>
      <c r="GU107" s="2"/>
      <c r="GV107" s="2"/>
      <c r="GW107" s="2"/>
      <c r="GX107" s="2"/>
      <c r="GY107" s="2"/>
      <c r="GZ107" s="2"/>
      <c r="HA107" s="2"/>
      <c r="HB107" s="2"/>
      <c r="HC107" s="2"/>
      <c r="HD107" s="2"/>
      <c r="HE107" s="2"/>
      <c r="HF107" s="2"/>
      <c r="HG107" s="2"/>
      <c r="HH107" s="2"/>
      <c r="HI107" s="2"/>
      <c r="HJ107" s="2"/>
      <c r="HK107" s="2"/>
      <c r="HL107" s="2"/>
      <c r="HM107" s="2"/>
      <c r="HN107" s="2"/>
      <c r="HO107" s="2"/>
      <c r="HP107" s="2"/>
      <c r="HQ107" s="2"/>
      <c r="HR107" s="2"/>
      <c r="HS107" s="2"/>
      <c r="HT107" s="2"/>
      <c r="HU107" s="2"/>
      <c r="HV107" s="2"/>
      <c r="HW107" s="2"/>
      <c r="HX107" s="2"/>
      <c r="HY107" s="2"/>
      <c r="HZ107" s="2"/>
      <c r="IA107" s="2"/>
      <c r="IB107" s="2"/>
      <c r="IC107" s="2"/>
      <c r="ID107" s="2"/>
      <c r="IE107" s="2"/>
      <c r="IF107" s="2"/>
      <c r="IG107" s="2"/>
      <c r="IH107" s="2"/>
      <c r="II107" s="2"/>
      <c r="IJ107" s="2"/>
      <c r="IK107" s="2"/>
      <c r="IL107" s="2"/>
      <c r="IM107" s="2"/>
      <c r="IN107" s="2"/>
      <c r="IO107" s="2"/>
      <c r="IP107" s="2"/>
      <c r="IQ107" s="2"/>
      <c r="IR107" s="2"/>
      <c r="IS107" s="2"/>
      <c r="IT107" s="2"/>
      <c r="IU107" s="2"/>
      <c r="IV107" s="2"/>
      <c r="IW107" s="2"/>
      <c r="IX107" s="2"/>
      <c r="IY107" s="2"/>
      <c r="IZ107" s="2"/>
      <c r="JA107" s="2"/>
      <c r="JB107" s="2"/>
      <c r="JC107" s="2"/>
      <c r="JD107" s="2"/>
      <c r="JE107" s="2"/>
      <c r="JF107" s="2"/>
      <c r="JG107" s="2"/>
      <c r="JH107" s="2"/>
      <c r="JI107" s="2"/>
      <c r="JJ107" s="2"/>
      <c r="JK107" s="2"/>
      <c r="JL107" s="2"/>
      <c r="JM107" s="2"/>
      <c r="JN107" s="2"/>
      <c r="JO107" s="2"/>
      <c r="JP107" s="2"/>
      <c r="JQ107" s="2"/>
      <c r="JR107" s="2"/>
      <c r="JS107" s="2"/>
      <c r="JT107" s="2"/>
      <c r="JU107" s="2"/>
      <c r="JV107" s="2"/>
      <c r="JW107" s="2"/>
      <c r="JX107" s="2"/>
      <c r="JY107" s="2"/>
      <c r="JZ107" s="2"/>
      <c r="KA107" s="2"/>
      <c r="KB107" s="2"/>
      <c r="KC107" s="2"/>
      <c r="KD107" s="2"/>
      <c r="KE107" s="2"/>
      <c r="KF107" s="2"/>
      <c r="KG107" s="2"/>
      <c r="KH107" s="2"/>
      <c r="KI107" s="2"/>
      <c r="KJ107" s="2"/>
      <c r="KK107" s="2"/>
      <c r="KL107" s="2"/>
      <c r="KM107" s="2"/>
      <c r="KN107" s="2"/>
      <c r="KO107" s="2"/>
      <c r="KP107" s="2"/>
      <c r="KQ107" s="2"/>
      <c r="KR107" s="2"/>
      <c r="KS107" s="2"/>
      <c r="KT107" s="2"/>
      <c r="KU107" s="2"/>
      <c r="KV107" s="2"/>
      <c r="KW107" s="2"/>
      <c r="KX107" s="2"/>
      <c r="KY107" s="2"/>
      <c r="KZ107" s="2"/>
      <c r="LA107" s="2"/>
      <c r="LB107" s="2"/>
      <c r="LC107" s="2"/>
      <c r="LD107" s="2"/>
      <c r="LE107" s="2"/>
      <c r="LF107" s="2"/>
      <c r="LG107" s="2"/>
      <c r="LH107" s="2"/>
      <c r="LI107" s="2"/>
      <c r="LJ107" s="2"/>
      <c r="LK107" s="2"/>
      <c r="LL107" s="2"/>
      <c r="LM107" s="2"/>
      <c r="LN107" s="2"/>
      <c r="LO107" s="2"/>
      <c r="LP107" s="2"/>
      <c r="LQ107" s="2"/>
      <c r="LR107" s="2"/>
      <c r="LS107" s="2"/>
      <c r="LT107" s="2"/>
      <c r="LU107" s="2"/>
      <c r="LV107" s="2"/>
      <c r="LW107" s="2"/>
      <c r="LX107" s="2"/>
      <c r="LY107" s="2"/>
      <c r="LZ107" s="2"/>
      <c r="MA107" s="2"/>
      <c r="MB107" s="2"/>
      <c r="MC107" s="2"/>
      <c r="MD107" s="2"/>
      <c r="ME107" s="2"/>
      <c r="MF107" s="2"/>
      <c r="MG107" s="2"/>
      <c r="MH107" s="2"/>
      <c r="MI107" s="2"/>
      <c r="MJ107" s="2"/>
      <c r="MK107" s="2"/>
      <c r="ML107" s="2"/>
      <c r="MM107" s="2"/>
      <c r="MN107" s="2"/>
      <c r="MO107" s="2"/>
      <c r="MP107" s="2"/>
      <c r="MQ107" s="2"/>
      <c r="MR107" s="2"/>
      <c r="MS107" s="2"/>
      <c r="MT107" s="2"/>
      <c r="MU107" s="2"/>
      <c r="MV107" s="2"/>
      <c r="MW107" s="2"/>
      <c r="MX107" s="2"/>
      <c r="MY107" s="2"/>
      <c r="MZ107" s="2"/>
      <c r="NA107" s="2"/>
      <c r="NB107" s="2"/>
      <c r="NC107" s="2"/>
      <c r="ND107" s="2"/>
      <c r="NE107" s="2"/>
      <c r="NF107" s="2"/>
      <c r="NG107" s="2"/>
      <c r="NH107" s="2"/>
      <c r="NI107" s="2"/>
      <c r="NJ107" s="2"/>
      <c r="NK107" s="2"/>
      <c r="NL107" s="2"/>
      <c r="NM107" s="2"/>
      <c r="NN107" s="2"/>
      <c r="NO107" s="2"/>
      <c r="NP107" s="2"/>
      <c r="NQ107" s="2"/>
      <c r="NR107" s="2"/>
      <c r="NS107" s="2"/>
      <c r="NT107" s="2"/>
      <c r="NU107" s="2"/>
      <c r="NV107" s="2"/>
      <c r="NW107" s="2"/>
      <c r="NX107" s="2"/>
      <c r="NY107" s="2"/>
      <c r="NZ107" s="2"/>
      <c r="OA107" s="2"/>
      <c r="OB107" s="2"/>
      <c r="OC107" s="2"/>
      <c r="OD107" s="2"/>
      <c r="OE107" s="2"/>
      <c r="OF107" s="2"/>
      <c r="OG107" s="2"/>
      <c r="OH107" s="2"/>
      <c r="OI107" s="2"/>
      <c r="OJ107" s="2"/>
      <c r="OK107" s="2"/>
      <c r="OL107" s="2"/>
      <c r="OM107" s="2"/>
      <c r="ON107" s="2"/>
      <c r="OO107" s="2"/>
      <c r="OP107" s="2"/>
      <c r="OQ107" s="2"/>
      <c r="OR107" s="2"/>
      <c r="OS107" s="2"/>
      <c r="OT107" s="2"/>
      <c r="OU107" s="2"/>
      <c r="OV107" s="2"/>
      <c r="OW107" s="2"/>
      <c r="OX107" s="2"/>
      <c r="OY107" s="2"/>
      <c r="OZ107" s="2"/>
      <c r="PA107" s="2"/>
      <c r="PB107" s="2"/>
      <c r="PC107" s="2"/>
      <c r="PD107" s="2"/>
      <c r="PE107" s="2"/>
      <c r="PF107" s="2"/>
      <c r="PG107" s="2"/>
      <c r="PH107" s="2"/>
      <c r="PI107" s="2"/>
      <c r="PJ107" s="2"/>
      <c r="PK107" s="2"/>
      <c r="PL107" s="2"/>
      <c r="PM107" s="2"/>
      <c r="PN107" s="2"/>
      <c r="PO107" s="2"/>
      <c r="PP107" s="2"/>
      <c r="PQ107" s="2"/>
      <c r="PR107" s="2"/>
      <c r="PS107" s="2"/>
      <c r="PT107" s="2"/>
      <c r="PU107" s="2"/>
      <c r="PV107" s="2"/>
      <c r="PW107" s="2"/>
      <c r="PX107" s="2"/>
      <c r="PY107" s="2"/>
      <c r="PZ107" s="2"/>
      <c r="QA107" s="2"/>
      <c r="QB107" s="2"/>
      <c r="QC107" s="2"/>
      <c r="QD107" s="2"/>
      <c r="QE107" s="2"/>
      <c r="QF107" s="2"/>
      <c r="QG107" s="2"/>
      <c r="QH107" s="2"/>
      <c r="QI107" s="2"/>
      <c r="QJ107" s="2"/>
      <c r="QK107" s="2"/>
      <c r="QL107" s="2"/>
      <c r="QM107" s="2"/>
      <c r="QN107" s="2"/>
      <c r="QO107" s="2"/>
      <c r="QP107" s="2"/>
      <c r="QQ107" s="2"/>
      <c r="QR107" s="2"/>
      <c r="QS107" s="2"/>
      <c r="QT107" s="2"/>
      <c r="QU107" s="2"/>
      <c r="QV107" s="2"/>
      <c r="QW107" s="2"/>
      <c r="QX107" s="2"/>
      <c r="QY107" s="2"/>
      <c r="QZ107" s="2"/>
      <c r="RA107" s="2"/>
      <c r="RB107" s="2"/>
      <c r="RC107" s="2"/>
      <c r="RD107" s="2"/>
      <c r="RE107" s="2"/>
      <c r="RF107" s="2"/>
      <c r="RG107" s="2"/>
      <c r="RH107" s="2"/>
      <c r="RI107" s="2"/>
      <c r="RJ107" s="2"/>
      <c r="RK107" s="2"/>
      <c r="RL107" s="2"/>
      <c r="RM107" s="2"/>
      <c r="RN107" s="2"/>
      <c r="RO107" s="2"/>
      <c r="RP107" s="2"/>
      <c r="RQ107" s="2"/>
      <c r="RR107" s="2"/>
      <c r="RS107" s="2"/>
      <c r="RT107" s="2"/>
      <c r="RU107" s="2"/>
      <c r="RV107" s="2"/>
      <c r="RW107" s="2"/>
      <c r="RX107" s="2"/>
      <c r="RY107" s="2"/>
      <c r="RZ107" s="2"/>
      <c r="SA107" s="2"/>
      <c r="SB107" s="2"/>
      <c r="SC107" s="2"/>
      <c r="SD107" s="2"/>
      <c r="SE107" s="2"/>
      <c r="SF107" s="2"/>
      <c r="SG107" s="2"/>
      <c r="SH107" s="2"/>
      <c r="SI107" s="2"/>
      <c r="SJ107" s="2"/>
      <c r="SK107" s="2"/>
      <c r="SL107" s="2"/>
      <c r="SM107" s="2"/>
      <c r="SN107" s="2"/>
      <c r="SO107" s="2"/>
      <c r="SP107" s="2"/>
      <c r="SQ107" s="2"/>
      <c r="SR107" s="2"/>
      <c r="SS107" s="2"/>
      <c r="ST107" s="2"/>
      <c r="SU107" s="2"/>
      <c r="SV107" s="2"/>
      <c r="SW107" s="2"/>
      <c r="SX107" s="2"/>
    </row>
    <row r="108" spans="33:518" x14ac:dyDescent="0.25"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  <c r="FK108" s="2"/>
      <c r="FL108" s="2"/>
      <c r="FM108" s="2"/>
      <c r="FN108" s="2"/>
      <c r="FO108" s="2"/>
      <c r="FP108" s="2"/>
      <c r="FQ108" s="2"/>
      <c r="FR108" s="2"/>
      <c r="FS108" s="2"/>
      <c r="FT108" s="2"/>
      <c r="FU108" s="2"/>
      <c r="FV108" s="2"/>
      <c r="FW108" s="2"/>
      <c r="FX108" s="2"/>
      <c r="FY108" s="2"/>
      <c r="FZ108" s="2"/>
      <c r="GA108" s="2"/>
      <c r="GB108" s="2"/>
      <c r="GC108" s="2"/>
      <c r="GD108" s="2"/>
      <c r="GE108" s="2"/>
      <c r="GF108" s="2"/>
      <c r="GG108" s="2"/>
      <c r="GH108" s="2"/>
      <c r="GI108" s="2"/>
      <c r="GJ108" s="2"/>
      <c r="GK108" s="2"/>
      <c r="GL108" s="2"/>
      <c r="GM108" s="2"/>
      <c r="GN108" s="2"/>
      <c r="GO108" s="2"/>
      <c r="GP108" s="2"/>
      <c r="GQ108" s="2"/>
      <c r="GR108" s="2"/>
      <c r="GS108" s="2"/>
      <c r="GT108" s="2"/>
      <c r="GU108" s="2"/>
      <c r="GV108" s="2"/>
      <c r="GW108" s="2"/>
      <c r="GX108" s="2"/>
      <c r="GY108" s="2"/>
      <c r="GZ108" s="2"/>
      <c r="HA108" s="2"/>
      <c r="HB108" s="2"/>
      <c r="HC108" s="2"/>
      <c r="HD108" s="2"/>
      <c r="HE108" s="2"/>
      <c r="HF108" s="2"/>
      <c r="HG108" s="2"/>
      <c r="HH108" s="2"/>
      <c r="HI108" s="2"/>
      <c r="HJ108" s="2"/>
      <c r="HK108" s="2"/>
      <c r="HL108" s="2"/>
      <c r="HM108" s="2"/>
      <c r="HN108" s="2"/>
      <c r="HO108" s="2"/>
      <c r="HP108" s="2"/>
      <c r="HQ108" s="2"/>
      <c r="HR108" s="2"/>
      <c r="HS108" s="2"/>
      <c r="HT108" s="2"/>
      <c r="HU108" s="2"/>
      <c r="HV108" s="2"/>
      <c r="HW108" s="2"/>
      <c r="HX108" s="2"/>
      <c r="HY108" s="2"/>
      <c r="HZ108" s="2"/>
      <c r="IA108" s="2"/>
      <c r="IB108" s="2"/>
      <c r="IC108" s="2"/>
      <c r="ID108" s="2"/>
      <c r="IE108" s="2"/>
      <c r="IF108" s="2"/>
      <c r="IG108" s="2"/>
      <c r="IH108" s="2"/>
      <c r="II108" s="2"/>
      <c r="IJ108" s="2"/>
      <c r="IK108" s="2"/>
      <c r="IL108" s="2"/>
      <c r="IM108" s="2"/>
      <c r="IN108" s="2"/>
      <c r="IO108" s="2"/>
      <c r="IP108" s="2"/>
      <c r="IQ108" s="2"/>
      <c r="IR108" s="2"/>
      <c r="IS108" s="2"/>
      <c r="IT108" s="2"/>
      <c r="IU108" s="2"/>
      <c r="IV108" s="2"/>
      <c r="IW108" s="2"/>
      <c r="IX108" s="2"/>
      <c r="IY108" s="2"/>
      <c r="IZ108" s="2"/>
      <c r="JA108" s="2"/>
      <c r="JB108" s="2"/>
      <c r="JC108" s="2"/>
      <c r="JD108" s="2"/>
      <c r="JE108" s="2"/>
      <c r="JF108" s="2"/>
      <c r="JG108" s="2"/>
      <c r="JH108" s="2"/>
      <c r="JI108" s="2"/>
      <c r="JJ108" s="2"/>
      <c r="JK108" s="2"/>
      <c r="JL108" s="2"/>
      <c r="JM108" s="2"/>
      <c r="JN108" s="2"/>
      <c r="JO108" s="2"/>
      <c r="JP108" s="2"/>
      <c r="JQ108" s="2"/>
      <c r="JR108" s="2"/>
      <c r="JS108" s="2"/>
      <c r="JT108" s="2"/>
      <c r="JU108" s="2"/>
      <c r="JV108" s="2"/>
      <c r="JW108" s="2"/>
      <c r="JX108" s="2"/>
      <c r="JY108" s="2"/>
      <c r="JZ108" s="2"/>
      <c r="KA108" s="2"/>
      <c r="KB108" s="2"/>
      <c r="KC108" s="2"/>
      <c r="KD108" s="2"/>
      <c r="KE108" s="2"/>
      <c r="KF108" s="2"/>
      <c r="KG108" s="2"/>
      <c r="KH108" s="2"/>
      <c r="KI108" s="2"/>
      <c r="KJ108" s="2"/>
      <c r="KK108" s="2"/>
      <c r="KL108" s="2"/>
      <c r="KM108" s="2"/>
      <c r="KN108" s="2"/>
      <c r="KO108" s="2"/>
      <c r="KP108" s="2"/>
      <c r="KQ108" s="2"/>
      <c r="KR108" s="2"/>
      <c r="KS108" s="2"/>
      <c r="KT108" s="2"/>
      <c r="KU108" s="2"/>
      <c r="KV108" s="2"/>
      <c r="KW108" s="2"/>
      <c r="KX108" s="2"/>
      <c r="KY108" s="2"/>
      <c r="KZ108" s="2"/>
      <c r="LA108" s="2"/>
      <c r="LB108" s="2"/>
      <c r="LC108" s="2"/>
      <c r="LD108" s="2"/>
      <c r="LE108" s="2"/>
      <c r="LF108" s="2"/>
      <c r="LG108" s="2"/>
      <c r="LH108" s="2"/>
      <c r="LI108" s="2"/>
      <c r="LJ108" s="2"/>
      <c r="LK108" s="2"/>
      <c r="LL108" s="2"/>
      <c r="LM108" s="2"/>
      <c r="LN108" s="2"/>
      <c r="LO108" s="2"/>
      <c r="LP108" s="2"/>
      <c r="LQ108" s="2"/>
      <c r="LR108" s="2"/>
      <c r="LS108" s="2"/>
      <c r="LT108" s="2"/>
      <c r="LU108" s="2"/>
      <c r="LV108" s="2"/>
      <c r="LW108" s="2"/>
      <c r="LX108" s="2"/>
      <c r="LY108" s="2"/>
      <c r="LZ108" s="2"/>
      <c r="MA108" s="2"/>
      <c r="MB108" s="2"/>
      <c r="MC108" s="2"/>
      <c r="MD108" s="2"/>
      <c r="ME108" s="2"/>
      <c r="MF108" s="2"/>
      <c r="MG108" s="2"/>
      <c r="MH108" s="2"/>
      <c r="MI108" s="2"/>
      <c r="MJ108" s="2"/>
      <c r="MK108" s="2"/>
      <c r="ML108" s="2"/>
      <c r="MM108" s="2"/>
      <c r="MN108" s="2"/>
      <c r="MO108" s="2"/>
      <c r="MP108" s="2"/>
      <c r="MQ108" s="2"/>
      <c r="MR108" s="2"/>
      <c r="MS108" s="2"/>
      <c r="MT108" s="2"/>
      <c r="MU108" s="2"/>
      <c r="MV108" s="2"/>
      <c r="MW108" s="2"/>
      <c r="MX108" s="2"/>
      <c r="MY108" s="2"/>
      <c r="MZ108" s="2"/>
      <c r="NA108" s="2"/>
      <c r="NB108" s="2"/>
      <c r="NC108" s="2"/>
      <c r="ND108" s="2"/>
      <c r="NE108" s="2"/>
      <c r="NF108" s="2"/>
      <c r="NG108" s="2"/>
      <c r="NH108" s="2"/>
      <c r="NI108" s="2"/>
      <c r="NJ108" s="2"/>
      <c r="NK108" s="2"/>
      <c r="NL108" s="2"/>
      <c r="NM108" s="2"/>
      <c r="NN108" s="2"/>
      <c r="NO108" s="2"/>
      <c r="NP108" s="2"/>
      <c r="NQ108" s="2"/>
      <c r="NR108" s="2"/>
      <c r="NS108" s="2"/>
      <c r="NT108" s="2"/>
      <c r="NU108" s="2"/>
      <c r="NV108" s="2"/>
      <c r="NW108" s="2"/>
      <c r="NX108" s="2"/>
      <c r="NY108" s="2"/>
      <c r="NZ108" s="2"/>
      <c r="OA108" s="2"/>
      <c r="OB108" s="2"/>
      <c r="OC108" s="2"/>
      <c r="OD108" s="2"/>
      <c r="OE108" s="2"/>
      <c r="OF108" s="2"/>
      <c r="OG108" s="2"/>
      <c r="OH108" s="2"/>
      <c r="OI108" s="2"/>
      <c r="OJ108" s="2"/>
      <c r="OK108" s="2"/>
      <c r="OL108" s="2"/>
      <c r="OM108" s="2"/>
      <c r="ON108" s="2"/>
      <c r="OO108" s="2"/>
      <c r="OP108" s="2"/>
      <c r="OQ108" s="2"/>
      <c r="OR108" s="2"/>
      <c r="OS108" s="2"/>
      <c r="OT108" s="2"/>
      <c r="OU108" s="2"/>
      <c r="OV108" s="2"/>
      <c r="OW108" s="2"/>
      <c r="OX108" s="2"/>
      <c r="OY108" s="2"/>
      <c r="OZ108" s="2"/>
      <c r="PA108" s="2"/>
      <c r="PB108" s="2"/>
      <c r="PC108" s="2"/>
      <c r="PD108" s="2"/>
      <c r="PE108" s="2"/>
      <c r="PF108" s="2"/>
      <c r="PG108" s="2"/>
      <c r="PH108" s="2"/>
      <c r="PI108" s="2"/>
      <c r="PJ108" s="2"/>
      <c r="PK108" s="2"/>
      <c r="PL108" s="2"/>
      <c r="PM108" s="2"/>
      <c r="PN108" s="2"/>
      <c r="PO108" s="2"/>
      <c r="PP108" s="2"/>
      <c r="PQ108" s="2"/>
      <c r="PR108" s="2"/>
      <c r="PS108" s="2"/>
      <c r="PT108" s="2"/>
      <c r="PU108" s="2"/>
      <c r="PV108" s="2"/>
      <c r="PW108" s="2"/>
      <c r="PX108" s="2"/>
      <c r="PY108" s="2"/>
      <c r="PZ108" s="2"/>
      <c r="QA108" s="2"/>
      <c r="QB108" s="2"/>
      <c r="QC108" s="2"/>
      <c r="QD108" s="2"/>
      <c r="QE108" s="2"/>
      <c r="QF108" s="2"/>
      <c r="QG108" s="2"/>
      <c r="QH108" s="2"/>
      <c r="QI108" s="2"/>
      <c r="QJ108" s="2"/>
      <c r="QK108" s="2"/>
      <c r="QL108" s="2"/>
      <c r="QM108" s="2"/>
      <c r="QN108" s="2"/>
      <c r="QO108" s="2"/>
      <c r="QP108" s="2"/>
      <c r="QQ108" s="2"/>
      <c r="QR108" s="2"/>
      <c r="QS108" s="2"/>
      <c r="QT108" s="2"/>
      <c r="QU108" s="2"/>
      <c r="QV108" s="2"/>
      <c r="QW108" s="2"/>
      <c r="QX108" s="2"/>
      <c r="QY108" s="2"/>
      <c r="QZ108" s="2"/>
      <c r="RA108" s="2"/>
      <c r="RB108" s="2"/>
      <c r="RC108" s="2"/>
      <c r="RD108" s="2"/>
      <c r="RE108" s="2"/>
      <c r="RF108" s="2"/>
      <c r="RG108" s="2"/>
      <c r="RH108" s="2"/>
      <c r="RI108" s="2"/>
      <c r="RJ108" s="2"/>
      <c r="RK108" s="2"/>
      <c r="RL108" s="2"/>
      <c r="RM108" s="2"/>
      <c r="RN108" s="2"/>
      <c r="RO108" s="2"/>
      <c r="RP108" s="2"/>
      <c r="RQ108" s="2"/>
      <c r="RR108" s="2"/>
      <c r="RS108" s="2"/>
      <c r="RT108" s="2"/>
      <c r="RU108" s="2"/>
      <c r="RV108" s="2"/>
      <c r="RW108" s="2"/>
      <c r="RX108" s="2"/>
      <c r="RY108" s="2"/>
      <c r="RZ108" s="2"/>
      <c r="SA108" s="2"/>
      <c r="SB108" s="2"/>
      <c r="SC108" s="2"/>
      <c r="SD108" s="2"/>
      <c r="SE108" s="2"/>
      <c r="SF108" s="2"/>
      <c r="SG108" s="2"/>
      <c r="SH108" s="2"/>
      <c r="SI108" s="2"/>
      <c r="SJ108" s="2"/>
      <c r="SK108" s="2"/>
      <c r="SL108" s="2"/>
      <c r="SM108" s="2"/>
      <c r="SN108" s="2"/>
      <c r="SO108" s="2"/>
      <c r="SP108" s="2"/>
      <c r="SQ108" s="2"/>
      <c r="SR108" s="2"/>
      <c r="SS108" s="2"/>
      <c r="ST108" s="2"/>
      <c r="SU108" s="2"/>
      <c r="SV108" s="2"/>
      <c r="SW108" s="2"/>
      <c r="SX108" s="2"/>
    </row>
    <row r="109" spans="33:518" x14ac:dyDescent="0.25"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  <c r="FK109" s="2"/>
      <c r="FL109" s="2"/>
      <c r="FM109" s="2"/>
      <c r="FN109" s="2"/>
      <c r="FO109" s="2"/>
      <c r="FP109" s="2"/>
      <c r="FQ109" s="2"/>
      <c r="FR109" s="2"/>
      <c r="FS109" s="2"/>
      <c r="FT109" s="2"/>
      <c r="FU109" s="2"/>
      <c r="FV109" s="2"/>
      <c r="FW109" s="2"/>
      <c r="FX109" s="2"/>
      <c r="FY109" s="2"/>
      <c r="FZ109" s="2"/>
      <c r="GA109" s="2"/>
      <c r="GB109" s="2"/>
      <c r="GC109" s="2"/>
      <c r="GD109" s="2"/>
      <c r="GE109" s="2"/>
      <c r="GF109" s="2"/>
      <c r="GG109" s="2"/>
      <c r="GH109" s="2"/>
      <c r="GI109" s="2"/>
      <c r="GJ109" s="2"/>
      <c r="GK109" s="2"/>
      <c r="GL109" s="2"/>
      <c r="GM109" s="2"/>
      <c r="GN109" s="2"/>
      <c r="GO109" s="2"/>
      <c r="GP109" s="2"/>
      <c r="GQ109" s="2"/>
      <c r="GR109" s="2"/>
      <c r="GS109" s="2"/>
      <c r="GT109" s="2"/>
      <c r="GU109" s="2"/>
      <c r="GV109" s="2"/>
      <c r="GW109" s="2"/>
      <c r="GX109" s="2"/>
      <c r="GY109" s="2"/>
      <c r="GZ109" s="2"/>
      <c r="HA109" s="2"/>
      <c r="HB109" s="2"/>
      <c r="HC109" s="2"/>
      <c r="HD109" s="2"/>
      <c r="HE109" s="2"/>
      <c r="HF109" s="2"/>
      <c r="HG109" s="2"/>
      <c r="HH109" s="2"/>
      <c r="HI109" s="2"/>
      <c r="HJ109" s="2"/>
      <c r="HK109" s="2"/>
      <c r="HL109" s="2"/>
      <c r="HM109" s="2"/>
      <c r="HN109" s="2"/>
      <c r="HO109" s="2"/>
      <c r="HP109" s="2"/>
      <c r="HQ109" s="2"/>
      <c r="HR109" s="2"/>
      <c r="HS109" s="2"/>
      <c r="HT109" s="2"/>
      <c r="HU109" s="2"/>
      <c r="HV109" s="2"/>
      <c r="HW109" s="2"/>
      <c r="HX109" s="2"/>
      <c r="HY109" s="2"/>
      <c r="HZ109" s="2"/>
      <c r="IA109" s="2"/>
      <c r="IB109" s="2"/>
      <c r="IC109" s="2"/>
      <c r="ID109" s="2"/>
      <c r="IE109" s="2"/>
      <c r="IF109" s="2"/>
      <c r="IG109" s="2"/>
      <c r="IH109" s="2"/>
      <c r="II109" s="2"/>
      <c r="IJ109" s="2"/>
      <c r="IK109" s="2"/>
      <c r="IL109" s="2"/>
      <c r="IM109" s="2"/>
      <c r="IN109" s="2"/>
      <c r="IO109" s="2"/>
      <c r="IP109" s="2"/>
      <c r="IQ109" s="2"/>
      <c r="IR109" s="2"/>
      <c r="IS109" s="2"/>
      <c r="IT109" s="2"/>
      <c r="IU109" s="2"/>
      <c r="IV109" s="2"/>
      <c r="IW109" s="2"/>
      <c r="IX109" s="2"/>
      <c r="IY109" s="2"/>
      <c r="IZ109" s="2"/>
      <c r="JA109" s="2"/>
      <c r="JB109" s="2"/>
      <c r="JC109" s="2"/>
      <c r="JD109" s="2"/>
      <c r="JE109" s="2"/>
      <c r="JF109" s="2"/>
      <c r="JG109" s="2"/>
      <c r="JH109" s="2"/>
      <c r="JI109" s="2"/>
      <c r="JJ109" s="2"/>
      <c r="JK109" s="2"/>
      <c r="JL109" s="2"/>
      <c r="JM109" s="2"/>
      <c r="JN109" s="2"/>
      <c r="JO109" s="2"/>
      <c r="JP109" s="2"/>
      <c r="JQ109" s="2"/>
      <c r="JR109" s="2"/>
      <c r="JS109" s="2"/>
      <c r="JT109" s="2"/>
      <c r="JU109" s="2"/>
      <c r="JV109" s="2"/>
      <c r="JW109" s="2"/>
      <c r="JX109" s="2"/>
      <c r="JY109" s="2"/>
      <c r="JZ109" s="2"/>
      <c r="KA109" s="2"/>
      <c r="KB109" s="2"/>
      <c r="KC109" s="2"/>
      <c r="KD109" s="2"/>
      <c r="KE109" s="2"/>
      <c r="KF109" s="2"/>
      <c r="KG109" s="2"/>
      <c r="KH109" s="2"/>
      <c r="KI109" s="2"/>
      <c r="KJ109" s="2"/>
      <c r="KK109" s="2"/>
      <c r="KL109" s="2"/>
      <c r="KM109" s="2"/>
      <c r="KN109" s="2"/>
      <c r="KO109" s="2"/>
      <c r="KP109" s="2"/>
      <c r="KQ109" s="2"/>
      <c r="KR109" s="2"/>
      <c r="KS109" s="2"/>
      <c r="KT109" s="2"/>
      <c r="KU109" s="2"/>
      <c r="KV109" s="2"/>
      <c r="KW109" s="2"/>
      <c r="KX109" s="2"/>
      <c r="KY109" s="2"/>
      <c r="KZ109" s="2"/>
      <c r="LA109" s="2"/>
      <c r="LB109" s="2"/>
      <c r="LC109" s="2"/>
      <c r="LD109" s="2"/>
      <c r="LE109" s="2"/>
      <c r="LF109" s="2"/>
      <c r="LG109" s="2"/>
      <c r="LH109" s="2"/>
      <c r="LI109" s="2"/>
      <c r="LJ109" s="2"/>
      <c r="LK109" s="2"/>
      <c r="LL109" s="2"/>
      <c r="LM109" s="2"/>
      <c r="LN109" s="2"/>
      <c r="LO109" s="2"/>
      <c r="LP109" s="2"/>
      <c r="LQ109" s="2"/>
      <c r="LR109" s="2"/>
      <c r="LS109" s="2"/>
      <c r="LT109" s="2"/>
      <c r="LU109" s="2"/>
      <c r="LV109" s="2"/>
      <c r="LW109" s="2"/>
      <c r="LX109" s="2"/>
      <c r="LY109" s="2"/>
      <c r="LZ109" s="2"/>
      <c r="MA109" s="2"/>
      <c r="MB109" s="2"/>
      <c r="MC109" s="2"/>
      <c r="MD109" s="2"/>
      <c r="ME109" s="2"/>
      <c r="MF109" s="2"/>
      <c r="MG109" s="2"/>
      <c r="MH109" s="2"/>
      <c r="MI109" s="2"/>
      <c r="MJ109" s="2"/>
      <c r="MK109" s="2"/>
      <c r="ML109" s="2"/>
      <c r="MM109" s="2"/>
      <c r="MN109" s="2"/>
      <c r="MO109" s="2"/>
      <c r="MP109" s="2"/>
      <c r="MQ109" s="2"/>
      <c r="MR109" s="2"/>
      <c r="MS109" s="2"/>
      <c r="MT109" s="2"/>
      <c r="MU109" s="2"/>
      <c r="MV109" s="2"/>
      <c r="MW109" s="2"/>
      <c r="MX109" s="2"/>
      <c r="MY109" s="2"/>
      <c r="MZ109" s="2"/>
      <c r="NA109" s="2"/>
      <c r="NB109" s="2"/>
      <c r="NC109" s="2"/>
      <c r="ND109" s="2"/>
      <c r="NE109" s="2"/>
      <c r="NF109" s="2"/>
      <c r="NG109" s="2"/>
      <c r="NH109" s="2"/>
      <c r="NI109" s="2"/>
      <c r="NJ109" s="2"/>
      <c r="NK109" s="2"/>
      <c r="NL109" s="2"/>
      <c r="NM109" s="2"/>
      <c r="NN109" s="2"/>
      <c r="NO109" s="2"/>
      <c r="NP109" s="2"/>
      <c r="NQ109" s="2"/>
      <c r="NR109" s="2"/>
      <c r="NS109" s="2"/>
      <c r="NT109" s="2"/>
      <c r="NU109" s="2"/>
      <c r="NV109" s="2"/>
      <c r="NW109" s="2"/>
      <c r="NX109" s="2"/>
      <c r="NY109" s="2"/>
      <c r="NZ109" s="2"/>
      <c r="OA109" s="2"/>
      <c r="OB109" s="2"/>
      <c r="OC109" s="2"/>
      <c r="OD109" s="2"/>
      <c r="OE109" s="2"/>
      <c r="OF109" s="2"/>
      <c r="OG109" s="2"/>
      <c r="OH109" s="2"/>
      <c r="OI109" s="2"/>
      <c r="OJ109" s="2"/>
      <c r="OK109" s="2"/>
      <c r="OL109" s="2"/>
      <c r="OM109" s="2"/>
      <c r="ON109" s="2"/>
      <c r="OO109" s="2"/>
      <c r="OP109" s="2"/>
      <c r="OQ109" s="2"/>
      <c r="OR109" s="2"/>
      <c r="OS109" s="2"/>
      <c r="OT109" s="2"/>
      <c r="OU109" s="2"/>
      <c r="OV109" s="2"/>
      <c r="OW109" s="2"/>
      <c r="OX109" s="2"/>
      <c r="OY109" s="2"/>
      <c r="OZ109" s="2"/>
      <c r="PA109" s="2"/>
      <c r="PB109" s="2"/>
      <c r="PC109" s="2"/>
      <c r="PD109" s="2"/>
      <c r="PE109" s="2"/>
      <c r="PF109" s="2"/>
      <c r="PG109" s="2"/>
      <c r="PH109" s="2"/>
      <c r="PI109" s="2"/>
      <c r="PJ109" s="2"/>
      <c r="PK109" s="2"/>
      <c r="PL109" s="2"/>
      <c r="PM109" s="2"/>
      <c r="PN109" s="2"/>
      <c r="PO109" s="2"/>
      <c r="PP109" s="2"/>
      <c r="PQ109" s="2"/>
      <c r="PR109" s="2"/>
      <c r="PS109" s="2"/>
      <c r="PT109" s="2"/>
      <c r="PU109" s="2"/>
      <c r="PV109" s="2"/>
      <c r="PW109" s="2"/>
      <c r="PX109" s="2"/>
      <c r="PY109" s="2"/>
      <c r="PZ109" s="2"/>
      <c r="QA109" s="2"/>
      <c r="QB109" s="2"/>
      <c r="QC109" s="2"/>
      <c r="QD109" s="2"/>
      <c r="QE109" s="2"/>
      <c r="QF109" s="2"/>
      <c r="QG109" s="2"/>
      <c r="QH109" s="2"/>
      <c r="QI109" s="2"/>
      <c r="QJ109" s="2"/>
      <c r="QK109" s="2"/>
      <c r="QL109" s="2"/>
      <c r="QM109" s="2"/>
      <c r="QN109" s="2"/>
      <c r="QO109" s="2"/>
      <c r="QP109" s="2"/>
      <c r="QQ109" s="2"/>
      <c r="QR109" s="2"/>
      <c r="QS109" s="2"/>
      <c r="QT109" s="2"/>
      <c r="QU109" s="2"/>
      <c r="QV109" s="2"/>
      <c r="QW109" s="2"/>
      <c r="QX109" s="2"/>
      <c r="QY109" s="2"/>
      <c r="QZ109" s="2"/>
      <c r="RA109" s="2"/>
      <c r="RB109" s="2"/>
      <c r="RC109" s="2"/>
      <c r="RD109" s="2"/>
      <c r="RE109" s="2"/>
      <c r="RF109" s="2"/>
      <c r="RG109" s="2"/>
      <c r="RH109" s="2"/>
      <c r="RI109" s="2"/>
      <c r="RJ109" s="2"/>
      <c r="RK109" s="2"/>
      <c r="RL109" s="2"/>
      <c r="RM109" s="2"/>
      <c r="RN109" s="2"/>
      <c r="RO109" s="2"/>
      <c r="RP109" s="2"/>
      <c r="RQ109" s="2"/>
      <c r="RR109" s="2"/>
      <c r="RS109" s="2"/>
      <c r="RT109" s="2"/>
      <c r="RU109" s="2"/>
      <c r="RV109" s="2"/>
      <c r="RW109" s="2"/>
      <c r="RX109" s="2"/>
      <c r="RY109" s="2"/>
      <c r="RZ109" s="2"/>
      <c r="SA109" s="2"/>
      <c r="SB109" s="2"/>
      <c r="SC109" s="2"/>
      <c r="SD109" s="2"/>
      <c r="SE109" s="2"/>
      <c r="SF109" s="2"/>
      <c r="SG109" s="2"/>
      <c r="SH109" s="2"/>
      <c r="SI109" s="2"/>
      <c r="SJ109" s="2"/>
      <c r="SK109" s="2"/>
      <c r="SL109" s="2"/>
      <c r="SM109" s="2"/>
      <c r="SN109" s="2"/>
      <c r="SO109" s="2"/>
      <c r="SP109" s="2"/>
      <c r="SQ109" s="2"/>
      <c r="SR109" s="2"/>
      <c r="SS109" s="2"/>
      <c r="ST109" s="2"/>
      <c r="SU109" s="2"/>
      <c r="SV109" s="2"/>
      <c r="SW109" s="2"/>
      <c r="SX109" s="2"/>
    </row>
    <row r="110" spans="33:518" x14ac:dyDescent="0.25"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  <c r="FK110" s="2"/>
      <c r="FL110" s="2"/>
      <c r="FM110" s="2"/>
      <c r="FN110" s="2"/>
      <c r="FO110" s="2"/>
      <c r="FP110" s="2"/>
      <c r="FQ110" s="2"/>
      <c r="FR110" s="2"/>
      <c r="FS110" s="2"/>
      <c r="FT110" s="2"/>
      <c r="FU110" s="2"/>
      <c r="FV110" s="2"/>
      <c r="FW110" s="2"/>
      <c r="FX110" s="2"/>
      <c r="FY110" s="2"/>
      <c r="FZ110" s="2"/>
      <c r="GA110" s="2"/>
      <c r="GB110" s="2"/>
      <c r="GC110" s="2"/>
      <c r="GD110" s="2"/>
      <c r="GE110" s="2"/>
      <c r="GF110" s="2"/>
      <c r="GG110" s="2"/>
      <c r="GH110" s="2"/>
      <c r="GI110" s="2"/>
      <c r="GJ110" s="2"/>
      <c r="GK110" s="2"/>
      <c r="GL110" s="2"/>
      <c r="GM110" s="2"/>
      <c r="GN110" s="2"/>
      <c r="GO110" s="2"/>
      <c r="GP110" s="2"/>
      <c r="GQ110" s="2"/>
      <c r="GR110" s="2"/>
      <c r="GS110" s="2"/>
      <c r="GT110" s="2"/>
      <c r="GU110" s="2"/>
      <c r="GV110" s="2"/>
      <c r="GW110" s="2"/>
      <c r="GX110" s="2"/>
      <c r="GY110" s="2"/>
      <c r="GZ110" s="2"/>
      <c r="HA110" s="2"/>
      <c r="HB110" s="2"/>
      <c r="HC110" s="2"/>
      <c r="HD110" s="2"/>
      <c r="HE110" s="2"/>
      <c r="HF110" s="2"/>
      <c r="HG110" s="2"/>
      <c r="HH110" s="2"/>
      <c r="HI110" s="2"/>
      <c r="HJ110" s="2"/>
      <c r="HK110" s="2"/>
      <c r="HL110" s="2"/>
      <c r="HM110" s="2"/>
      <c r="HN110" s="2"/>
      <c r="HO110" s="2"/>
      <c r="HP110" s="2"/>
      <c r="HQ110" s="2"/>
      <c r="HR110" s="2"/>
      <c r="HS110" s="2"/>
      <c r="HT110" s="2"/>
      <c r="HU110" s="2"/>
      <c r="HV110" s="2"/>
      <c r="HW110" s="2"/>
      <c r="HX110" s="2"/>
      <c r="HY110" s="2"/>
      <c r="HZ110" s="2"/>
      <c r="IA110" s="2"/>
      <c r="IB110" s="2"/>
      <c r="IC110" s="2"/>
      <c r="ID110" s="2"/>
      <c r="IE110" s="2"/>
      <c r="IF110" s="2"/>
      <c r="IG110" s="2"/>
      <c r="IH110" s="2"/>
      <c r="II110" s="2"/>
      <c r="IJ110" s="2"/>
      <c r="IK110" s="2"/>
      <c r="IL110" s="2"/>
      <c r="IM110" s="2"/>
      <c r="IN110" s="2"/>
      <c r="IO110" s="2"/>
      <c r="IP110" s="2"/>
      <c r="IQ110" s="2"/>
      <c r="IR110" s="2"/>
      <c r="IS110" s="2"/>
      <c r="IT110" s="2"/>
      <c r="IU110" s="2"/>
      <c r="IV110" s="2"/>
      <c r="IW110" s="2"/>
      <c r="IX110" s="2"/>
      <c r="IY110" s="2"/>
      <c r="IZ110" s="2"/>
      <c r="JA110" s="2"/>
      <c r="JB110" s="2"/>
      <c r="JC110" s="2"/>
      <c r="JD110" s="2"/>
      <c r="JE110" s="2"/>
      <c r="JF110" s="2"/>
      <c r="JG110" s="2"/>
      <c r="JH110" s="2"/>
      <c r="JI110" s="2"/>
      <c r="JJ110" s="2"/>
      <c r="JK110" s="2"/>
      <c r="JL110" s="2"/>
      <c r="JM110" s="2"/>
      <c r="JN110" s="2"/>
      <c r="JO110" s="2"/>
      <c r="JP110" s="2"/>
      <c r="JQ110" s="2"/>
      <c r="JR110" s="2"/>
      <c r="JS110" s="2"/>
      <c r="JT110" s="2"/>
      <c r="JU110" s="2"/>
      <c r="JV110" s="2"/>
      <c r="JW110" s="2"/>
      <c r="JX110" s="2"/>
      <c r="JY110" s="2"/>
      <c r="JZ110" s="2"/>
      <c r="KA110" s="2"/>
      <c r="KB110" s="2"/>
      <c r="KC110" s="2"/>
      <c r="KD110" s="2"/>
      <c r="KE110" s="2"/>
      <c r="KF110" s="2"/>
      <c r="KG110" s="2"/>
      <c r="KH110" s="2"/>
      <c r="KI110" s="2"/>
      <c r="KJ110" s="2"/>
      <c r="KK110" s="2"/>
      <c r="KL110" s="2"/>
      <c r="KM110" s="2"/>
      <c r="KN110" s="2"/>
      <c r="KO110" s="2"/>
      <c r="KP110" s="2"/>
      <c r="KQ110" s="2"/>
      <c r="KR110" s="2"/>
      <c r="KS110" s="2"/>
      <c r="KT110" s="2"/>
      <c r="KU110" s="2"/>
      <c r="KV110" s="2"/>
      <c r="KW110" s="2"/>
      <c r="KX110" s="2"/>
      <c r="KY110" s="2"/>
      <c r="KZ110" s="2"/>
      <c r="LA110" s="2"/>
      <c r="LB110" s="2"/>
      <c r="LC110" s="2"/>
      <c r="LD110" s="2"/>
      <c r="LE110" s="2"/>
      <c r="LF110" s="2"/>
      <c r="LG110" s="2"/>
      <c r="LH110" s="2"/>
      <c r="LI110" s="2"/>
      <c r="LJ110" s="2"/>
      <c r="LK110" s="2"/>
      <c r="LL110" s="2"/>
      <c r="LM110" s="2"/>
      <c r="LN110" s="2"/>
      <c r="LO110" s="2"/>
      <c r="LP110" s="2"/>
      <c r="LQ110" s="2"/>
      <c r="LR110" s="2"/>
      <c r="LS110" s="2"/>
      <c r="LT110" s="2"/>
      <c r="LU110" s="2"/>
      <c r="LV110" s="2"/>
      <c r="LW110" s="2"/>
      <c r="LX110" s="2"/>
      <c r="LY110" s="2"/>
      <c r="LZ110" s="2"/>
      <c r="MA110" s="2"/>
      <c r="MB110" s="2"/>
      <c r="MC110" s="2"/>
      <c r="MD110" s="2"/>
      <c r="ME110" s="2"/>
      <c r="MF110" s="2"/>
      <c r="MG110" s="2"/>
      <c r="MH110" s="2"/>
      <c r="MI110" s="2"/>
      <c r="MJ110" s="2"/>
      <c r="MK110" s="2"/>
      <c r="ML110" s="2"/>
      <c r="MM110" s="2"/>
      <c r="MN110" s="2"/>
      <c r="MO110" s="2"/>
      <c r="MP110" s="2"/>
      <c r="MQ110" s="2"/>
      <c r="MR110" s="2"/>
      <c r="MS110" s="2"/>
      <c r="MT110" s="2"/>
      <c r="MU110" s="2"/>
      <c r="MV110" s="2"/>
      <c r="MW110" s="2"/>
      <c r="MX110" s="2"/>
      <c r="MY110" s="2"/>
      <c r="MZ110" s="2"/>
      <c r="NA110" s="2"/>
      <c r="NB110" s="2"/>
      <c r="NC110" s="2"/>
      <c r="ND110" s="2"/>
      <c r="NE110" s="2"/>
      <c r="NF110" s="2"/>
      <c r="NG110" s="2"/>
      <c r="NH110" s="2"/>
      <c r="NI110" s="2"/>
      <c r="NJ110" s="2"/>
      <c r="NK110" s="2"/>
      <c r="NL110" s="2"/>
      <c r="NM110" s="2"/>
      <c r="NN110" s="2"/>
      <c r="NO110" s="2"/>
      <c r="NP110" s="2"/>
      <c r="NQ110" s="2"/>
      <c r="NR110" s="2"/>
      <c r="NS110" s="2"/>
      <c r="NT110" s="2"/>
      <c r="NU110" s="2"/>
      <c r="NV110" s="2"/>
      <c r="NW110" s="2"/>
      <c r="NX110" s="2"/>
      <c r="NY110" s="2"/>
      <c r="NZ110" s="2"/>
      <c r="OA110" s="2"/>
      <c r="OB110" s="2"/>
      <c r="OC110" s="2"/>
      <c r="OD110" s="2"/>
      <c r="OE110" s="2"/>
      <c r="OF110" s="2"/>
      <c r="OG110" s="2"/>
      <c r="OH110" s="2"/>
      <c r="OI110" s="2"/>
      <c r="OJ110" s="2"/>
      <c r="OK110" s="2"/>
      <c r="OL110" s="2"/>
      <c r="OM110" s="2"/>
      <c r="ON110" s="2"/>
      <c r="OO110" s="2"/>
      <c r="OP110" s="2"/>
      <c r="OQ110" s="2"/>
      <c r="OR110" s="2"/>
      <c r="OS110" s="2"/>
      <c r="OT110" s="2"/>
      <c r="OU110" s="2"/>
      <c r="OV110" s="2"/>
      <c r="OW110" s="2"/>
      <c r="OX110" s="2"/>
      <c r="OY110" s="2"/>
      <c r="OZ110" s="2"/>
      <c r="PA110" s="2"/>
      <c r="PB110" s="2"/>
      <c r="PC110" s="2"/>
      <c r="PD110" s="2"/>
      <c r="PE110" s="2"/>
      <c r="PF110" s="2"/>
      <c r="PG110" s="2"/>
      <c r="PH110" s="2"/>
      <c r="PI110" s="2"/>
      <c r="PJ110" s="2"/>
      <c r="PK110" s="2"/>
      <c r="PL110" s="2"/>
      <c r="PM110" s="2"/>
      <c r="PN110" s="2"/>
      <c r="PO110" s="2"/>
      <c r="PP110" s="2"/>
      <c r="PQ110" s="2"/>
      <c r="PR110" s="2"/>
      <c r="PS110" s="2"/>
      <c r="PT110" s="2"/>
      <c r="PU110" s="2"/>
      <c r="PV110" s="2"/>
      <c r="PW110" s="2"/>
      <c r="PX110" s="2"/>
      <c r="PY110" s="2"/>
      <c r="PZ110" s="2"/>
      <c r="QA110" s="2"/>
      <c r="QB110" s="2"/>
      <c r="QC110" s="2"/>
      <c r="QD110" s="2"/>
      <c r="QE110" s="2"/>
      <c r="QF110" s="2"/>
      <c r="QG110" s="2"/>
      <c r="QH110" s="2"/>
      <c r="QI110" s="2"/>
      <c r="QJ110" s="2"/>
      <c r="QK110" s="2"/>
      <c r="QL110" s="2"/>
      <c r="QM110" s="2"/>
      <c r="QN110" s="2"/>
      <c r="QO110" s="2"/>
      <c r="QP110" s="2"/>
      <c r="QQ110" s="2"/>
      <c r="QR110" s="2"/>
      <c r="QS110" s="2"/>
      <c r="QT110" s="2"/>
      <c r="QU110" s="2"/>
      <c r="QV110" s="2"/>
      <c r="QW110" s="2"/>
      <c r="QX110" s="2"/>
      <c r="QY110" s="2"/>
      <c r="QZ110" s="2"/>
      <c r="RA110" s="2"/>
      <c r="RB110" s="2"/>
      <c r="RC110" s="2"/>
      <c r="RD110" s="2"/>
      <c r="RE110" s="2"/>
      <c r="RF110" s="2"/>
      <c r="RG110" s="2"/>
      <c r="RH110" s="2"/>
      <c r="RI110" s="2"/>
      <c r="RJ110" s="2"/>
      <c r="RK110" s="2"/>
      <c r="RL110" s="2"/>
      <c r="RM110" s="2"/>
      <c r="RN110" s="2"/>
      <c r="RO110" s="2"/>
      <c r="RP110" s="2"/>
      <c r="RQ110" s="2"/>
      <c r="RR110" s="2"/>
      <c r="RS110" s="2"/>
      <c r="RT110" s="2"/>
      <c r="RU110" s="2"/>
      <c r="RV110" s="2"/>
      <c r="RW110" s="2"/>
      <c r="RX110" s="2"/>
      <c r="RY110" s="2"/>
      <c r="RZ110" s="2"/>
      <c r="SA110" s="2"/>
      <c r="SB110" s="2"/>
      <c r="SC110" s="2"/>
      <c r="SD110" s="2"/>
      <c r="SE110" s="2"/>
      <c r="SF110" s="2"/>
      <c r="SG110" s="2"/>
      <c r="SH110" s="2"/>
      <c r="SI110" s="2"/>
      <c r="SJ110" s="2"/>
      <c r="SK110" s="2"/>
      <c r="SL110" s="2"/>
      <c r="SM110" s="2"/>
      <c r="SN110" s="2"/>
      <c r="SO110" s="2"/>
      <c r="SP110" s="2"/>
      <c r="SQ110" s="2"/>
      <c r="SR110" s="2"/>
      <c r="SS110" s="2"/>
      <c r="ST110" s="2"/>
      <c r="SU110" s="2"/>
      <c r="SV110" s="2"/>
      <c r="SW110" s="2"/>
      <c r="SX110" s="2"/>
    </row>
    <row r="111" spans="33:518" x14ac:dyDescent="0.25"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  <c r="FK111" s="2"/>
      <c r="FL111" s="2"/>
      <c r="FM111" s="2"/>
      <c r="FN111" s="2"/>
      <c r="FO111" s="2"/>
      <c r="FP111" s="2"/>
      <c r="FQ111" s="2"/>
      <c r="FR111" s="2"/>
      <c r="FS111" s="2"/>
      <c r="FT111" s="2"/>
      <c r="FU111" s="2"/>
      <c r="FV111" s="2"/>
      <c r="FW111" s="2"/>
      <c r="FX111" s="2"/>
      <c r="FY111" s="2"/>
      <c r="FZ111" s="2"/>
      <c r="GA111" s="2"/>
      <c r="GB111" s="2"/>
      <c r="GC111" s="2"/>
      <c r="GD111" s="2"/>
      <c r="GE111" s="2"/>
      <c r="GF111" s="2"/>
      <c r="GG111" s="2"/>
      <c r="GH111" s="2"/>
      <c r="GI111" s="2"/>
      <c r="GJ111" s="2"/>
      <c r="GK111" s="2"/>
      <c r="GL111" s="2"/>
      <c r="GM111" s="2"/>
      <c r="GN111" s="2"/>
      <c r="GO111" s="2"/>
      <c r="GP111" s="2"/>
      <c r="GQ111" s="2"/>
      <c r="GR111" s="2"/>
      <c r="GS111" s="2"/>
      <c r="GT111" s="2"/>
      <c r="GU111" s="2"/>
      <c r="GV111" s="2"/>
      <c r="GW111" s="2"/>
      <c r="GX111" s="2"/>
      <c r="GY111" s="2"/>
      <c r="GZ111" s="2"/>
      <c r="HA111" s="2"/>
      <c r="HB111" s="2"/>
      <c r="HC111" s="2"/>
      <c r="HD111" s="2"/>
      <c r="HE111" s="2"/>
      <c r="HF111" s="2"/>
      <c r="HG111" s="2"/>
      <c r="HH111" s="2"/>
      <c r="HI111" s="2"/>
      <c r="HJ111" s="2"/>
      <c r="HK111" s="2"/>
      <c r="HL111" s="2"/>
      <c r="HM111" s="2"/>
      <c r="HN111" s="2"/>
      <c r="HO111" s="2"/>
      <c r="HP111" s="2"/>
      <c r="HQ111" s="2"/>
      <c r="HR111" s="2"/>
      <c r="HS111" s="2"/>
      <c r="HT111" s="2"/>
      <c r="HU111" s="2"/>
      <c r="HV111" s="2"/>
      <c r="HW111" s="2"/>
      <c r="HX111" s="2"/>
      <c r="HY111" s="2"/>
      <c r="HZ111" s="2"/>
      <c r="IA111" s="2"/>
      <c r="IB111" s="2"/>
      <c r="IC111" s="2"/>
      <c r="ID111" s="2"/>
      <c r="IE111" s="2"/>
      <c r="IF111" s="2"/>
      <c r="IG111" s="2"/>
      <c r="IH111" s="2"/>
      <c r="II111" s="2"/>
      <c r="IJ111" s="2"/>
      <c r="IK111" s="2"/>
      <c r="IL111" s="2"/>
      <c r="IM111" s="2"/>
      <c r="IN111" s="2"/>
      <c r="IO111" s="2"/>
      <c r="IP111" s="2"/>
      <c r="IQ111" s="2"/>
      <c r="IR111" s="2"/>
      <c r="IS111" s="2"/>
      <c r="IT111" s="2"/>
      <c r="IU111" s="2"/>
      <c r="IV111" s="2"/>
      <c r="IW111" s="2"/>
      <c r="IX111" s="2"/>
      <c r="IY111" s="2"/>
      <c r="IZ111" s="2"/>
      <c r="JA111" s="2"/>
      <c r="JB111" s="2"/>
      <c r="JC111" s="2"/>
      <c r="JD111" s="2"/>
      <c r="JE111" s="2"/>
      <c r="JF111" s="2"/>
      <c r="JG111" s="2"/>
      <c r="JH111" s="2"/>
      <c r="JI111" s="2"/>
      <c r="JJ111" s="2"/>
      <c r="JK111" s="2"/>
      <c r="JL111" s="2"/>
      <c r="JM111" s="2"/>
      <c r="JN111" s="2"/>
      <c r="JO111" s="2"/>
      <c r="JP111" s="2"/>
      <c r="JQ111" s="2"/>
      <c r="JR111" s="2"/>
      <c r="JS111" s="2"/>
      <c r="JT111" s="2"/>
      <c r="JU111" s="2"/>
      <c r="JV111" s="2"/>
      <c r="JW111" s="2"/>
      <c r="JX111" s="2"/>
      <c r="JY111" s="2"/>
      <c r="JZ111" s="2"/>
      <c r="KA111" s="2"/>
      <c r="KB111" s="2"/>
      <c r="KC111" s="2"/>
      <c r="KD111" s="2"/>
      <c r="KE111" s="2"/>
      <c r="KF111" s="2"/>
      <c r="KG111" s="2"/>
      <c r="KH111" s="2"/>
      <c r="KI111" s="2"/>
      <c r="KJ111" s="2"/>
      <c r="KK111" s="2"/>
      <c r="KL111" s="2"/>
      <c r="KM111" s="2"/>
      <c r="KN111" s="2"/>
      <c r="KO111" s="2"/>
      <c r="KP111" s="2"/>
      <c r="KQ111" s="2"/>
      <c r="KR111" s="2"/>
      <c r="KS111" s="2"/>
      <c r="KT111" s="2"/>
      <c r="KU111" s="2"/>
      <c r="KV111" s="2"/>
      <c r="KW111" s="2"/>
      <c r="KX111" s="2"/>
      <c r="KY111" s="2"/>
      <c r="KZ111" s="2"/>
      <c r="LA111" s="2"/>
      <c r="LB111" s="2"/>
      <c r="LC111" s="2"/>
      <c r="LD111" s="2"/>
      <c r="LE111" s="2"/>
      <c r="LF111" s="2"/>
      <c r="LG111" s="2"/>
      <c r="LH111" s="2"/>
      <c r="LI111" s="2"/>
      <c r="LJ111" s="2"/>
      <c r="LK111" s="2"/>
      <c r="LL111" s="2"/>
      <c r="LM111" s="2"/>
      <c r="LN111" s="2"/>
      <c r="LO111" s="2"/>
      <c r="LP111" s="2"/>
      <c r="LQ111" s="2"/>
      <c r="LR111" s="2"/>
      <c r="LS111" s="2"/>
      <c r="LT111" s="2"/>
      <c r="LU111" s="2"/>
      <c r="LV111" s="2"/>
      <c r="LW111" s="2"/>
      <c r="LX111" s="2"/>
      <c r="LY111" s="2"/>
      <c r="LZ111" s="2"/>
      <c r="MA111" s="2"/>
      <c r="MB111" s="2"/>
      <c r="MC111" s="2"/>
      <c r="MD111" s="2"/>
      <c r="ME111" s="2"/>
      <c r="MF111" s="2"/>
      <c r="MG111" s="2"/>
      <c r="MH111" s="2"/>
      <c r="MI111" s="2"/>
      <c r="MJ111" s="2"/>
      <c r="MK111" s="2"/>
      <c r="ML111" s="2"/>
      <c r="MM111" s="2"/>
      <c r="MN111" s="2"/>
      <c r="MO111" s="2"/>
      <c r="MP111" s="2"/>
      <c r="MQ111" s="2"/>
      <c r="MR111" s="2"/>
      <c r="MS111" s="2"/>
      <c r="MT111" s="2"/>
      <c r="MU111" s="2"/>
      <c r="MV111" s="2"/>
      <c r="MW111" s="2"/>
      <c r="MX111" s="2"/>
      <c r="MY111" s="2"/>
      <c r="MZ111" s="2"/>
      <c r="NA111" s="2"/>
      <c r="NB111" s="2"/>
      <c r="NC111" s="2"/>
      <c r="ND111" s="2"/>
      <c r="NE111" s="2"/>
      <c r="NF111" s="2"/>
      <c r="NG111" s="2"/>
      <c r="NH111" s="2"/>
      <c r="NI111" s="2"/>
      <c r="NJ111" s="2"/>
      <c r="NK111" s="2"/>
      <c r="NL111" s="2"/>
      <c r="NM111" s="2"/>
      <c r="NN111" s="2"/>
      <c r="NO111" s="2"/>
      <c r="NP111" s="2"/>
      <c r="NQ111" s="2"/>
      <c r="NR111" s="2"/>
      <c r="NS111" s="2"/>
      <c r="NT111" s="2"/>
      <c r="NU111" s="2"/>
      <c r="NV111" s="2"/>
      <c r="NW111" s="2"/>
      <c r="NX111" s="2"/>
      <c r="NY111" s="2"/>
      <c r="NZ111" s="2"/>
      <c r="OA111" s="2"/>
      <c r="OB111" s="2"/>
      <c r="OC111" s="2"/>
      <c r="OD111" s="2"/>
      <c r="OE111" s="2"/>
      <c r="OF111" s="2"/>
      <c r="OG111" s="2"/>
      <c r="OH111" s="2"/>
      <c r="OI111" s="2"/>
      <c r="OJ111" s="2"/>
      <c r="OK111" s="2"/>
      <c r="OL111" s="2"/>
      <c r="OM111" s="2"/>
      <c r="ON111" s="2"/>
      <c r="OO111" s="2"/>
      <c r="OP111" s="2"/>
      <c r="OQ111" s="2"/>
      <c r="OR111" s="2"/>
      <c r="OS111" s="2"/>
      <c r="OT111" s="2"/>
      <c r="OU111" s="2"/>
      <c r="OV111" s="2"/>
      <c r="OW111" s="2"/>
      <c r="OX111" s="2"/>
      <c r="OY111" s="2"/>
      <c r="OZ111" s="2"/>
      <c r="PA111" s="2"/>
      <c r="PB111" s="2"/>
      <c r="PC111" s="2"/>
      <c r="PD111" s="2"/>
      <c r="PE111" s="2"/>
      <c r="PF111" s="2"/>
      <c r="PG111" s="2"/>
      <c r="PH111" s="2"/>
      <c r="PI111" s="2"/>
      <c r="PJ111" s="2"/>
      <c r="PK111" s="2"/>
      <c r="PL111" s="2"/>
      <c r="PM111" s="2"/>
      <c r="PN111" s="2"/>
      <c r="PO111" s="2"/>
      <c r="PP111" s="2"/>
      <c r="PQ111" s="2"/>
      <c r="PR111" s="2"/>
      <c r="PS111" s="2"/>
      <c r="PT111" s="2"/>
      <c r="PU111" s="2"/>
      <c r="PV111" s="2"/>
      <c r="PW111" s="2"/>
      <c r="PX111" s="2"/>
      <c r="PY111" s="2"/>
      <c r="PZ111" s="2"/>
      <c r="QA111" s="2"/>
      <c r="QB111" s="2"/>
      <c r="QC111" s="2"/>
      <c r="QD111" s="2"/>
      <c r="QE111" s="2"/>
      <c r="QF111" s="2"/>
      <c r="QG111" s="2"/>
      <c r="QH111" s="2"/>
      <c r="QI111" s="2"/>
      <c r="QJ111" s="2"/>
      <c r="QK111" s="2"/>
      <c r="QL111" s="2"/>
      <c r="QM111" s="2"/>
      <c r="QN111" s="2"/>
      <c r="QO111" s="2"/>
      <c r="QP111" s="2"/>
      <c r="QQ111" s="2"/>
      <c r="QR111" s="2"/>
      <c r="QS111" s="2"/>
      <c r="QT111" s="2"/>
      <c r="QU111" s="2"/>
      <c r="QV111" s="2"/>
      <c r="QW111" s="2"/>
      <c r="QX111" s="2"/>
      <c r="QY111" s="2"/>
      <c r="QZ111" s="2"/>
      <c r="RA111" s="2"/>
      <c r="RB111" s="2"/>
      <c r="RC111" s="2"/>
      <c r="RD111" s="2"/>
      <c r="RE111" s="2"/>
      <c r="RF111" s="2"/>
      <c r="RG111" s="2"/>
      <c r="RH111" s="2"/>
      <c r="RI111" s="2"/>
      <c r="RJ111" s="2"/>
      <c r="RK111" s="2"/>
      <c r="RL111" s="2"/>
      <c r="RM111" s="2"/>
      <c r="RN111" s="2"/>
      <c r="RO111" s="2"/>
      <c r="RP111" s="2"/>
      <c r="RQ111" s="2"/>
      <c r="RR111" s="2"/>
      <c r="RS111" s="2"/>
      <c r="RT111" s="2"/>
      <c r="RU111" s="2"/>
      <c r="RV111" s="2"/>
      <c r="RW111" s="2"/>
      <c r="RX111" s="2"/>
      <c r="RY111" s="2"/>
      <c r="RZ111" s="2"/>
      <c r="SA111" s="2"/>
      <c r="SB111" s="2"/>
      <c r="SC111" s="2"/>
      <c r="SD111" s="2"/>
      <c r="SE111" s="2"/>
      <c r="SF111" s="2"/>
      <c r="SG111" s="2"/>
      <c r="SH111" s="2"/>
      <c r="SI111" s="2"/>
      <c r="SJ111" s="2"/>
      <c r="SK111" s="2"/>
      <c r="SL111" s="2"/>
      <c r="SM111" s="2"/>
      <c r="SN111" s="2"/>
      <c r="SO111" s="2"/>
      <c r="SP111" s="2"/>
      <c r="SQ111" s="2"/>
      <c r="SR111" s="2"/>
      <c r="SS111" s="2"/>
      <c r="ST111" s="2"/>
      <c r="SU111" s="2"/>
      <c r="SV111" s="2"/>
      <c r="SW111" s="2"/>
      <c r="SX111" s="2"/>
    </row>
    <row r="112" spans="33:518" x14ac:dyDescent="0.25"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  <c r="FK112" s="2"/>
      <c r="FL112" s="2"/>
      <c r="FM112" s="2"/>
      <c r="FN112" s="2"/>
      <c r="FO112" s="2"/>
      <c r="FP112" s="2"/>
      <c r="FQ112" s="2"/>
      <c r="FR112" s="2"/>
      <c r="FS112" s="2"/>
      <c r="FT112" s="2"/>
      <c r="FU112" s="2"/>
      <c r="FV112" s="2"/>
      <c r="FW112" s="2"/>
      <c r="FX112" s="2"/>
      <c r="FY112" s="2"/>
      <c r="FZ112" s="2"/>
      <c r="GA112" s="2"/>
      <c r="GB112" s="2"/>
      <c r="GC112" s="2"/>
      <c r="GD112" s="2"/>
      <c r="GE112" s="2"/>
      <c r="GF112" s="2"/>
      <c r="GG112" s="2"/>
      <c r="GH112" s="2"/>
      <c r="GI112" s="2"/>
      <c r="GJ112" s="2"/>
      <c r="GK112" s="2"/>
      <c r="GL112" s="2"/>
      <c r="GM112" s="2"/>
      <c r="GN112" s="2"/>
      <c r="GO112" s="2"/>
      <c r="GP112" s="2"/>
      <c r="GQ112" s="2"/>
      <c r="GR112" s="2"/>
      <c r="GS112" s="2"/>
      <c r="GT112" s="2"/>
      <c r="GU112" s="2"/>
      <c r="GV112" s="2"/>
      <c r="GW112" s="2"/>
      <c r="GX112" s="2"/>
      <c r="GY112" s="2"/>
      <c r="GZ112" s="2"/>
      <c r="HA112" s="2"/>
      <c r="HB112" s="2"/>
      <c r="HC112" s="2"/>
      <c r="HD112" s="2"/>
      <c r="HE112" s="2"/>
      <c r="HF112" s="2"/>
      <c r="HG112" s="2"/>
      <c r="HH112" s="2"/>
      <c r="HI112" s="2"/>
      <c r="HJ112" s="2"/>
      <c r="HK112" s="2"/>
      <c r="HL112" s="2"/>
      <c r="HM112" s="2"/>
      <c r="HN112" s="2"/>
      <c r="HO112" s="2"/>
      <c r="HP112" s="2"/>
      <c r="HQ112" s="2"/>
      <c r="HR112" s="2"/>
      <c r="HS112" s="2"/>
      <c r="HT112" s="2"/>
      <c r="HU112" s="2"/>
      <c r="HV112" s="2"/>
      <c r="HW112" s="2"/>
      <c r="HX112" s="2"/>
      <c r="HY112" s="2"/>
      <c r="HZ112" s="2"/>
      <c r="IA112" s="2"/>
      <c r="IB112" s="2"/>
      <c r="IC112" s="2"/>
      <c r="ID112" s="2"/>
      <c r="IE112" s="2"/>
      <c r="IF112" s="2"/>
      <c r="IG112" s="2"/>
      <c r="IH112" s="2"/>
      <c r="II112" s="2"/>
      <c r="IJ112" s="2"/>
      <c r="IK112" s="2"/>
      <c r="IL112" s="2"/>
      <c r="IM112" s="2"/>
      <c r="IN112" s="2"/>
      <c r="IO112" s="2"/>
      <c r="IP112" s="2"/>
      <c r="IQ112" s="2"/>
      <c r="IR112" s="2"/>
      <c r="IS112" s="2"/>
      <c r="IT112" s="2"/>
      <c r="IU112" s="2"/>
      <c r="IV112" s="2"/>
      <c r="IW112" s="2"/>
      <c r="IX112" s="2"/>
      <c r="IY112" s="2"/>
      <c r="IZ112" s="2"/>
      <c r="JA112" s="2"/>
      <c r="JB112" s="2"/>
      <c r="JC112" s="2"/>
      <c r="JD112" s="2"/>
      <c r="JE112" s="2"/>
      <c r="JF112" s="2"/>
      <c r="JG112" s="2"/>
      <c r="JH112" s="2"/>
      <c r="JI112" s="2"/>
      <c r="JJ112" s="2"/>
      <c r="JK112" s="2"/>
      <c r="JL112" s="2"/>
      <c r="JM112" s="2"/>
      <c r="JN112" s="2"/>
      <c r="JO112" s="2"/>
      <c r="JP112" s="2"/>
      <c r="JQ112" s="2"/>
      <c r="JR112" s="2"/>
      <c r="JS112" s="2"/>
      <c r="JT112" s="2"/>
      <c r="JU112" s="2"/>
      <c r="JV112" s="2"/>
      <c r="JW112" s="2"/>
      <c r="JX112" s="2"/>
      <c r="JY112" s="2"/>
      <c r="JZ112" s="2"/>
      <c r="KA112" s="2"/>
      <c r="KB112" s="2"/>
      <c r="KC112" s="2"/>
      <c r="KD112" s="2"/>
      <c r="KE112" s="2"/>
      <c r="KF112" s="2"/>
      <c r="KG112" s="2"/>
      <c r="KH112" s="2"/>
      <c r="KI112" s="2"/>
      <c r="KJ112" s="2"/>
      <c r="KK112" s="2"/>
      <c r="KL112" s="2"/>
      <c r="KM112" s="2"/>
      <c r="KN112" s="2"/>
      <c r="KO112" s="2"/>
      <c r="KP112" s="2"/>
      <c r="KQ112" s="2"/>
      <c r="KR112" s="2"/>
      <c r="KS112" s="2"/>
      <c r="KT112" s="2"/>
      <c r="KU112" s="2"/>
      <c r="KV112" s="2"/>
      <c r="KW112" s="2"/>
      <c r="KX112" s="2"/>
      <c r="KY112" s="2"/>
      <c r="KZ112" s="2"/>
      <c r="LA112" s="2"/>
      <c r="LB112" s="2"/>
      <c r="LC112" s="2"/>
      <c r="LD112" s="2"/>
      <c r="LE112" s="2"/>
      <c r="LF112" s="2"/>
      <c r="LG112" s="2"/>
      <c r="LH112" s="2"/>
      <c r="LI112" s="2"/>
      <c r="LJ112" s="2"/>
      <c r="LK112" s="2"/>
      <c r="LL112" s="2"/>
      <c r="LM112" s="2"/>
      <c r="LN112" s="2"/>
      <c r="LO112" s="2"/>
      <c r="LP112" s="2"/>
      <c r="LQ112" s="2"/>
      <c r="LR112" s="2"/>
      <c r="LS112" s="2"/>
      <c r="LT112" s="2"/>
      <c r="LU112" s="2"/>
      <c r="LV112" s="2"/>
      <c r="LW112" s="2"/>
      <c r="LX112" s="2"/>
      <c r="LY112" s="2"/>
      <c r="LZ112" s="2"/>
      <c r="MA112" s="2"/>
      <c r="MB112" s="2"/>
      <c r="MC112" s="2"/>
      <c r="MD112" s="2"/>
      <c r="ME112" s="2"/>
      <c r="MF112" s="2"/>
      <c r="MG112" s="2"/>
      <c r="MH112" s="2"/>
      <c r="MI112" s="2"/>
      <c r="MJ112" s="2"/>
      <c r="MK112" s="2"/>
      <c r="ML112" s="2"/>
      <c r="MM112" s="2"/>
      <c r="MN112" s="2"/>
      <c r="MO112" s="2"/>
      <c r="MP112" s="2"/>
      <c r="MQ112" s="2"/>
      <c r="MR112" s="2"/>
      <c r="MS112" s="2"/>
      <c r="MT112" s="2"/>
      <c r="MU112" s="2"/>
      <c r="MV112" s="2"/>
      <c r="MW112" s="2"/>
      <c r="MX112" s="2"/>
      <c r="MY112" s="2"/>
      <c r="MZ112" s="2"/>
      <c r="NA112" s="2"/>
      <c r="NB112" s="2"/>
      <c r="NC112" s="2"/>
      <c r="ND112" s="2"/>
      <c r="NE112" s="2"/>
      <c r="NF112" s="2"/>
      <c r="NG112" s="2"/>
      <c r="NH112" s="2"/>
      <c r="NI112" s="2"/>
      <c r="NJ112" s="2"/>
      <c r="NK112" s="2"/>
      <c r="NL112" s="2"/>
      <c r="NM112" s="2"/>
      <c r="NN112" s="2"/>
      <c r="NO112" s="2"/>
      <c r="NP112" s="2"/>
      <c r="NQ112" s="2"/>
      <c r="NR112" s="2"/>
      <c r="NS112" s="2"/>
      <c r="NT112" s="2"/>
      <c r="NU112" s="2"/>
      <c r="NV112" s="2"/>
      <c r="NW112" s="2"/>
      <c r="NX112" s="2"/>
      <c r="NY112" s="2"/>
      <c r="NZ112" s="2"/>
      <c r="OA112" s="2"/>
      <c r="OB112" s="2"/>
      <c r="OC112" s="2"/>
      <c r="OD112" s="2"/>
      <c r="OE112" s="2"/>
      <c r="OF112" s="2"/>
      <c r="OG112" s="2"/>
      <c r="OH112" s="2"/>
      <c r="OI112" s="2"/>
      <c r="OJ112" s="2"/>
      <c r="OK112" s="2"/>
      <c r="OL112" s="2"/>
      <c r="OM112" s="2"/>
      <c r="ON112" s="2"/>
      <c r="OO112" s="2"/>
      <c r="OP112" s="2"/>
      <c r="OQ112" s="2"/>
      <c r="OR112" s="2"/>
      <c r="OS112" s="2"/>
      <c r="OT112" s="2"/>
      <c r="OU112" s="2"/>
      <c r="OV112" s="2"/>
      <c r="OW112" s="2"/>
      <c r="OX112" s="2"/>
      <c r="OY112" s="2"/>
      <c r="OZ112" s="2"/>
      <c r="PA112" s="2"/>
      <c r="PB112" s="2"/>
      <c r="PC112" s="2"/>
      <c r="PD112" s="2"/>
      <c r="PE112" s="2"/>
      <c r="PF112" s="2"/>
      <c r="PG112" s="2"/>
      <c r="PH112" s="2"/>
      <c r="PI112" s="2"/>
      <c r="PJ112" s="2"/>
      <c r="PK112" s="2"/>
      <c r="PL112" s="2"/>
      <c r="PM112" s="2"/>
      <c r="PN112" s="2"/>
      <c r="PO112" s="2"/>
      <c r="PP112" s="2"/>
      <c r="PQ112" s="2"/>
      <c r="PR112" s="2"/>
      <c r="PS112" s="2"/>
      <c r="PT112" s="2"/>
      <c r="PU112" s="2"/>
      <c r="PV112" s="2"/>
      <c r="PW112" s="2"/>
      <c r="PX112" s="2"/>
      <c r="PY112" s="2"/>
      <c r="PZ112" s="2"/>
      <c r="QA112" s="2"/>
      <c r="QB112" s="2"/>
      <c r="QC112" s="2"/>
      <c r="QD112" s="2"/>
      <c r="QE112" s="2"/>
      <c r="QF112" s="2"/>
      <c r="QG112" s="2"/>
      <c r="QH112" s="2"/>
      <c r="QI112" s="2"/>
      <c r="QJ112" s="2"/>
      <c r="QK112" s="2"/>
      <c r="QL112" s="2"/>
      <c r="QM112" s="2"/>
      <c r="QN112" s="2"/>
      <c r="QO112" s="2"/>
      <c r="QP112" s="2"/>
      <c r="QQ112" s="2"/>
      <c r="QR112" s="2"/>
      <c r="QS112" s="2"/>
      <c r="QT112" s="2"/>
      <c r="QU112" s="2"/>
      <c r="QV112" s="2"/>
      <c r="QW112" s="2"/>
      <c r="QX112" s="2"/>
      <c r="QY112" s="2"/>
      <c r="QZ112" s="2"/>
      <c r="RA112" s="2"/>
      <c r="RB112" s="2"/>
      <c r="RC112" s="2"/>
      <c r="RD112" s="2"/>
      <c r="RE112" s="2"/>
      <c r="RF112" s="2"/>
      <c r="RG112" s="2"/>
      <c r="RH112" s="2"/>
      <c r="RI112" s="2"/>
      <c r="RJ112" s="2"/>
      <c r="RK112" s="2"/>
      <c r="RL112" s="2"/>
      <c r="RM112" s="2"/>
      <c r="RN112" s="2"/>
      <c r="RO112" s="2"/>
      <c r="RP112" s="2"/>
      <c r="RQ112" s="2"/>
      <c r="RR112" s="2"/>
      <c r="RS112" s="2"/>
      <c r="RT112" s="2"/>
      <c r="RU112" s="2"/>
      <c r="RV112" s="2"/>
      <c r="RW112" s="2"/>
      <c r="RX112" s="2"/>
      <c r="RY112" s="2"/>
      <c r="RZ112" s="2"/>
      <c r="SA112" s="2"/>
      <c r="SB112" s="2"/>
      <c r="SC112" s="2"/>
      <c r="SD112" s="2"/>
      <c r="SE112" s="2"/>
      <c r="SF112" s="2"/>
      <c r="SG112" s="2"/>
      <c r="SH112" s="2"/>
      <c r="SI112" s="2"/>
      <c r="SJ112" s="2"/>
      <c r="SK112" s="2"/>
      <c r="SL112" s="2"/>
      <c r="SM112" s="2"/>
      <c r="SN112" s="2"/>
      <c r="SO112" s="2"/>
      <c r="SP112" s="2"/>
      <c r="SQ112" s="2"/>
      <c r="SR112" s="2"/>
      <c r="SS112" s="2"/>
      <c r="ST112" s="2"/>
      <c r="SU112" s="2"/>
      <c r="SV112" s="2"/>
      <c r="SW112" s="2"/>
      <c r="SX112" s="2"/>
    </row>
    <row r="113" spans="33:518" x14ac:dyDescent="0.25"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  <c r="FK113" s="2"/>
      <c r="FL113" s="2"/>
      <c r="FM113" s="2"/>
      <c r="FN113" s="2"/>
      <c r="FO113" s="2"/>
      <c r="FP113" s="2"/>
      <c r="FQ113" s="2"/>
      <c r="FR113" s="2"/>
      <c r="FS113" s="2"/>
      <c r="FT113" s="2"/>
      <c r="FU113" s="2"/>
      <c r="FV113" s="2"/>
      <c r="FW113" s="2"/>
      <c r="FX113" s="2"/>
      <c r="FY113" s="2"/>
      <c r="FZ113" s="2"/>
      <c r="GA113" s="2"/>
      <c r="GB113" s="2"/>
      <c r="GC113" s="2"/>
      <c r="GD113" s="2"/>
      <c r="GE113" s="2"/>
      <c r="GF113" s="2"/>
      <c r="GG113" s="2"/>
      <c r="GH113" s="2"/>
      <c r="GI113" s="2"/>
      <c r="GJ113" s="2"/>
      <c r="GK113" s="2"/>
      <c r="GL113" s="2"/>
      <c r="GM113" s="2"/>
      <c r="GN113" s="2"/>
      <c r="GO113" s="2"/>
      <c r="GP113" s="2"/>
      <c r="GQ113" s="2"/>
      <c r="GR113" s="2"/>
      <c r="GS113" s="2"/>
      <c r="GT113" s="2"/>
      <c r="GU113" s="2"/>
      <c r="GV113" s="2"/>
      <c r="GW113" s="2"/>
      <c r="GX113" s="2"/>
      <c r="GY113" s="2"/>
      <c r="GZ113" s="2"/>
      <c r="HA113" s="2"/>
      <c r="HB113" s="2"/>
      <c r="HC113" s="2"/>
      <c r="HD113" s="2"/>
      <c r="HE113" s="2"/>
      <c r="HF113" s="2"/>
      <c r="HG113" s="2"/>
      <c r="HH113" s="2"/>
      <c r="HI113" s="2"/>
      <c r="HJ113" s="2"/>
      <c r="HK113" s="2"/>
      <c r="HL113" s="2"/>
      <c r="HM113" s="2"/>
      <c r="HN113" s="2"/>
      <c r="HO113" s="2"/>
      <c r="HP113" s="2"/>
      <c r="HQ113" s="2"/>
      <c r="HR113" s="2"/>
      <c r="HS113" s="2"/>
      <c r="HT113" s="2"/>
      <c r="HU113" s="2"/>
      <c r="HV113" s="2"/>
      <c r="HW113" s="2"/>
      <c r="HX113" s="2"/>
      <c r="HY113" s="2"/>
      <c r="HZ113" s="2"/>
      <c r="IA113" s="2"/>
      <c r="IB113" s="2"/>
      <c r="IC113" s="2"/>
      <c r="ID113" s="2"/>
      <c r="IE113" s="2"/>
      <c r="IF113" s="2"/>
      <c r="IG113" s="2"/>
      <c r="IH113" s="2"/>
      <c r="II113" s="2"/>
      <c r="IJ113" s="2"/>
      <c r="IK113" s="2"/>
      <c r="IL113" s="2"/>
      <c r="IM113" s="2"/>
      <c r="IN113" s="2"/>
      <c r="IO113" s="2"/>
      <c r="IP113" s="2"/>
      <c r="IQ113" s="2"/>
      <c r="IR113" s="2"/>
      <c r="IS113" s="2"/>
      <c r="IT113" s="2"/>
      <c r="IU113" s="2"/>
      <c r="IV113" s="2"/>
      <c r="IW113" s="2"/>
      <c r="IX113" s="2"/>
      <c r="IY113" s="2"/>
      <c r="IZ113" s="2"/>
      <c r="JA113" s="2"/>
      <c r="JB113" s="2"/>
      <c r="JC113" s="2"/>
      <c r="JD113" s="2"/>
      <c r="JE113" s="2"/>
      <c r="JF113" s="2"/>
      <c r="JG113" s="2"/>
      <c r="JH113" s="2"/>
      <c r="JI113" s="2"/>
      <c r="JJ113" s="2"/>
      <c r="JK113" s="2"/>
      <c r="JL113" s="2"/>
      <c r="JM113" s="2"/>
      <c r="JN113" s="2"/>
      <c r="JO113" s="2"/>
      <c r="JP113" s="2"/>
      <c r="JQ113" s="2"/>
      <c r="JR113" s="2"/>
      <c r="JS113" s="2"/>
      <c r="JT113" s="2"/>
      <c r="JU113" s="2"/>
      <c r="JV113" s="2"/>
      <c r="JW113" s="2"/>
      <c r="JX113" s="2"/>
      <c r="JY113" s="2"/>
      <c r="JZ113" s="2"/>
      <c r="KA113" s="2"/>
      <c r="KB113" s="2"/>
      <c r="KC113" s="2"/>
      <c r="KD113" s="2"/>
      <c r="KE113" s="2"/>
      <c r="KF113" s="2"/>
      <c r="KG113" s="2"/>
      <c r="KH113" s="2"/>
      <c r="KI113" s="2"/>
      <c r="KJ113" s="2"/>
      <c r="KK113" s="2"/>
      <c r="KL113" s="2"/>
      <c r="KM113" s="2"/>
      <c r="KN113" s="2"/>
      <c r="KO113" s="2"/>
      <c r="KP113" s="2"/>
      <c r="KQ113" s="2"/>
      <c r="KR113" s="2"/>
      <c r="KS113" s="2"/>
      <c r="KT113" s="2"/>
      <c r="KU113" s="2"/>
      <c r="KV113" s="2"/>
      <c r="KW113" s="2"/>
      <c r="KX113" s="2"/>
      <c r="KY113" s="2"/>
      <c r="KZ113" s="2"/>
      <c r="LA113" s="2"/>
      <c r="LB113" s="2"/>
      <c r="LC113" s="2"/>
      <c r="LD113" s="2"/>
      <c r="LE113" s="2"/>
      <c r="LF113" s="2"/>
      <c r="LG113" s="2"/>
      <c r="LH113" s="2"/>
      <c r="LI113" s="2"/>
      <c r="LJ113" s="2"/>
      <c r="LK113" s="2"/>
      <c r="LL113" s="2"/>
      <c r="LM113" s="2"/>
      <c r="LN113" s="2"/>
      <c r="LO113" s="2"/>
      <c r="LP113" s="2"/>
      <c r="LQ113" s="2"/>
      <c r="LR113" s="2"/>
      <c r="LS113" s="2"/>
      <c r="LT113" s="2"/>
      <c r="LU113" s="2"/>
      <c r="LV113" s="2"/>
      <c r="LW113" s="2"/>
      <c r="LX113" s="2"/>
      <c r="LY113" s="2"/>
      <c r="LZ113" s="2"/>
      <c r="MA113" s="2"/>
      <c r="MB113" s="2"/>
      <c r="MC113" s="2"/>
      <c r="MD113" s="2"/>
      <c r="ME113" s="2"/>
      <c r="MF113" s="2"/>
      <c r="MG113" s="2"/>
      <c r="MH113" s="2"/>
      <c r="MI113" s="2"/>
      <c r="MJ113" s="2"/>
      <c r="MK113" s="2"/>
      <c r="ML113" s="2"/>
      <c r="MM113" s="2"/>
      <c r="MN113" s="2"/>
      <c r="MO113" s="2"/>
      <c r="MP113" s="2"/>
      <c r="MQ113" s="2"/>
      <c r="MR113" s="2"/>
      <c r="MS113" s="2"/>
      <c r="MT113" s="2"/>
      <c r="MU113" s="2"/>
      <c r="MV113" s="2"/>
      <c r="MW113" s="2"/>
      <c r="MX113" s="2"/>
      <c r="MY113" s="2"/>
      <c r="MZ113" s="2"/>
      <c r="NA113" s="2"/>
      <c r="NB113" s="2"/>
      <c r="NC113" s="2"/>
      <c r="ND113" s="2"/>
      <c r="NE113" s="2"/>
      <c r="NF113" s="2"/>
      <c r="NG113" s="2"/>
      <c r="NH113" s="2"/>
      <c r="NI113" s="2"/>
      <c r="NJ113" s="2"/>
      <c r="NK113" s="2"/>
      <c r="NL113" s="2"/>
      <c r="NM113" s="2"/>
      <c r="NN113" s="2"/>
      <c r="NO113" s="2"/>
      <c r="NP113" s="2"/>
      <c r="NQ113" s="2"/>
      <c r="NR113" s="2"/>
      <c r="NS113" s="2"/>
      <c r="NT113" s="2"/>
      <c r="NU113" s="2"/>
      <c r="NV113" s="2"/>
      <c r="NW113" s="2"/>
      <c r="NX113" s="2"/>
      <c r="NY113" s="2"/>
      <c r="NZ113" s="2"/>
      <c r="OA113" s="2"/>
      <c r="OB113" s="2"/>
      <c r="OC113" s="2"/>
      <c r="OD113" s="2"/>
      <c r="OE113" s="2"/>
      <c r="OF113" s="2"/>
      <c r="OG113" s="2"/>
      <c r="OH113" s="2"/>
      <c r="OI113" s="2"/>
      <c r="OJ113" s="2"/>
      <c r="OK113" s="2"/>
      <c r="OL113" s="2"/>
      <c r="OM113" s="2"/>
      <c r="ON113" s="2"/>
      <c r="OO113" s="2"/>
      <c r="OP113" s="2"/>
      <c r="OQ113" s="2"/>
      <c r="OR113" s="2"/>
      <c r="OS113" s="2"/>
      <c r="OT113" s="2"/>
      <c r="OU113" s="2"/>
      <c r="OV113" s="2"/>
      <c r="OW113" s="2"/>
      <c r="OX113" s="2"/>
      <c r="OY113" s="2"/>
      <c r="OZ113" s="2"/>
      <c r="PA113" s="2"/>
      <c r="PB113" s="2"/>
      <c r="PC113" s="2"/>
      <c r="PD113" s="2"/>
      <c r="PE113" s="2"/>
      <c r="PF113" s="2"/>
      <c r="PG113" s="2"/>
      <c r="PH113" s="2"/>
      <c r="PI113" s="2"/>
      <c r="PJ113" s="2"/>
      <c r="PK113" s="2"/>
      <c r="PL113" s="2"/>
      <c r="PM113" s="2"/>
      <c r="PN113" s="2"/>
      <c r="PO113" s="2"/>
      <c r="PP113" s="2"/>
      <c r="PQ113" s="2"/>
      <c r="PR113" s="2"/>
      <c r="PS113" s="2"/>
      <c r="PT113" s="2"/>
      <c r="PU113" s="2"/>
      <c r="PV113" s="2"/>
      <c r="PW113" s="2"/>
      <c r="PX113" s="2"/>
      <c r="PY113" s="2"/>
      <c r="PZ113" s="2"/>
      <c r="QA113" s="2"/>
      <c r="QB113" s="2"/>
      <c r="QC113" s="2"/>
      <c r="QD113" s="2"/>
      <c r="QE113" s="2"/>
      <c r="QF113" s="2"/>
      <c r="QG113" s="2"/>
      <c r="QH113" s="2"/>
      <c r="QI113" s="2"/>
      <c r="QJ113" s="2"/>
      <c r="QK113" s="2"/>
      <c r="QL113" s="2"/>
      <c r="QM113" s="2"/>
      <c r="QN113" s="2"/>
      <c r="QO113" s="2"/>
      <c r="QP113" s="2"/>
      <c r="QQ113" s="2"/>
      <c r="QR113" s="2"/>
      <c r="QS113" s="2"/>
      <c r="QT113" s="2"/>
      <c r="QU113" s="2"/>
      <c r="QV113" s="2"/>
      <c r="QW113" s="2"/>
      <c r="QX113" s="2"/>
      <c r="QY113" s="2"/>
      <c r="QZ113" s="2"/>
      <c r="RA113" s="2"/>
      <c r="RB113" s="2"/>
      <c r="RC113" s="2"/>
      <c r="RD113" s="2"/>
      <c r="RE113" s="2"/>
      <c r="RF113" s="2"/>
      <c r="RG113" s="2"/>
      <c r="RH113" s="2"/>
      <c r="RI113" s="2"/>
      <c r="RJ113" s="2"/>
      <c r="RK113" s="2"/>
      <c r="RL113" s="2"/>
      <c r="RM113" s="2"/>
      <c r="RN113" s="2"/>
      <c r="RO113" s="2"/>
      <c r="RP113" s="2"/>
      <c r="RQ113" s="2"/>
      <c r="RR113" s="2"/>
      <c r="RS113" s="2"/>
      <c r="RT113" s="2"/>
      <c r="RU113" s="2"/>
      <c r="RV113" s="2"/>
      <c r="RW113" s="2"/>
      <c r="RX113" s="2"/>
      <c r="RY113" s="2"/>
      <c r="RZ113" s="2"/>
      <c r="SA113" s="2"/>
      <c r="SB113" s="2"/>
      <c r="SC113" s="2"/>
      <c r="SD113" s="2"/>
      <c r="SE113" s="2"/>
      <c r="SF113" s="2"/>
      <c r="SG113" s="2"/>
      <c r="SH113" s="2"/>
      <c r="SI113" s="2"/>
      <c r="SJ113" s="2"/>
      <c r="SK113" s="2"/>
      <c r="SL113" s="2"/>
      <c r="SM113" s="2"/>
      <c r="SN113" s="2"/>
      <c r="SO113" s="2"/>
      <c r="SP113" s="2"/>
      <c r="SQ113" s="2"/>
      <c r="SR113" s="2"/>
      <c r="SS113" s="2"/>
      <c r="ST113" s="2"/>
      <c r="SU113" s="2"/>
      <c r="SV113" s="2"/>
      <c r="SW113" s="2"/>
      <c r="SX113" s="2"/>
    </row>
    <row r="114" spans="33:518" x14ac:dyDescent="0.25"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  <c r="FK114" s="2"/>
      <c r="FL114" s="2"/>
      <c r="FM114" s="2"/>
      <c r="FN114" s="2"/>
      <c r="FO114" s="2"/>
      <c r="FP114" s="2"/>
      <c r="FQ114" s="2"/>
      <c r="FR114" s="2"/>
      <c r="FS114" s="2"/>
      <c r="FT114" s="2"/>
      <c r="FU114" s="2"/>
      <c r="FV114" s="2"/>
      <c r="FW114" s="2"/>
      <c r="FX114" s="2"/>
      <c r="FY114" s="2"/>
      <c r="FZ114" s="2"/>
      <c r="GA114" s="2"/>
      <c r="GB114" s="2"/>
      <c r="GC114" s="2"/>
      <c r="GD114" s="2"/>
      <c r="GE114" s="2"/>
      <c r="GF114" s="2"/>
      <c r="GG114" s="2"/>
      <c r="GH114" s="2"/>
      <c r="GI114" s="2"/>
      <c r="GJ114" s="2"/>
      <c r="GK114" s="2"/>
      <c r="GL114" s="2"/>
      <c r="GM114" s="2"/>
      <c r="GN114" s="2"/>
      <c r="GO114" s="2"/>
      <c r="GP114" s="2"/>
      <c r="GQ114" s="2"/>
      <c r="GR114" s="2"/>
      <c r="GS114" s="2"/>
      <c r="GT114" s="2"/>
      <c r="GU114" s="2"/>
      <c r="GV114" s="2"/>
      <c r="GW114" s="2"/>
      <c r="GX114" s="2"/>
      <c r="GY114" s="2"/>
      <c r="GZ114" s="2"/>
      <c r="HA114" s="2"/>
      <c r="HB114" s="2"/>
      <c r="HC114" s="2"/>
      <c r="HD114" s="2"/>
      <c r="HE114" s="2"/>
      <c r="HF114" s="2"/>
      <c r="HG114" s="2"/>
      <c r="HH114" s="2"/>
      <c r="HI114" s="2"/>
      <c r="HJ114" s="2"/>
      <c r="HK114" s="2"/>
      <c r="HL114" s="2"/>
      <c r="HM114" s="2"/>
      <c r="HN114" s="2"/>
      <c r="HO114" s="2"/>
      <c r="HP114" s="2"/>
      <c r="HQ114" s="2"/>
      <c r="HR114" s="2"/>
      <c r="HS114" s="2"/>
      <c r="HT114" s="2"/>
      <c r="HU114" s="2"/>
      <c r="HV114" s="2"/>
      <c r="HW114" s="2"/>
      <c r="HX114" s="2"/>
      <c r="HY114" s="2"/>
      <c r="HZ114" s="2"/>
      <c r="IA114" s="2"/>
      <c r="IB114" s="2"/>
      <c r="IC114" s="2"/>
      <c r="ID114" s="2"/>
      <c r="IE114" s="2"/>
      <c r="IF114" s="2"/>
      <c r="IG114" s="2"/>
      <c r="IH114" s="2"/>
      <c r="II114" s="2"/>
      <c r="IJ114" s="2"/>
      <c r="IK114" s="2"/>
      <c r="IL114" s="2"/>
      <c r="IM114" s="2"/>
      <c r="IN114" s="2"/>
      <c r="IO114" s="2"/>
      <c r="IP114" s="2"/>
      <c r="IQ114" s="2"/>
      <c r="IR114" s="2"/>
      <c r="IS114" s="2"/>
      <c r="IT114" s="2"/>
      <c r="IU114" s="2"/>
      <c r="IV114" s="2"/>
      <c r="IW114" s="2"/>
      <c r="IX114" s="2"/>
      <c r="IY114" s="2"/>
      <c r="IZ114" s="2"/>
      <c r="JA114" s="2"/>
      <c r="JB114" s="2"/>
      <c r="JC114" s="2"/>
      <c r="JD114" s="2"/>
      <c r="JE114" s="2"/>
      <c r="JF114" s="2"/>
      <c r="JG114" s="2"/>
      <c r="JH114" s="2"/>
      <c r="JI114" s="2"/>
      <c r="JJ114" s="2"/>
      <c r="JK114" s="2"/>
      <c r="JL114" s="2"/>
      <c r="JM114" s="2"/>
      <c r="JN114" s="2"/>
      <c r="JO114" s="2"/>
      <c r="JP114" s="2"/>
      <c r="JQ114" s="2"/>
      <c r="JR114" s="2"/>
      <c r="JS114" s="2"/>
      <c r="JT114" s="2"/>
      <c r="JU114" s="2"/>
      <c r="JV114" s="2"/>
      <c r="JW114" s="2"/>
      <c r="JX114" s="2"/>
      <c r="JY114" s="2"/>
      <c r="JZ114" s="2"/>
      <c r="KA114" s="2"/>
      <c r="KB114" s="2"/>
      <c r="KC114" s="2"/>
      <c r="KD114" s="2"/>
      <c r="KE114" s="2"/>
      <c r="KF114" s="2"/>
      <c r="KG114" s="2"/>
      <c r="KH114" s="2"/>
      <c r="KI114" s="2"/>
      <c r="KJ114" s="2"/>
      <c r="KK114" s="2"/>
      <c r="KL114" s="2"/>
      <c r="KM114" s="2"/>
      <c r="KN114" s="2"/>
      <c r="KO114" s="2"/>
      <c r="KP114" s="2"/>
      <c r="KQ114" s="2"/>
      <c r="KR114" s="2"/>
      <c r="KS114" s="2"/>
      <c r="KT114" s="2"/>
      <c r="KU114" s="2"/>
      <c r="KV114" s="2"/>
      <c r="KW114" s="2"/>
      <c r="KX114" s="2"/>
      <c r="KY114" s="2"/>
      <c r="KZ114" s="2"/>
      <c r="LA114" s="2"/>
      <c r="LB114" s="2"/>
      <c r="LC114" s="2"/>
      <c r="LD114" s="2"/>
      <c r="LE114" s="2"/>
      <c r="LF114" s="2"/>
      <c r="LG114" s="2"/>
      <c r="LH114" s="2"/>
      <c r="LI114" s="2"/>
      <c r="LJ114" s="2"/>
      <c r="LK114" s="2"/>
      <c r="LL114" s="2"/>
      <c r="LM114" s="2"/>
      <c r="LN114" s="2"/>
      <c r="LO114" s="2"/>
      <c r="LP114" s="2"/>
      <c r="LQ114" s="2"/>
      <c r="LR114" s="2"/>
      <c r="LS114" s="2"/>
      <c r="LT114" s="2"/>
      <c r="LU114" s="2"/>
      <c r="LV114" s="2"/>
      <c r="LW114" s="2"/>
      <c r="LX114" s="2"/>
      <c r="LY114" s="2"/>
      <c r="LZ114" s="2"/>
      <c r="MA114" s="2"/>
      <c r="MB114" s="2"/>
      <c r="MC114" s="2"/>
      <c r="MD114" s="2"/>
      <c r="ME114" s="2"/>
      <c r="MF114" s="2"/>
      <c r="MG114" s="2"/>
      <c r="MH114" s="2"/>
      <c r="MI114" s="2"/>
      <c r="MJ114" s="2"/>
      <c r="MK114" s="2"/>
      <c r="ML114" s="2"/>
      <c r="MM114" s="2"/>
      <c r="MN114" s="2"/>
      <c r="MO114" s="2"/>
      <c r="MP114" s="2"/>
      <c r="MQ114" s="2"/>
      <c r="MR114" s="2"/>
      <c r="MS114" s="2"/>
      <c r="MT114" s="2"/>
      <c r="MU114" s="2"/>
      <c r="MV114" s="2"/>
      <c r="MW114" s="2"/>
      <c r="MX114" s="2"/>
      <c r="MY114" s="2"/>
      <c r="MZ114" s="2"/>
      <c r="NA114" s="2"/>
      <c r="NB114" s="2"/>
      <c r="NC114" s="2"/>
      <c r="ND114" s="2"/>
      <c r="NE114" s="2"/>
      <c r="NF114" s="2"/>
      <c r="NG114" s="2"/>
      <c r="NH114" s="2"/>
      <c r="NI114" s="2"/>
      <c r="NJ114" s="2"/>
      <c r="NK114" s="2"/>
      <c r="NL114" s="2"/>
      <c r="NM114" s="2"/>
      <c r="NN114" s="2"/>
      <c r="NO114" s="2"/>
      <c r="NP114" s="2"/>
      <c r="NQ114" s="2"/>
      <c r="NR114" s="2"/>
      <c r="NS114" s="2"/>
      <c r="NT114" s="2"/>
      <c r="NU114" s="2"/>
      <c r="NV114" s="2"/>
      <c r="NW114" s="2"/>
      <c r="NX114" s="2"/>
      <c r="NY114" s="2"/>
      <c r="NZ114" s="2"/>
      <c r="OA114" s="2"/>
      <c r="OB114" s="2"/>
      <c r="OC114" s="2"/>
      <c r="OD114" s="2"/>
      <c r="OE114" s="2"/>
      <c r="OF114" s="2"/>
      <c r="OG114" s="2"/>
      <c r="OH114" s="2"/>
      <c r="OI114" s="2"/>
      <c r="OJ114" s="2"/>
      <c r="OK114" s="2"/>
      <c r="OL114" s="2"/>
      <c r="OM114" s="2"/>
      <c r="ON114" s="2"/>
      <c r="OO114" s="2"/>
      <c r="OP114" s="2"/>
      <c r="OQ114" s="2"/>
      <c r="OR114" s="2"/>
      <c r="OS114" s="2"/>
      <c r="OT114" s="2"/>
      <c r="OU114" s="2"/>
      <c r="OV114" s="2"/>
      <c r="OW114" s="2"/>
      <c r="OX114" s="2"/>
      <c r="OY114" s="2"/>
      <c r="OZ114" s="2"/>
      <c r="PA114" s="2"/>
      <c r="PB114" s="2"/>
      <c r="PC114" s="2"/>
      <c r="PD114" s="2"/>
      <c r="PE114" s="2"/>
      <c r="PF114" s="2"/>
      <c r="PG114" s="2"/>
      <c r="PH114" s="2"/>
      <c r="PI114" s="2"/>
      <c r="PJ114" s="2"/>
      <c r="PK114" s="2"/>
      <c r="PL114" s="2"/>
      <c r="PM114" s="2"/>
      <c r="PN114" s="2"/>
      <c r="PO114" s="2"/>
      <c r="PP114" s="2"/>
      <c r="PQ114" s="2"/>
      <c r="PR114" s="2"/>
      <c r="PS114" s="2"/>
      <c r="PT114" s="2"/>
      <c r="PU114" s="2"/>
      <c r="PV114" s="2"/>
      <c r="PW114" s="2"/>
      <c r="PX114" s="2"/>
      <c r="PY114" s="2"/>
      <c r="PZ114" s="2"/>
      <c r="QA114" s="2"/>
      <c r="QB114" s="2"/>
      <c r="QC114" s="2"/>
      <c r="QD114" s="2"/>
      <c r="QE114" s="2"/>
      <c r="QF114" s="2"/>
      <c r="QG114" s="2"/>
      <c r="QH114" s="2"/>
      <c r="QI114" s="2"/>
      <c r="QJ114" s="2"/>
      <c r="QK114" s="2"/>
      <c r="QL114" s="2"/>
      <c r="QM114" s="2"/>
      <c r="QN114" s="2"/>
      <c r="QO114" s="2"/>
      <c r="QP114" s="2"/>
      <c r="QQ114" s="2"/>
      <c r="QR114" s="2"/>
      <c r="QS114" s="2"/>
      <c r="QT114" s="2"/>
      <c r="QU114" s="2"/>
      <c r="QV114" s="2"/>
      <c r="QW114" s="2"/>
      <c r="QX114" s="2"/>
      <c r="QY114" s="2"/>
      <c r="QZ114" s="2"/>
      <c r="RA114" s="2"/>
      <c r="RB114" s="2"/>
      <c r="RC114" s="2"/>
      <c r="RD114" s="2"/>
      <c r="RE114" s="2"/>
      <c r="RF114" s="2"/>
      <c r="RG114" s="2"/>
      <c r="RH114" s="2"/>
      <c r="RI114" s="2"/>
      <c r="RJ114" s="2"/>
      <c r="RK114" s="2"/>
      <c r="RL114" s="2"/>
      <c r="RM114" s="2"/>
      <c r="RN114" s="2"/>
      <c r="RO114" s="2"/>
      <c r="RP114" s="2"/>
      <c r="RQ114" s="2"/>
      <c r="RR114" s="2"/>
      <c r="RS114" s="2"/>
      <c r="RT114" s="2"/>
      <c r="RU114" s="2"/>
      <c r="RV114" s="2"/>
      <c r="RW114" s="2"/>
      <c r="RX114" s="2"/>
      <c r="RY114" s="2"/>
      <c r="RZ114" s="2"/>
      <c r="SA114" s="2"/>
      <c r="SB114" s="2"/>
      <c r="SC114" s="2"/>
      <c r="SD114" s="2"/>
      <c r="SE114" s="2"/>
      <c r="SF114" s="2"/>
      <c r="SG114" s="2"/>
      <c r="SH114" s="2"/>
      <c r="SI114" s="2"/>
      <c r="SJ114" s="2"/>
      <c r="SK114" s="2"/>
      <c r="SL114" s="2"/>
      <c r="SM114" s="2"/>
      <c r="SN114" s="2"/>
      <c r="SO114" s="2"/>
      <c r="SP114" s="2"/>
      <c r="SQ114" s="2"/>
      <c r="SR114" s="2"/>
      <c r="SS114" s="2"/>
      <c r="ST114" s="2"/>
      <c r="SU114" s="2"/>
      <c r="SV114" s="2"/>
      <c r="SW114" s="2"/>
      <c r="SX114" s="2"/>
    </row>
    <row r="115" spans="33:518" x14ac:dyDescent="0.25"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  <c r="FK115" s="2"/>
      <c r="FL115" s="2"/>
      <c r="FM115" s="2"/>
      <c r="FN115" s="2"/>
      <c r="FO115" s="2"/>
      <c r="FP115" s="2"/>
      <c r="FQ115" s="2"/>
      <c r="FR115" s="2"/>
      <c r="FS115" s="2"/>
      <c r="FT115" s="2"/>
      <c r="FU115" s="2"/>
      <c r="FV115" s="2"/>
      <c r="FW115" s="2"/>
      <c r="FX115" s="2"/>
      <c r="FY115" s="2"/>
      <c r="FZ115" s="2"/>
      <c r="GA115" s="2"/>
      <c r="GB115" s="2"/>
      <c r="GC115" s="2"/>
      <c r="GD115" s="2"/>
      <c r="GE115" s="2"/>
      <c r="GF115" s="2"/>
      <c r="GG115" s="2"/>
      <c r="GH115" s="2"/>
      <c r="GI115" s="2"/>
      <c r="GJ115" s="2"/>
      <c r="GK115" s="2"/>
      <c r="GL115" s="2"/>
      <c r="GM115" s="2"/>
      <c r="GN115" s="2"/>
      <c r="GO115" s="2"/>
      <c r="GP115" s="2"/>
      <c r="GQ115" s="2"/>
      <c r="GR115" s="2"/>
      <c r="GS115" s="2"/>
      <c r="GT115" s="2"/>
      <c r="GU115" s="2"/>
      <c r="GV115" s="2"/>
      <c r="GW115" s="2"/>
      <c r="GX115" s="2"/>
      <c r="GY115" s="2"/>
      <c r="GZ115" s="2"/>
      <c r="HA115" s="2"/>
      <c r="HB115" s="2"/>
      <c r="HC115" s="2"/>
      <c r="HD115" s="2"/>
      <c r="HE115" s="2"/>
      <c r="HF115" s="2"/>
      <c r="HG115" s="2"/>
      <c r="HH115" s="2"/>
      <c r="HI115" s="2"/>
      <c r="HJ115" s="2"/>
      <c r="HK115" s="2"/>
      <c r="HL115" s="2"/>
      <c r="HM115" s="2"/>
      <c r="HN115" s="2"/>
      <c r="HO115" s="2"/>
      <c r="HP115" s="2"/>
      <c r="HQ115" s="2"/>
      <c r="HR115" s="2"/>
      <c r="HS115" s="2"/>
      <c r="HT115" s="2"/>
      <c r="HU115" s="2"/>
      <c r="HV115" s="2"/>
      <c r="HW115" s="2"/>
      <c r="HX115" s="2"/>
      <c r="HY115" s="2"/>
      <c r="HZ115" s="2"/>
      <c r="IA115" s="2"/>
      <c r="IB115" s="2"/>
      <c r="IC115" s="2"/>
      <c r="ID115" s="2"/>
      <c r="IE115" s="2"/>
      <c r="IF115" s="2"/>
      <c r="IG115" s="2"/>
      <c r="IH115" s="2"/>
      <c r="II115" s="2"/>
      <c r="IJ115" s="2"/>
      <c r="IK115" s="2"/>
      <c r="IL115" s="2"/>
      <c r="IM115" s="2"/>
      <c r="IN115" s="2"/>
      <c r="IO115" s="2"/>
      <c r="IP115" s="2"/>
      <c r="IQ115" s="2"/>
      <c r="IR115" s="2"/>
      <c r="IS115" s="2"/>
      <c r="IT115" s="2"/>
      <c r="IU115" s="2"/>
      <c r="IV115" s="2"/>
      <c r="IW115" s="2"/>
      <c r="IX115" s="2"/>
      <c r="IY115" s="2"/>
      <c r="IZ115" s="2"/>
      <c r="JA115" s="2"/>
      <c r="JB115" s="2"/>
      <c r="JC115" s="2"/>
      <c r="JD115" s="2"/>
      <c r="JE115" s="2"/>
      <c r="JF115" s="2"/>
      <c r="JG115" s="2"/>
      <c r="JH115" s="2"/>
      <c r="JI115" s="2"/>
      <c r="JJ115" s="2"/>
      <c r="JK115" s="2"/>
      <c r="JL115" s="2"/>
      <c r="JM115" s="2"/>
      <c r="JN115" s="2"/>
      <c r="JO115" s="2"/>
      <c r="JP115" s="2"/>
      <c r="JQ115" s="2"/>
      <c r="JR115" s="2"/>
      <c r="JS115" s="2"/>
      <c r="JT115" s="2"/>
      <c r="JU115" s="2"/>
      <c r="JV115" s="2"/>
      <c r="JW115" s="2"/>
      <c r="JX115" s="2"/>
      <c r="JY115" s="2"/>
      <c r="JZ115" s="2"/>
      <c r="KA115" s="2"/>
      <c r="KB115" s="2"/>
      <c r="KC115" s="2"/>
      <c r="KD115" s="2"/>
      <c r="KE115" s="2"/>
      <c r="KF115" s="2"/>
      <c r="KG115" s="2"/>
      <c r="KH115" s="2"/>
      <c r="KI115" s="2"/>
      <c r="KJ115" s="2"/>
      <c r="KK115" s="2"/>
      <c r="KL115" s="2"/>
      <c r="KM115" s="2"/>
      <c r="KN115" s="2"/>
      <c r="KO115" s="2"/>
      <c r="KP115" s="2"/>
      <c r="KQ115" s="2"/>
      <c r="KR115" s="2"/>
      <c r="KS115" s="2"/>
      <c r="KT115" s="2"/>
      <c r="KU115" s="2"/>
      <c r="KV115" s="2"/>
      <c r="KW115" s="2"/>
      <c r="KX115" s="2"/>
      <c r="KY115" s="2"/>
      <c r="KZ115" s="2"/>
      <c r="LA115" s="2"/>
      <c r="LB115" s="2"/>
      <c r="LC115" s="2"/>
      <c r="LD115" s="2"/>
      <c r="LE115" s="2"/>
      <c r="LF115" s="2"/>
      <c r="LG115" s="2"/>
      <c r="LH115" s="2"/>
      <c r="LI115" s="2"/>
      <c r="LJ115" s="2"/>
      <c r="LK115" s="2"/>
      <c r="LL115" s="2"/>
      <c r="LM115" s="2"/>
      <c r="LN115" s="2"/>
      <c r="LO115" s="2"/>
      <c r="LP115" s="2"/>
      <c r="LQ115" s="2"/>
      <c r="LR115" s="2"/>
      <c r="LS115" s="2"/>
      <c r="LT115" s="2"/>
      <c r="LU115" s="2"/>
      <c r="LV115" s="2"/>
      <c r="LW115" s="2"/>
      <c r="LX115" s="2"/>
      <c r="LY115" s="2"/>
      <c r="LZ115" s="2"/>
      <c r="MA115" s="2"/>
      <c r="MB115" s="2"/>
      <c r="MC115" s="2"/>
      <c r="MD115" s="2"/>
      <c r="ME115" s="2"/>
      <c r="MF115" s="2"/>
      <c r="MG115" s="2"/>
      <c r="MH115" s="2"/>
      <c r="MI115" s="2"/>
      <c r="MJ115" s="2"/>
      <c r="MK115" s="2"/>
      <c r="ML115" s="2"/>
      <c r="MM115" s="2"/>
      <c r="MN115" s="2"/>
      <c r="MO115" s="2"/>
      <c r="MP115" s="2"/>
      <c r="MQ115" s="2"/>
      <c r="MR115" s="2"/>
      <c r="MS115" s="2"/>
      <c r="MT115" s="2"/>
      <c r="MU115" s="2"/>
      <c r="MV115" s="2"/>
      <c r="MW115" s="2"/>
      <c r="MX115" s="2"/>
      <c r="MY115" s="2"/>
      <c r="MZ115" s="2"/>
      <c r="NA115" s="2"/>
      <c r="NB115" s="2"/>
      <c r="NC115" s="2"/>
      <c r="ND115" s="2"/>
      <c r="NE115" s="2"/>
      <c r="NF115" s="2"/>
      <c r="NG115" s="2"/>
      <c r="NH115" s="2"/>
      <c r="NI115" s="2"/>
      <c r="NJ115" s="2"/>
      <c r="NK115" s="2"/>
      <c r="NL115" s="2"/>
      <c r="NM115" s="2"/>
      <c r="NN115" s="2"/>
      <c r="NO115" s="2"/>
      <c r="NP115" s="2"/>
      <c r="NQ115" s="2"/>
      <c r="NR115" s="2"/>
      <c r="NS115" s="2"/>
      <c r="NT115" s="2"/>
      <c r="NU115" s="2"/>
      <c r="NV115" s="2"/>
      <c r="NW115" s="2"/>
      <c r="NX115" s="2"/>
      <c r="NY115" s="2"/>
      <c r="NZ115" s="2"/>
      <c r="OA115" s="2"/>
      <c r="OB115" s="2"/>
      <c r="OC115" s="2"/>
      <c r="OD115" s="2"/>
      <c r="OE115" s="2"/>
      <c r="OF115" s="2"/>
      <c r="OG115" s="2"/>
      <c r="OH115" s="2"/>
      <c r="OI115" s="2"/>
      <c r="OJ115" s="2"/>
      <c r="OK115" s="2"/>
      <c r="OL115" s="2"/>
      <c r="OM115" s="2"/>
      <c r="ON115" s="2"/>
      <c r="OO115" s="2"/>
      <c r="OP115" s="2"/>
      <c r="OQ115" s="2"/>
      <c r="OR115" s="2"/>
      <c r="OS115" s="2"/>
      <c r="OT115" s="2"/>
      <c r="OU115" s="2"/>
      <c r="OV115" s="2"/>
      <c r="OW115" s="2"/>
      <c r="OX115" s="2"/>
      <c r="OY115" s="2"/>
      <c r="OZ115" s="2"/>
      <c r="PA115" s="2"/>
      <c r="PB115" s="2"/>
      <c r="PC115" s="2"/>
      <c r="PD115" s="2"/>
      <c r="PE115" s="2"/>
      <c r="PF115" s="2"/>
      <c r="PG115" s="2"/>
      <c r="PH115" s="2"/>
      <c r="PI115" s="2"/>
      <c r="PJ115" s="2"/>
      <c r="PK115" s="2"/>
      <c r="PL115" s="2"/>
      <c r="PM115" s="2"/>
      <c r="PN115" s="2"/>
      <c r="PO115" s="2"/>
      <c r="PP115" s="2"/>
      <c r="PQ115" s="2"/>
      <c r="PR115" s="2"/>
      <c r="PS115" s="2"/>
      <c r="PT115" s="2"/>
      <c r="PU115" s="2"/>
      <c r="PV115" s="2"/>
      <c r="PW115" s="2"/>
      <c r="PX115" s="2"/>
      <c r="PY115" s="2"/>
      <c r="PZ115" s="2"/>
      <c r="QA115" s="2"/>
      <c r="QB115" s="2"/>
      <c r="QC115" s="2"/>
      <c r="QD115" s="2"/>
      <c r="QE115" s="2"/>
      <c r="QF115" s="2"/>
      <c r="QG115" s="2"/>
      <c r="QH115" s="2"/>
      <c r="QI115" s="2"/>
      <c r="QJ115" s="2"/>
      <c r="QK115" s="2"/>
      <c r="QL115" s="2"/>
      <c r="QM115" s="2"/>
      <c r="QN115" s="2"/>
      <c r="QO115" s="2"/>
      <c r="QP115" s="2"/>
      <c r="QQ115" s="2"/>
      <c r="QR115" s="2"/>
      <c r="QS115" s="2"/>
      <c r="QT115" s="2"/>
      <c r="QU115" s="2"/>
      <c r="QV115" s="2"/>
      <c r="QW115" s="2"/>
      <c r="QX115" s="2"/>
      <c r="QY115" s="2"/>
      <c r="QZ115" s="2"/>
      <c r="RA115" s="2"/>
      <c r="RB115" s="2"/>
      <c r="RC115" s="2"/>
      <c r="RD115" s="2"/>
      <c r="RE115" s="2"/>
      <c r="RF115" s="2"/>
      <c r="RG115" s="2"/>
      <c r="RH115" s="2"/>
      <c r="RI115" s="2"/>
      <c r="RJ115" s="2"/>
      <c r="RK115" s="2"/>
      <c r="RL115" s="2"/>
      <c r="RM115" s="2"/>
      <c r="RN115" s="2"/>
      <c r="RO115" s="2"/>
      <c r="RP115" s="2"/>
      <c r="RQ115" s="2"/>
      <c r="RR115" s="2"/>
      <c r="RS115" s="2"/>
      <c r="RT115" s="2"/>
      <c r="RU115" s="2"/>
      <c r="RV115" s="2"/>
      <c r="RW115" s="2"/>
      <c r="RX115" s="2"/>
      <c r="RY115" s="2"/>
      <c r="RZ115" s="2"/>
      <c r="SA115" s="2"/>
      <c r="SB115" s="2"/>
      <c r="SC115" s="2"/>
      <c r="SD115" s="2"/>
      <c r="SE115" s="2"/>
      <c r="SF115" s="2"/>
      <c r="SG115" s="2"/>
      <c r="SH115" s="2"/>
      <c r="SI115" s="2"/>
      <c r="SJ115" s="2"/>
      <c r="SK115" s="2"/>
      <c r="SL115" s="2"/>
      <c r="SM115" s="2"/>
      <c r="SN115" s="2"/>
      <c r="SO115" s="2"/>
      <c r="SP115" s="2"/>
      <c r="SQ115" s="2"/>
      <c r="SR115" s="2"/>
      <c r="SS115" s="2"/>
      <c r="ST115" s="2"/>
      <c r="SU115" s="2"/>
      <c r="SV115" s="2"/>
      <c r="SW115" s="2"/>
      <c r="SX115" s="2"/>
    </row>
    <row r="116" spans="33:518" x14ac:dyDescent="0.25"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  <c r="RA116" s="2"/>
      <c r="RB116" s="2"/>
      <c r="RC116" s="2"/>
      <c r="RD116" s="2"/>
      <c r="RE116" s="2"/>
      <c r="RF116" s="2"/>
      <c r="RG116" s="2"/>
      <c r="RH116" s="2"/>
      <c r="RI116" s="2"/>
      <c r="RJ116" s="2"/>
      <c r="RK116" s="2"/>
      <c r="RL116" s="2"/>
      <c r="RM116" s="2"/>
      <c r="RN116" s="2"/>
      <c r="RO116" s="2"/>
      <c r="RP116" s="2"/>
      <c r="RQ116" s="2"/>
      <c r="RR116" s="2"/>
      <c r="RS116" s="2"/>
      <c r="RT116" s="2"/>
      <c r="RU116" s="2"/>
      <c r="RV116" s="2"/>
      <c r="RW116" s="2"/>
      <c r="RX116" s="2"/>
      <c r="RY116" s="2"/>
      <c r="RZ116" s="2"/>
      <c r="SA116" s="2"/>
      <c r="SB116" s="2"/>
      <c r="SC116" s="2"/>
      <c r="SD116" s="2"/>
      <c r="SE116" s="2"/>
      <c r="SF116" s="2"/>
      <c r="SG116" s="2"/>
      <c r="SH116" s="2"/>
      <c r="SI116" s="2"/>
      <c r="SJ116" s="2"/>
      <c r="SK116" s="2"/>
      <c r="SL116" s="2"/>
      <c r="SM116" s="2"/>
      <c r="SN116" s="2"/>
      <c r="SO116" s="2"/>
      <c r="SP116" s="2"/>
      <c r="SQ116" s="2"/>
      <c r="SR116" s="2"/>
      <c r="SS116" s="2"/>
      <c r="ST116" s="2"/>
      <c r="SU116" s="2"/>
      <c r="SV116" s="2"/>
      <c r="SW116" s="2"/>
      <c r="SX116" s="2"/>
    </row>
    <row r="117" spans="33:518" x14ac:dyDescent="0.25"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  <c r="FK117" s="2"/>
      <c r="FL117" s="2"/>
      <c r="FM117" s="2"/>
      <c r="FN117" s="2"/>
      <c r="FO117" s="2"/>
      <c r="FP117" s="2"/>
      <c r="FQ117" s="2"/>
      <c r="FR117" s="2"/>
      <c r="FS117" s="2"/>
      <c r="FT117" s="2"/>
      <c r="FU117" s="2"/>
      <c r="FV117" s="2"/>
      <c r="FW117" s="2"/>
      <c r="FX117" s="2"/>
      <c r="FY117" s="2"/>
      <c r="FZ117" s="2"/>
      <c r="GA117" s="2"/>
      <c r="GB117" s="2"/>
      <c r="GC117" s="2"/>
      <c r="GD117" s="2"/>
      <c r="GE117" s="2"/>
      <c r="GF117" s="2"/>
      <c r="GG117" s="2"/>
      <c r="GH117" s="2"/>
      <c r="GI117" s="2"/>
      <c r="GJ117" s="2"/>
      <c r="GK117" s="2"/>
      <c r="GL117" s="2"/>
      <c r="GM117" s="2"/>
      <c r="GN117" s="2"/>
      <c r="GO117" s="2"/>
      <c r="GP117" s="2"/>
      <c r="GQ117" s="2"/>
      <c r="GR117" s="2"/>
      <c r="GS117" s="2"/>
      <c r="GT117" s="2"/>
      <c r="GU117" s="2"/>
      <c r="GV117" s="2"/>
      <c r="GW117" s="2"/>
      <c r="GX117" s="2"/>
      <c r="GY117" s="2"/>
      <c r="GZ117" s="2"/>
      <c r="HA117" s="2"/>
      <c r="HB117" s="2"/>
      <c r="HC117" s="2"/>
      <c r="HD117" s="2"/>
      <c r="HE117" s="2"/>
      <c r="HF117" s="2"/>
      <c r="HG117" s="2"/>
      <c r="HH117" s="2"/>
      <c r="HI117" s="2"/>
      <c r="HJ117" s="2"/>
      <c r="HK117" s="2"/>
      <c r="HL117" s="2"/>
      <c r="HM117" s="2"/>
      <c r="HN117" s="2"/>
      <c r="HO117" s="2"/>
      <c r="HP117" s="2"/>
      <c r="HQ117" s="2"/>
      <c r="HR117" s="2"/>
      <c r="HS117" s="2"/>
      <c r="HT117" s="2"/>
      <c r="HU117" s="2"/>
      <c r="HV117" s="2"/>
      <c r="HW117" s="2"/>
      <c r="HX117" s="2"/>
      <c r="HY117" s="2"/>
      <c r="HZ117" s="2"/>
      <c r="IA117" s="2"/>
      <c r="IB117" s="2"/>
      <c r="IC117" s="2"/>
      <c r="ID117" s="2"/>
      <c r="IE117" s="2"/>
      <c r="IF117" s="2"/>
      <c r="IG117" s="2"/>
      <c r="IH117" s="2"/>
      <c r="II117" s="2"/>
      <c r="IJ117" s="2"/>
      <c r="IK117" s="2"/>
      <c r="IL117" s="2"/>
      <c r="IM117" s="2"/>
      <c r="IN117" s="2"/>
      <c r="IO117" s="2"/>
      <c r="IP117" s="2"/>
      <c r="IQ117" s="2"/>
      <c r="IR117" s="2"/>
      <c r="IS117" s="2"/>
      <c r="IT117" s="2"/>
      <c r="IU117" s="2"/>
      <c r="IV117" s="2"/>
      <c r="IW117" s="2"/>
      <c r="IX117" s="2"/>
      <c r="IY117" s="2"/>
      <c r="IZ117" s="2"/>
      <c r="JA117" s="2"/>
      <c r="JB117" s="2"/>
      <c r="JC117" s="2"/>
      <c r="JD117" s="2"/>
      <c r="JE117" s="2"/>
      <c r="JF117" s="2"/>
      <c r="JG117" s="2"/>
      <c r="JH117" s="2"/>
      <c r="JI117" s="2"/>
      <c r="JJ117" s="2"/>
      <c r="JK117" s="2"/>
      <c r="JL117" s="2"/>
      <c r="JM117" s="2"/>
      <c r="JN117" s="2"/>
      <c r="JO117" s="2"/>
      <c r="JP117" s="2"/>
      <c r="JQ117" s="2"/>
      <c r="JR117" s="2"/>
      <c r="JS117" s="2"/>
      <c r="JT117" s="2"/>
      <c r="JU117" s="2"/>
      <c r="JV117" s="2"/>
      <c r="JW117" s="2"/>
      <c r="JX117" s="2"/>
      <c r="JY117" s="2"/>
      <c r="JZ117" s="2"/>
      <c r="KA117" s="2"/>
      <c r="KB117" s="2"/>
      <c r="KC117" s="2"/>
      <c r="KD117" s="2"/>
      <c r="KE117" s="2"/>
      <c r="KF117" s="2"/>
      <c r="KG117" s="2"/>
      <c r="KH117" s="2"/>
      <c r="KI117" s="2"/>
      <c r="KJ117" s="2"/>
      <c r="KK117" s="2"/>
      <c r="KL117" s="2"/>
      <c r="KM117" s="2"/>
      <c r="KN117" s="2"/>
      <c r="KO117" s="2"/>
      <c r="KP117" s="2"/>
      <c r="KQ117" s="2"/>
      <c r="KR117" s="2"/>
      <c r="KS117" s="2"/>
      <c r="KT117" s="2"/>
      <c r="KU117" s="2"/>
      <c r="KV117" s="2"/>
      <c r="KW117" s="2"/>
      <c r="KX117" s="2"/>
      <c r="KY117" s="2"/>
      <c r="KZ117" s="2"/>
      <c r="LA117" s="2"/>
      <c r="LB117" s="2"/>
      <c r="LC117" s="2"/>
      <c r="LD117" s="2"/>
      <c r="LE117" s="2"/>
      <c r="LF117" s="2"/>
      <c r="LG117" s="2"/>
      <c r="LH117" s="2"/>
      <c r="LI117" s="2"/>
      <c r="LJ117" s="2"/>
      <c r="LK117" s="2"/>
      <c r="LL117" s="2"/>
      <c r="LM117" s="2"/>
      <c r="LN117" s="2"/>
      <c r="LO117" s="2"/>
      <c r="LP117" s="2"/>
      <c r="LQ117" s="2"/>
      <c r="LR117" s="2"/>
      <c r="LS117" s="2"/>
      <c r="LT117" s="2"/>
      <c r="LU117" s="2"/>
      <c r="LV117" s="2"/>
      <c r="LW117" s="2"/>
      <c r="LX117" s="2"/>
      <c r="LY117" s="2"/>
      <c r="LZ117" s="2"/>
      <c r="MA117" s="2"/>
      <c r="MB117" s="2"/>
      <c r="MC117" s="2"/>
      <c r="MD117" s="2"/>
      <c r="ME117" s="2"/>
      <c r="MF117" s="2"/>
      <c r="MG117" s="2"/>
      <c r="MH117" s="2"/>
      <c r="MI117" s="2"/>
      <c r="MJ117" s="2"/>
      <c r="MK117" s="2"/>
      <c r="ML117" s="2"/>
      <c r="MM117" s="2"/>
      <c r="MN117" s="2"/>
      <c r="MO117" s="2"/>
      <c r="MP117" s="2"/>
      <c r="MQ117" s="2"/>
      <c r="MR117" s="2"/>
      <c r="MS117" s="2"/>
      <c r="MT117" s="2"/>
      <c r="MU117" s="2"/>
      <c r="MV117" s="2"/>
      <c r="MW117" s="2"/>
      <c r="MX117" s="2"/>
      <c r="MY117" s="2"/>
      <c r="MZ117" s="2"/>
      <c r="NA117" s="2"/>
      <c r="NB117" s="2"/>
      <c r="NC117" s="2"/>
      <c r="ND117" s="2"/>
      <c r="NE117" s="2"/>
      <c r="NF117" s="2"/>
      <c r="NG117" s="2"/>
      <c r="NH117" s="2"/>
      <c r="NI117" s="2"/>
      <c r="NJ117" s="2"/>
      <c r="NK117" s="2"/>
      <c r="NL117" s="2"/>
      <c r="NM117" s="2"/>
      <c r="NN117" s="2"/>
      <c r="NO117" s="2"/>
      <c r="NP117" s="2"/>
      <c r="NQ117" s="2"/>
      <c r="NR117" s="2"/>
      <c r="NS117" s="2"/>
      <c r="NT117" s="2"/>
      <c r="NU117" s="2"/>
      <c r="NV117" s="2"/>
      <c r="NW117" s="2"/>
      <c r="NX117" s="2"/>
      <c r="NY117" s="2"/>
      <c r="NZ117" s="2"/>
      <c r="OA117" s="2"/>
      <c r="OB117" s="2"/>
      <c r="OC117" s="2"/>
      <c r="OD117" s="2"/>
      <c r="OE117" s="2"/>
      <c r="OF117" s="2"/>
      <c r="OG117" s="2"/>
      <c r="OH117" s="2"/>
      <c r="OI117" s="2"/>
      <c r="OJ117" s="2"/>
      <c r="OK117" s="2"/>
      <c r="OL117" s="2"/>
      <c r="OM117" s="2"/>
      <c r="ON117" s="2"/>
      <c r="OO117" s="2"/>
      <c r="OP117" s="2"/>
      <c r="OQ117" s="2"/>
      <c r="OR117" s="2"/>
      <c r="OS117" s="2"/>
      <c r="OT117" s="2"/>
      <c r="OU117" s="2"/>
      <c r="OV117" s="2"/>
      <c r="OW117" s="2"/>
      <c r="OX117" s="2"/>
      <c r="OY117" s="2"/>
      <c r="OZ117" s="2"/>
      <c r="PA117" s="2"/>
      <c r="PB117" s="2"/>
      <c r="PC117" s="2"/>
      <c r="PD117" s="2"/>
      <c r="PE117" s="2"/>
      <c r="PF117" s="2"/>
      <c r="PG117" s="2"/>
      <c r="PH117" s="2"/>
      <c r="PI117" s="2"/>
      <c r="PJ117" s="2"/>
      <c r="PK117" s="2"/>
      <c r="PL117" s="2"/>
      <c r="PM117" s="2"/>
      <c r="PN117" s="2"/>
      <c r="PO117" s="2"/>
      <c r="PP117" s="2"/>
      <c r="PQ117" s="2"/>
      <c r="PR117" s="2"/>
      <c r="PS117" s="2"/>
      <c r="PT117" s="2"/>
      <c r="PU117" s="2"/>
      <c r="PV117" s="2"/>
      <c r="PW117" s="2"/>
      <c r="PX117" s="2"/>
      <c r="PY117" s="2"/>
      <c r="PZ117" s="2"/>
      <c r="QA117" s="2"/>
      <c r="QB117" s="2"/>
      <c r="QC117" s="2"/>
      <c r="QD117" s="2"/>
      <c r="QE117" s="2"/>
      <c r="QF117" s="2"/>
      <c r="QG117" s="2"/>
      <c r="QH117" s="2"/>
      <c r="QI117" s="2"/>
      <c r="QJ117" s="2"/>
      <c r="QK117" s="2"/>
      <c r="QL117" s="2"/>
      <c r="QM117" s="2"/>
      <c r="QN117" s="2"/>
      <c r="QO117" s="2"/>
      <c r="QP117" s="2"/>
      <c r="QQ117" s="2"/>
      <c r="QR117" s="2"/>
      <c r="QS117" s="2"/>
      <c r="QT117" s="2"/>
      <c r="QU117" s="2"/>
      <c r="QV117" s="2"/>
      <c r="QW117" s="2"/>
      <c r="QX117" s="2"/>
      <c r="QY117" s="2"/>
      <c r="QZ117" s="2"/>
      <c r="RA117" s="2"/>
      <c r="RB117" s="2"/>
      <c r="RC117" s="2"/>
      <c r="RD117" s="2"/>
      <c r="RE117" s="2"/>
      <c r="RF117" s="2"/>
      <c r="RG117" s="2"/>
      <c r="RH117" s="2"/>
      <c r="RI117" s="2"/>
      <c r="RJ117" s="2"/>
      <c r="RK117" s="2"/>
      <c r="RL117" s="2"/>
      <c r="RM117" s="2"/>
      <c r="RN117" s="2"/>
      <c r="RO117" s="2"/>
      <c r="RP117" s="2"/>
      <c r="RQ117" s="2"/>
      <c r="RR117" s="2"/>
      <c r="RS117" s="2"/>
      <c r="RT117" s="2"/>
      <c r="RU117" s="2"/>
      <c r="RV117" s="2"/>
      <c r="RW117" s="2"/>
      <c r="RX117" s="2"/>
      <c r="RY117" s="2"/>
      <c r="RZ117" s="2"/>
      <c r="SA117" s="2"/>
      <c r="SB117" s="2"/>
      <c r="SC117" s="2"/>
      <c r="SD117" s="2"/>
      <c r="SE117" s="2"/>
      <c r="SF117" s="2"/>
      <c r="SG117" s="2"/>
      <c r="SH117" s="2"/>
      <c r="SI117" s="2"/>
      <c r="SJ117" s="2"/>
      <c r="SK117" s="2"/>
      <c r="SL117" s="2"/>
      <c r="SM117" s="2"/>
      <c r="SN117" s="2"/>
      <c r="SO117" s="2"/>
      <c r="SP117" s="2"/>
      <c r="SQ117" s="2"/>
      <c r="SR117" s="2"/>
      <c r="SS117" s="2"/>
      <c r="ST117" s="2"/>
      <c r="SU117" s="2"/>
      <c r="SV117" s="2"/>
      <c r="SW117" s="2"/>
      <c r="SX117" s="2"/>
    </row>
    <row r="118" spans="33:518" x14ac:dyDescent="0.25"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  <c r="FK118" s="2"/>
      <c r="FL118" s="2"/>
      <c r="FM118" s="2"/>
      <c r="FN118" s="2"/>
      <c r="FO118" s="2"/>
      <c r="FP118" s="2"/>
      <c r="FQ118" s="2"/>
      <c r="FR118" s="2"/>
      <c r="FS118" s="2"/>
      <c r="FT118" s="2"/>
      <c r="FU118" s="2"/>
      <c r="FV118" s="2"/>
      <c r="FW118" s="2"/>
      <c r="FX118" s="2"/>
      <c r="FY118" s="2"/>
      <c r="FZ118" s="2"/>
      <c r="GA118" s="2"/>
      <c r="GB118" s="2"/>
      <c r="GC118" s="2"/>
      <c r="GD118" s="2"/>
      <c r="GE118" s="2"/>
      <c r="GF118" s="2"/>
      <c r="GG118" s="2"/>
      <c r="GH118" s="2"/>
      <c r="GI118" s="2"/>
      <c r="GJ118" s="2"/>
      <c r="GK118" s="2"/>
      <c r="GL118" s="2"/>
      <c r="GM118" s="2"/>
      <c r="GN118" s="2"/>
      <c r="GO118" s="2"/>
      <c r="GP118" s="2"/>
      <c r="GQ118" s="2"/>
      <c r="GR118" s="2"/>
      <c r="GS118" s="2"/>
      <c r="GT118" s="2"/>
      <c r="GU118" s="2"/>
      <c r="GV118" s="2"/>
      <c r="GW118" s="2"/>
      <c r="GX118" s="2"/>
      <c r="GY118" s="2"/>
      <c r="GZ118" s="2"/>
      <c r="HA118" s="2"/>
      <c r="HB118" s="2"/>
      <c r="HC118" s="2"/>
      <c r="HD118" s="2"/>
      <c r="HE118" s="2"/>
      <c r="HF118" s="2"/>
      <c r="HG118" s="2"/>
      <c r="HH118" s="2"/>
      <c r="HI118" s="2"/>
      <c r="HJ118" s="2"/>
      <c r="HK118" s="2"/>
      <c r="HL118" s="2"/>
      <c r="HM118" s="2"/>
      <c r="HN118" s="2"/>
      <c r="HO118" s="2"/>
      <c r="HP118" s="2"/>
      <c r="HQ118" s="2"/>
      <c r="HR118" s="2"/>
      <c r="HS118" s="2"/>
      <c r="HT118" s="2"/>
      <c r="HU118" s="2"/>
      <c r="HV118" s="2"/>
      <c r="HW118" s="2"/>
      <c r="HX118" s="2"/>
      <c r="HY118" s="2"/>
      <c r="HZ118" s="2"/>
      <c r="IA118" s="2"/>
      <c r="IB118" s="2"/>
      <c r="IC118" s="2"/>
      <c r="ID118" s="2"/>
      <c r="IE118" s="2"/>
      <c r="IF118" s="2"/>
      <c r="IG118" s="2"/>
      <c r="IH118" s="2"/>
      <c r="II118" s="2"/>
      <c r="IJ118" s="2"/>
      <c r="IK118" s="2"/>
      <c r="IL118" s="2"/>
      <c r="IM118" s="2"/>
      <c r="IN118" s="2"/>
      <c r="IO118" s="2"/>
      <c r="IP118" s="2"/>
      <c r="IQ118" s="2"/>
      <c r="IR118" s="2"/>
      <c r="IS118" s="2"/>
      <c r="IT118" s="2"/>
      <c r="IU118" s="2"/>
      <c r="IV118" s="2"/>
      <c r="IW118" s="2"/>
      <c r="IX118" s="2"/>
      <c r="IY118" s="2"/>
      <c r="IZ118" s="2"/>
      <c r="JA118" s="2"/>
      <c r="JB118" s="2"/>
      <c r="JC118" s="2"/>
      <c r="JD118" s="2"/>
      <c r="JE118" s="2"/>
      <c r="JF118" s="2"/>
      <c r="JG118" s="2"/>
      <c r="JH118" s="2"/>
      <c r="JI118" s="2"/>
      <c r="JJ118" s="2"/>
      <c r="JK118" s="2"/>
      <c r="JL118" s="2"/>
      <c r="JM118" s="2"/>
      <c r="JN118" s="2"/>
      <c r="JO118" s="2"/>
      <c r="JP118" s="2"/>
      <c r="JQ118" s="2"/>
      <c r="JR118" s="2"/>
      <c r="JS118" s="2"/>
      <c r="JT118" s="2"/>
      <c r="JU118" s="2"/>
      <c r="JV118" s="2"/>
      <c r="JW118" s="2"/>
      <c r="JX118" s="2"/>
      <c r="JY118" s="2"/>
      <c r="JZ118" s="2"/>
      <c r="KA118" s="2"/>
      <c r="KB118" s="2"/>
      <c r="KC118" s="2"/>
      <c r="KD118" s="2"/>
      <c r="KE118" s="2"/>
      <c r="KF118" s="2"/>
      <c r="KG118" s="2"/>
      <c r="KH118" s="2"/>
      <c r="KI118" s="2"/>
      <c r="KJ118" s="2"/>
      <c r="KK118" s="2"/>
      <c r="KL118" s="2"/>
      <c r="KM118" s="2"/>
      <c r="KN118" s="2"/>
      <c r="KO118" s="2"/>
      <c r="KP118" s="2"/>
      <c r="KQ118" s="2"/>
      <c r="KR118" s="2"/>
      <c r="KS118" s="2"/>
      <c r="KT118" s="2"/>
      <c r="KU118" s="2"/>
      <c r="KV118" s="2"/>
      <c r="KW118" s="2"/>
      <c r="KX118" s="2"/>
      <c r="KY118" s="2"/>
      <c r="KZ118" s="2"/>
      <c r="LA118" s="2"/>
      <c r="LB118" s="2"/>
      <c r="LC118" s="2"/>
      <c r="LD118" s="2"/>
      <c r="LE118" s="2"/>
      <c r="LF118" s="2"/>
      <c r="LG118" s="2"/>
      <c r="LH118" s="2"/>
      <c r="LI118" s="2"/>
      <c r="LJ118" s="2"/>
      <c r="LK118" s="2"/>
      <c r="LL118" s="2"/>
      <c r="LM118" s="2"/>
      <c r="LN118" s="2"/>
      <c r="LO118" s="2"/>
      <c r="LP118" s="2"/>
      <c r="LQ118" s="2"/>
      <c r="LR118" s="2"/>
      <c r="LS118" s="2"/>
      <c r="LT118" s="2"/>
      <c r="LU118" s="2"/>
      <c r="LV118" s="2"/>
      <c r="LW118" s="2"/>
      <c r="LX118" s="2"/>
      <c r="LY118" s="2"/>
      <c r="LZ118" s="2"/>
      <c r="MA118" s="2"/>
      <c r="MB118" s="2"/>
      <c r="MC118" s="2"/>
      <c r="MD118" s="2"/>
      <c r="ME118" s="2"/>
      <c r="MF118" s="2"/>
      <c r="MG118" s="2"/>
      <c r="MH118" s="2"/>
      <c r="MI118" s="2"/>
      <c r="MJ118" s="2"/>
      <c r="MK118" s="2"/>
      <c r="ML118" s="2"/>
      <c r="MM118" s="2"/>
      <c r="MN118" s="2"/>
      <c r="MO118" s="2"/>
      <c r="MP118" s="2"/>
      <c r="MQ118" s="2"/>
      <c r="MR118" s="2"/>
      <c r="MS118" s="2"/>
      <c r="MT118" s="2"/>
      <c r="MU118" s="2"/>
      <c r="MV118" s="2"/>
      <c r="MW118" s="2"/>
      <c r="MX118" s="2"/>
      <c r="MY118" s="2"/>
      <c r="MZ118" s="2"/>
      <c r="NA118" s="2"/>
      <c r="NB118" s="2"/>
      <c r="NC118" s="2"/>
      <c r="ND118" s="2"/>
      <c r="NE118" s="2"/>
      <c r="NF118" s="2"/>
      <c r="NG118" s="2"/>
      <c r="NH118" s="2"/>
      <c r="NI118" s="2"/>
      <c r="NJ118" s="2"/>
      <c r="NK118" s="2"/>
      <c r="NL118" s="2"/>
      <c r="NM118" s="2"/>
      <c r="NN118" s="2"/>
      <c r="NO118" s="2"/>
      <c r="NP118" s="2"/>
      <c r="NQ118" s="2"/>
      <c r="NR118" s="2"/>
      <c r="NS118" s="2"/>
      <c r="NT118" s="2"/>
      <c r="NU118" s="2"/>
      <c r="NV118" s="2"/>
      <c r="NW118" s="2"/>
      <c r="NX118" s="2"/>
      <c r="NY118" s="2"/>
      <c r="NZ118" s="2"/>
      <c r="OA118" s="2"/>
      <c r="OB118" s="2"/>
      <c r="OC118" s="2"/>
      <c r="OD118" s="2"/>
      <c r="OE118" s="2"/>
      <c r="OF118" s="2"/>
      <c r="OG118" s="2"/>
      <c r="OH118" s="2"/>
      <c r="OI118" s="2"/>
      <c r="OJ118" s="2"/>
      <c r="OK118" s="2"/>
      <c r="OL118" s="2"/>
      <c r="OM118" s="2"/>
      <c r="ON118" s="2"/>
      <c r="OO118" s="2"/>
      <c r="OP118" s="2"/>
      <c r="OQ118" s="2"/>
      <c r="OR118" s="2"/>
      <c r="OS118" s="2"/>
      <c r="OT118" s="2"/>
      <c r="OU118" s="2"/>
      <c r="OV118" s="2"/>
      <c r="OW118" s="2"/>
      <c r="OX118" s="2"/>
      <c r="OY118" s="2"/>
      <c r="OZ118" s="2"/>
      <c r="PA118" s="2"/>
      <c r="PB118" s="2"/>
      <c r="PC118" s="2"/>
      <c r="PD118" s="2"/>
      <c r="PE118" s="2"/>
      <c r="PF118" s="2"/>
      <c r="PG118" s="2"/>
      <c r="PH118" s="2"/>
      <c r="PI118" s="2"/>
      <c r="PJ118" s="2"/>
      <c r="PK118" s="2"/>
      <c r="PL118" s="2"/>
      <c r="PM118" s="2"/>
      <c r="PN118" s="2"/>
      <c r="PO118" s="2"/>
      <c r="PP118" s="2"/>
      <c r="PQ118" s="2"/>
      <c r="PR118" s="2"/>
      <c r="PS118" s="2"/>
      <c r="PT118" s="2"/>
      <c r="PU118" s="2"/>
      <c r="PV118" s="2"/>
      <c r="PW118" s="2"/>
      <c r="PX118" s="2"/>
      <c r="PY118" s="2"/>
      <c r="PZ118" s="2"/>
      <c r="QA118" s="2"/>
      <c r="QB118" s="2"/>
      <c r="QC118" s="2"/>
      <c r="QD118" s="2"/>
      <c r="QE118" s="2"/>
      <c r="QF118" s="2"/>
      <c r="QG118" s="2"/>
      <c r="QH118" s="2"/>
      <c r="QI118" s="2"/>
      <c r="QJ118" s="2"/>
      <c r="QK118" s="2"/>
      <c r="QL118" s="2"/>
      <c r="QM118" s="2"/>
      <c r="QN118" s="2"/>
      <c r="QO118" s="2"/>
      <c r="QP118" s="2"/>
      <c r="QQ118" s="2"/>
      <c r="QR118" s="2"/>
      <c r="QS118" s="2"/>
      <c r="QT118" s="2"/>
      <c r="QU118" s="2"/>
      <c r="QV118" s="2"/>
      <c r="QW118" s="2"/>
      <c r="QX118" s="2"/>
      <c r="QY118" s="2"/>
      <c r="QZ118" s="2"/>
      <c r="RA118" s="2"/>
      <c r="RB118" s="2"/>
      <c r="RC118" s="2"/>
      <c r="RD118" s="2"/>
      <c r="RE118" s="2"/>
      <c r="RF118" s="2"/>
      <c r="RG118" s="2"/>
      <c r="RH118" s="2"/>
      <c r="RI118" s="2"/>
      <c r="RJ118" s="2"/>
      <c r="RK118" s="2"/>
      <c r="RL118" s="2"/>
      <c r="RM118" s="2"/>
      <c r="RN118" s="2"/>
      <c r="RO118" s="2"/>
      <c r="RP118" s="2"/>
      <c r="RQ118" s="2"/>
      <c r="RR118" s="2"/>
      <c r="RS118" s="2"/>
      <c r="RT118" s="2"/>
      <c r="RU118" s="2"/>
      <c r="RV118" s="2"/>
      <c r="RW118" s="2"/>
      <c r="RX118" s="2"/>
      <c r="RY118" s="2"/>
      <c r="RZ118" s="2"/>
      <c r="SA118" s="2"/>
      <c r="SB118" s="2"/>
      <c r="SC118" s="2"/>
      <c r="SD118" s="2"/>
      <c r="SE118" s="2"/>
      <c r="SF118" s="2"/>
      <c r="SG118" s="2"/>
      <c r="SH118" s="2"/>
      <c r="SI118" s="2"/>
      <c r="SJ118" s="2"/>
      <c r="SK118" s="2"/>
      <c r="SL118" s="2"/>
      <c r="SM118" s="2"/>
      <c r="SN118" s="2"/>
      <c r="SO118" s="2"/>
      <c r="SP118" s="2"/>
      <c r="SQ118" s="2"/>
      <c r="SR118" s="2"/>
      <c r="SS118" s="2"/>
      <c r="ST118" s="2"/>
      <c r="SU118" s="2"/>
      <c r="SV118" s="2"/>
      <c r="SW118" s="2"/>
      <c r="SX118" s="2"/>
    </row>
    <row r="119" spans="33:518" x14ac:dyDescent="0.25"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  <c r="FK119" s="2"/>
      <c r="FL119" s="2"/>
      <c r="FM119" s="2"/>
      <c r="FN119" s="2"/>
      <c r="FO119" s="2"/>
      <c r="FP119" s="2"/>
      <c r="FQ119" s="2"/>
      <c r="FR119" s="2"/>
      <c r="FS119" s="2"/>
      <c r="FT119" s="2"/>
      <c r="FU119" s="2"/>
      <c r="FV119" s="2"/>
      <c r="FW119" s="2"/>
      <c r="FX119" s="2"/>
      <c r="FY119" s="2"/>
      <c r="FZ119" s="2"/>
      <c r="GA119" s="2"/>
      <c r="GB119" s="2"/>
      <c r="GC119" s="2"/>
      <c r="GD119" s="2"/>
      <c r="GE119" s="2"/>
      <c r="GF119" s="2"/>
      <c r="GG119" s="2"/>
      <c r="GH119" s="2"/>
      <c r="GI119" s="2"/>
      <c r="GJ119" s="2"/>
      <c r="GK119" s="2"/>
      <c r="GL119" s="2"/>
      <c r="GM119" s="2"/>
      <c r="GN119" s="2"/>
      <c r="GO119" s="2"/>
      <c r="GP119" s="2"/>
      <c r="GQ119" s="2"/>
      <c r="GR119" s="2"/>
      <c r="GS119" s="2"/>
      <c r="GT119" s="2"/>
      <c r="GU119" s="2"/>
      <c r="GV119" s="2"/>
      <c r="GW119" s="2"/>
      <c r="GX119" s="2"/>
      <c r="GY119" s="2"/>
      <c r="GZ119" s="2"/>
      <c r="HA119" s="2"/>
      <c r="HB119" s="2"/>
      <c r="HC119" s="2"/>
      <c r="HD119" s="2"/>
      <c r="HE119" s="2"/>
      <c r="HF119" s="2"/>
      <c r="HG119" s="2"/>
      <c r="HH119" s="2"/>
      <c r="HI119" s="2"/>
      <c r="HJ119" s="2"/>
      <c r="HK119" s="2"/>
      <c r="HL119" s="2"/>
      <c r="HM119" s="2"/>
      <c r="HN119" s="2"/>
      <c r="HO119" s="2"/>
      <c r="HP119" s="2"/>
      <c r="HQ119" s="2"/>
      <c r="HR119" s="2"/>
      <c r="HS119" s="2"/>
      <c r="HT119" s="2"/>
      <c r="HU119" s="2"/>
      <c r="HV119" s="2"/>
      <c r="HW119" s="2"/>
      <c r="HX119" s="2"/>
      <c r="HY119" s="2"/>
      <c r="HZ119" s="2"/>
      <c r="IA119" s="2"/>
      <c r="IB119" s="2"/>
      <c r="IC119" s="2"/>
      <c r="ID119" s="2"/>
      <c r="IE119" s="2"/>
      <c r="IF119" s="2"/>
      <c r="IG119" s="2"/>
      <c r="IH119" s="2"/>
      <c r="II119" s="2"/>
      <c r="IJ119" s="2"/>
      <c r="IK119" s="2"/>
      <c r="IL119" s="2"/>
      <c r="IM119" s="2"/>
      <c r="IN119" s="2"/>
      <c r="IO119" s="2"/>
      <c r="IP119" s="2"/>
      <c r="IQ119" s="2"/>
      <c r="IR119" s="2"/>
      <c r="IS119" s="2"/>
      <c r="IT119" s="2"/>
      <c r="IU119" s="2"/>
      <c r="IV119" s="2"/>
      <c r="IW119" s="2"/>
      <c r="IX119" s="2"/>
      <c r="IY119" s="2"/>
      <c r="IZ119" s="2"/>
      <c r="JA119" s="2"/>
      <c r="JB119" s="2"/>
      <c r="JC119" s="2"/>
      <c r="JD119" s="2"/>
      <c r="JE119" s="2"/>
      <c r="JF119" s="2"/>
      <c r="JG119" s="2"/>
      <c r="JH119" s="2"/>
      <c r="JI119" s="2"/>
      <c r="JJ119" s="2"/>
      <c r="JK119" s="2"/>
      <c r="JL119" s="2"/>
      <c r="JM119" s="2"/>
      <c r="JN119" s="2"/>
      <c r="JO119" s="2"/>
      <c r="JP119" s="2"/>
      <c r="JQ119" s="2"/>
      <c r="JR119" s="2"/>
      <c r="JS119" s="2"/>
      <c r="JT119" s="2"/>
      <c r="JU119" s="2"/>
      <c r="JV119" s="2"/>
      <c r="JW119" s="2"/>
      <c r="JX119" s="2"/>
      <c r="JY119" s="2"/>
      <c r="JZ119" s="2"/>
      <c r="KA119" s="2"/>
      <c r="KB119" s="2"/>
      <c r="KC119" s="2"/>
      <c r="KD119" s="2"/>
      <c r="KE119" s="2"/>
      <c r="KF119" s="2"/>
      <c r="KG119" s="2"/>
      <c r="KH119" s="2"/>
      <c r="KI119" s="2"/>
      <c r="KJ119" s="2"/>
      <c r="KK119" s="2"/>
      <c r="KL119" s="2"/>
      <c r="KM119" s="2"/>
      <c r="KN119" s="2"/>
      <c r="KO119" s="2"/>
      <c r="KP119" s="2"/>
      <c r="KQ119" s="2"/>
      <c r="KR119" s="2"/>
      <c r="KS119" s="2"/>
      <c r="KT119" s="2"/>
      <c r="KU119" s="2"/>
      <c r="KV119" s="2"/>
      <c r="KW119" s="2"/>
      <c r="KX119" s="2"/>
      <c r="KY119" s="2"/>
      <c r="KZ119" s="2"/>
      <c r="LA119" s="2"/>
      <c r="LB119" s="2"/>
      <c r="LC119" s="2"/>
      <c r="LD119" s="2"/>
      <c r="LE119" s="2"/>
      <c r="LF119" s="2"/>
      <c r="LG119" s="2"/>
      <c r="LH119" s="2"/>
      <c r="LI119" s="2"/>
      <c r="LJ119" s="2"/>
      <c r="LK119" s="2"/>
      <c r="LL119" s="2"/>
      <c r="LM119" s="2"/>
      <c r="LN119" s="2"/>
      <c r="LO119" s="2"/>
      <c r="LP119" s="2"/>
      <c r="LQ119" s="2"/>
      <c r="LR119" s="2"/>
      <c r="LS119" s="2"/>
      <c r="LT119" s="2"/>
      <c r="LU119" s="2"/>
      <c r="LV119" s="2"/>
      <c r="LW119" s="2"/>
      <c r="LX119" s="2"/>
      <c r="LY119" s="2"/>
      <c r="LZ119" s="2"/>
      <c r="MA119" s="2"/>
      <c r="MB119" s="2"/>
      <c r="MC119" s="2"/>
      <c r="MD119" s="2"/>
      <c r="ME119" s="2"/>
      <c r="MF119" s="2"/>
      <c r="MG119" s="2"/>
      <c r="MH119" s="2"/>
      <c r="MI119" s="2"/>
      <c r="MJ119" s="2"/>
      <c r="MK119" s="2"/>
      <c r="ML119" s="2"/>
      <c r="MM119" s="2"/>
      <c r="MN119" s="2"/>
      <c r="MO119" s="2"/>
      <c r="MP119" s="2"/>
      <c r="MQ119" s="2"/>
      <c r="MR119" s="2"/>
      <c r="MS119" s="2"/>
      <c r="MT119" s="2"/>
      <c r="MU119" s="2"/>
      <c r="MV119" s="2"/>
      <c r="MW119" s="2"/>
      <c r="MX119" s="2"/>
      <c r="MY119" s="2"/>
      <c r="MZ119" s="2"/>
      <c r="NA119" s="2"/>
      <c r="NB119" s="2"/>
      <c r="NC119" s="2"/>
      <c r="ND119" s="2"/>
      <c r="NE119" s="2"/>
      <c r="NF119" s="2"/>
      <c r="NG119" s="2"/>
      <c r="NH119" s="2"/>
      <c r="NI119" s="2"/>
      <c r="NJ119" s="2"/>
      <c r="NK119" s="2"/>
      <c r="NL119" s="2"/>
      <c r="NM119" s="2"/>
      <c r="NN119" s="2"/>
      <c r="NO119" s="2"/>
      <c r="NP119" s="2"/>
      <c r="NQ119" s="2"/>
      <c r="NR119" s="2"/>
      <c r="NS119" s="2"/>
      <c r="NT119" s="2"/>
      <c r="NU119" s="2"/>
      <c r="NV119" s="2"/>
      <c r="NW119" s="2"/>
      <c r="NX119" s="2"/>
      <c r="NY119" s="2"/>
      <c r="NZ119" s="2"/>
      <c r="OA119" s="2"/>
      <c r="OB119" s="2"/>
      <c r="OC119" s="2"/>
      <c r="OD119" s="2"/>
      <c r="OE119" s="2"/>
      <c r="OF119" s="2"/>
      <c r="OG119" s="2"/>
      <c r="OH119" s="2"/>
      <c r="OI119" s="2"/>
      <c r="OJ119" s="2"/>
      <c r="OK119" s="2"/>
      <c r="OL119" s="2"/>
      <c r="OM119" s="2"/>
      <c r="ON119" s="2"/>
      <c r="OO119" s="2"/>
      <c r="OP119" s="2"/>
      <c r="OQ119" s="2"/>
      <c r="OR119" s="2"/>
      <c r="OS119" s="2"/>
      <c r="OT119" s="2"/>
      <c r="OU119" s="2"/>
      <c r="OV119" s="2"/>
      <c r="OW119" s="2"/>
      <c r="OX119" s="2"/>
      <c r="OY119" s="2"/>
      <c r="OZ119" s="2"/>
      <c r="PA119" s="2"/>
      <c r="PB119" s="2"/>
      <c r="PC119" s="2"/>
      <c r="PD119" s="2"/>
      <c r="PE119" s="2"/>
      <c r="PF119" s="2"/>
      <c r="PG119" s="2"/>
      <c r="PH119" s="2"/>
      <c r="PI119" s="2"/>
      <c r="PJ119" s="2"/>
      <c r="PK119" s="2"/>
      <c r="PL119" s="2"/>
      <c r="PM119" s="2"/>
      <c r="PN119" s="2"/>
      <c r="PO119" s="2"/>
      <c r="PP119" s="2"/>
      <c r="PQ119" s="2"/>
      <c r="PR119" s="2"/>
      <c r="PS119" s="2"/>
      <c r="PT119" s="2"/>
      <c r="PU119" s="2"/>
      <c r="PV119" s="2"/>
      <c r="PW119" s="2"/>
      <c r="PX119" s="2"/>
      <c r="PY119" s="2"/>
      <c r="PZ119" s="2"/>
      <c r="QA119" s="2"/>
      <c r="QB119" s="2"/>
      <c r="QC119" s="2"/>
      <c r="QD119" s="2"/>
      <c r="QE119" s="2"/>
      <c r="QF119" s="2"/>
      <c r="QG119" s="2"/>
      <c r="QH119" s="2"/>
      <c r="QI119" s="2"/>
      <c r="QJ119" s="2"/>
      <c r="QK119" s="2"/>
      <c r="QL119" s="2"/>
      <c r="QM119" s="2"/>
      <c r="QN119" s="2"/>
      <c r="QO119" s="2"/>
      <c r="QP119" s="2"/>
      <c r="QQ119" s="2"/>
      <c r="QR119" s="2"/>
      <c r="QS119" s="2"/>
      <c r="QT119" s="2"/>
      <c r="QU119" s="2"/>
      <c r="QV119" s="2"/>
      <c r="QW119" s="2"/>
      <c r="QX119" s="2"/>
      <c r="QY119" s="2"/>
      <c r="QZ119" s="2"/>
      <c r="RA119" s="2"/>
      <c r="RB119" s="2"/>
      <c r="RC119" s="2"/>
      <c r="RD119" s="2"/>
      <c r="RE119" s="2"/>
      <c r="RF119" s="2"/>
      <c r="RG119" s="2"/>
      <c r="RH119" s="2"/>
      <c r="RI119" s="2"/>
      <c r="RJ119" s="2"/>
      <c r="RK119" s="2"/>
      <c r="RL119" s="2"/>
      <c r="RM119" s="2"/>
      <c r="RN119" s="2"/>
      <c r="RO119" s="2"/>
      <c r="RP119" s="2"/>
      <c r="RQ119" s="2"/>
      <c r="RR119" s="2"/>
      <c r="RS119" s="2"/>
      <c r="RT119" s="2"/>
      <c r="RU119" s="2"/>
      <c r="RV119" s="2"/>
      <c r="RW119" s="2"/>
      <c r="RX119" s="2"/>
      <c r="RY119" s="2"/>
      <c r="RZ119" s="2"/>
      <c r="SA119" s="2"/>
      <c r="SB119" s="2"/>
      <c r="SC119" s="2"/>
      <c r="SD119" s="2"/>
      <c r="SE119" s="2"/>
      <c r="SF119" s="2"/>
      <c r="SG119" s="2"/>
      <c r="SH119" s="2"/>
      <c r="SI119" s="2"/>
      <c r="SJ119" s="2"/>
      <c r="SK119" s="2"/>
      <c r="SL119" s="2"/>
      <c r="SM119" s="2"/>
      <c r="SN119" s="2"/>
      <c r="SO119" s="2"/>
      <c r="SP119" s="2"/>
      <c r="SQ119" s="2"/>
      <c r="SR119" s="2"/>
      <c r="SS119" s="2"/>
      <c r="ST119" s="2"/>
      <c r="SU119" s="2"/>
      <c r="SV119" s="2"/>
      <c r="SW119" s="2"/>
      <c r="SX119" s="2"/>
    </row>
    <row r="120" spans="33:518" x14ac:dyDescent="0.25"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  <c r="FK120" s="2"/>
      <c r="FL120" s="2"/>
      <c r="FM120" s="2"/>
      <c r="FN120" s="2"/>
      <c r="FO120" s="2"/>
      <c r="FP120" s="2"/>
      <c r="FQ120" s="2"/>
      <c r="FR120" s="2"/>
      <c r="FS120" s="2"/>
      <c r="FT120" s="2"/>
      <c r="FU120" s="2"/>
      <c r="FV120" s="2"/>
      <c r="FW120" s="2"/>
      <c r="FX120" s="2"/>
      <c r="FY120" s="2"/>
      <c r="FZ120" s="2"/>
      <c r="GA120" s="2"/>
      <c r="GB120" s="2"/>
      <c r="GC120" s="2"/>
      <c r="GD120" s="2"/>
      <c r="GE120" s="2"/>
      <c r="GF120" s="2"/>
      <c r="GG120" s="2"/>
      <c r="GH120" s="2"/>
      <c r="GI120" s="2"/>
      <c r="GJ120" s="2"/>
      <c r="GK120" s="2"/>
      <c r="GL120" s="2"/>
      <c r="GM120" s="2"/>
      <c r="GN120" s="2"/>
      <c r="GO120" s="2"/>
      <c r="GP120" s="2"/>
      <c r="GQ120" s="2"/>
      <c r="GR120" s="2"/>
      <c r="GS120" s="2"/>
      <c r="GT120" s="2"/>
      <c r="GU120" s="2"/>
      <c r="GV120" s="2"/>
      <c r="GW120" s="2"/>
      <c r="GX120" s="2"/>
      <c r="GY120" s="2"/>
      <c r="GZ120" s="2"/>
      <c r="HA120" s="2"/>
      <c r="HB120" s="2"/>
      <c r="HC120" s="2"/>
      <c r="HD120" s="2"/>
      <c r="HE120" s="2"/>
      <c r="HF120" s="2"/>
      <c r="HG120" s="2"/>
      <c r="HH120" s="2"/>
      <c r="HI120" s="2"/>
      <c r="HJ120" s="2"/>
      <c r="HK120" s="2"/>
      <c r="HL120" s="2"/>
      <c r="HM120" s="2"/>
      <c r="HN120" s="2"/>
      <c r="HO120" s="2"/>
      <c r="HP120" s="2"/>
      <c r="HQ120" s="2"/>
      <c r="HR120" s="2"/>
      <c r="HS120" s="2"/>
      <c r="HT120" s="2"/>
      <c r="HU120" s="2"/>
      <c r="HV120" s="2"/>
      <c r="HW120" s="2"/>
      <c r="HX120" s="2"/>
      <c r="HY120" s="2"/>
      <c r="HZ120" s="2"/>
      <c r="IA120" s="2"/>
      <c r="IB120" s="2"/>
      <c r="IC120" s="2"/>
      <c r="ID120" s="2"/>
      <c r="IE120" s="2"/>
      <c r="IF120" s="2"/>
      <c r="IG120" s="2"/>
      <c r="IH120" s="2"/>
      <c r="II120" s="2"/>
      <c r="IJ120" s="2"/>
      <c r="IK120" s="2"/>
      <c r="IL120" s="2"/>
      <c r="IM120" s="2"/>
      <c r="IN120" s="2"/>
      <c r="IO120" s="2"/>
      <c r="IP120" s="2"/>
      <c r="IQ120" s="2"/>
      <c r="IR120" s="2"/>
      <c r="IS120" s="2"/>
      <c r="IT120" s="2"/>
      <c r="IU120" s="2"/>
      <c r="IV120" s="2"/>
      <c r="IW120" s="2"/>
      <c r="IX120" s="2"/>
      <c r="IY120" s="2"/>
      <c r="IZ120" s="2"/>
      <c r="JA120" s="2"/>
      <c r="JB120" s="2"/>
      <c r="JC120" s="2"/>
      <c r="JD120" s="2"/>
      <c r="JE120" s="2"/>
      <c r="JF120" s="2"/>
      <c r="JG120" s="2"/>
      <c r="JH120" s="2"/>
      <c r="JI120" s="2"/>
      <c r="JJ120" s="2"/>
      <c r="JK120" s="2"/>
      <c r="JL120" s="2"/>
      <c r="JM120" s="2"/>
      <c r="JN120" s="2"/>
      <c r="JO120" s="2"/>
      <c r="JP120" s="2"/>
      <c r="JQ120" s="2"/>
      <c r="JR120" s="2"/>
      <c r="JS120" s="2"/>
      <c r="JT120" s="2"/>
      <c r="JU120" s="2"/>
      <c r="JV120" s="2"/>
      <c r="JW120" s="2"/>
      <c r="JX120" s="2"/>
      <c r="JY120" s="2"/>
      <c r="JZ120" s="2"/>
      <c r="KA120" s="2"/>
      <c r="KB120" s="2"/>
      <c r="KC120" s="2"/>
      <c r="KD120" s="2"/>
      <c r="KE120" s="2"/>
      <c r="KF120" s="2"/>
      <c r="KG120" s="2"/>
      <c r="KH120" s="2"/>
      <c r="KI120" s="2"/>
      <c r="KJ120" s="2"/>
      <c r="KK120" s="2"/>
      <c r="KL120" s="2"/>
      <c r="KM120" s="2"/>
      <c r="KN120" s="2"/>
      <c r="KO120" s="2"/>
      <c r="KP120" s="2"/>
      <c r="KQ120" s="2"/>
      <c r="KR120" s="2"/>
      <c r="KS120" s="2"/>
      <c r="KT120" s="2"/>
      <c r="KU120" s="2"/>
      <c r="KV120" s="2"/>
      <c r="KW120" s="2"/>
      <c r="KX120" s="2"/>
      <c r="KY120" s="2"/>
      <c r="KZ120" s="2"/>
      <c r="LA120" s="2"/>
      <c r="LB120" s="2"/>
      <c r="LC120" s="2"/>
      <c r="LD120" s="2"/>
      <c r="LE120" s="2"/>
      <c r="LF120" s="2"/>
      <c r="LG120" s="2"/>
      <c r="LH120" s="2"/>
      <c r="LI120" s="2"/>
      <c r="LJ120" s="2"/>
      <c r="LK120" s="2"/>
      <c r="LL120" s="2"/>
      <c r="LM120" s="2"/>
      <c r="LN120" s="2"/>
      <c r="LO120" s="2"/>
      <c r="LP120" s="2"/>
      <c r="LQ120" s="2"/>
      <c r="LR120" s="2"/>
      <c r="LS120" s="2"/>
      <c r="LT120" s="2"/>
      <c r="LU120" s="2"/>
      <c r="LV120" s="2"/>
      <c r="LW120" s="2"/>
      <c r="LX120" s="2"/>
      <c r="LY120" s="2"/>
      <c r="LZ120" s="2"/>
      <c r="MA120" s="2"/>
      <c r="MB120" s="2"/>
      <c r="MC120" s="2"/>
      <c r="MD120" s="2"/>
      <c r="ME120" s="2"/>
      <c r="MF120" s="2"/>
      <c r="MG120" s="2"/>
      <c r="MH120" s="2"/>
      <c r="MI120" s="2"/>
      <c r="MJ120" s="2"/>
      <c r="MK120" s="2"/>
      <c r="ML120" s="2"/>
      <c r="MM120" s="2"/>
      <c r="MN120" s="2"/>
      <c r="MO120" s="2"/>
      <c r="MP120" s="2"/>
      <c r="MQ120" s="2"/>
      <c r="MR120" s="2"/>
      <c r="MS120" s="2"/>
      <c r="MT120" s="2"/>
      <c r="MU120" s="2"/>
      <c r="MV120" s="2"/>
      <c r="MW120" s="2"/>
      <c r="MX120" s="2"/>
      <c r="MY120" s="2"/>
      <c r="MZ120" s="2"/>
      <c r="NA120" s="2"/>
      <c r="NB120" s="2"/>
      <c r="NC120" s="2"/>
      <c r="ND120" s="2"/>
      <c r="NE120" s="2"/>
      <c r="NF120" s="2"/>
      <c r="NG120" s="2"/>
      <c r="NH120" s="2"/>
      <c r="NI120" s="2"/>
      <c r="NJ120" s="2"/>
      <c r="NK120" s="2"/>
      <c r="NL120" s="2"/>
      <c r="NM120" s="2"/>
      <c r="NN120" s="2"/>
      <c r="NO120" s="2"/>
      <c r="NP120" s="2"/>
      <c r="NQ120" s="2"/>
      <c r="NR120" s="2"/>
      <c r="NS120" s="2"/>
      <c r="NT120" s="2"/>
      <c r="NU120" s="2"/>
      <c r="NV120" s="2"/>
      <c r="NW120" s="2"/>
      <c r="NX120" s="2"/>
      <c r="NY120" s="2"/>
      <c r="NZ120" s="2"/>
      <c r="OA120" s="2"/>
      <c r="OB120" s="2"/>
      <c r="OC120" s="2"/>
      <c r="OD120" s="2"/>
      <c r="OE120" s="2"/>
      <c r="OF120" s="2"/>
      <c r="OG120" s="2"/>
      <c r="OH120" s="2"/>
      <c r="OI120" s="2"/>
      <c r="OJ120" s="2"/>
      <c r="OK120" s="2"/>
      <c r="OL120" s="2"/>
      <c r="OM120" s="2"/>
      <c r="ON120" s="2"/>
      <c r="OO120" s="2"/>
      <c r="OP120" s="2"/>
      <c r="OQ120" s="2"/>
      <c r="OR120" s="2"/>
      <c r="OS120" s="2"/>
      <c r="OT120" s="2"/>
      <c r="OU120" s="2"/>
      <c r="OV120" s="2"/>
      <c r="OW120" s="2"/>
      <c r="OX120" s="2"/>
      <c r="OY120" s="2"/>
      <c r="OZ120" s="2"/>
      <c r="PA120" s="2"/>
      <c r="PB120" s="2"/>
      <c r="PC120" s="2"/>
      <c r="PD120" s="2"/>
      <c r="PE120" s="2"/>
      <c r="PF120" s="2"/>
      <c r="PG120" s="2"/>
      <c r="PH120" s="2"/>
      <c r="PI120" s="2"/>
      <c r="PJ120" s="2"/>
      <c r="PK120" s="2"/>
      <c r="PL120" s="2"/>
      <c r="PM120" s="2"/>
      <c r="PN120" s="2"/>
      <c r="PO120" s="2"/>
      <c r="PP120" s="2"/>
      <c r="PQ120" s="2"/>
      <c r="PR120" s="2"/>
      <c r="PS120" s="2"/>
      <c r="PT120" s="2"/>
      <c r="PU120" s="2"/>
      <c r="PV120" s="2"/>
      <c r="PW120" s="2"/>
      <c r="PX120" s="2"/>
      <c r="PY120" s="2"/>
      <c r="PZ120" s="2"/>
      <c r="QA120" s="2"/>
      <c r="QB120" s="2"/>
      <c r="QC120" s="2"/>
      <c r="QD120" s="2"/>
      <c r="QE120" s="2"/>
      <c r="QF120" s="2"/>
      <c r="QG120" s="2"/>
      <c r="QH120" s="2"/>
      <c r="QI120" s="2"/>
      <c r="QJ120" s="2"/>
      <c r="QK120" s="2"/>
      <c r="QL120" s="2"/>
      <c r="QM120" s="2"/>
      <c r="QN120" s="2"/>
      <c r="QO120" s="2"/>
      <c r="QP120" s="2"/>
      <c r="QQ120" s="2"/>
      <c r="QR120" s="2"/>
      <c r="QS120" s="2"/>
      <c r="QT120" s="2"/>
      <c r="QU120" s="2"/>
      <c r="QV120" s="2"/>
      <c r="QW120" s="2"/>
      <c r="QX120" s="2"/>
      <c r="QY120" s="2"/>
      <c r="QZ120" s="2"/>
      <c r="RA120" s="2"/>
      <c r="RB120" s="2"/>
      <c r="RC120" s="2"/>
      <c r="RD120" s="2"/>
      <c r="RE120" s="2"/>
      <c r="RF120" s="2"/>
      <c r="RG120" s="2"/>
      <c r="RH120" s="2"/>
      <c r="RI120" s="2"/>
      <c r="RJ120" s="2"/>
      <c r="RK120" s="2"/>
      <c r="RL120" s="2"/>
      <c r="RM120" s="2"/>
      <c r="RN120" s="2"/>
      <c r="RO120" s="2"/>
      <c r="RP120" s="2"/>
      <c r="RQ120" s="2"/>
      <c r="RR120" s="2"/>
      <c r="RS120" s="2"/>
      <c r="RT120" s="2"/>
      <c r="RU120" s="2"/>
      <c r="RV120" s="2"/>
      <c r="RW120" s="2"/>
      <c r="RX120" s="2"/>
      <c r="RY120" s="2"/>
      <c r="RZ120" s="2"/>
      <c r="SA120" s="2"/>
      <c r="SB120" s="2"/>
      <c r="SC120" s="2"/>
      <c r="SD120" s="2"/>
      <c r="SE120" s="2"/>
      <c r="SF120" s="2"/>
      <c r="SG120" s="2"/>
      <c r="SH120" s="2"/>
      <c r="SI120" s="2"/>
      <c r="SJ120" s="2"/>
      <c r="SK120" s="2"/>
      <c r="SL120" s="2"/>
      <c r="SM120" s="2"/>
      <c r="SN120" s="2"/>
      <c r="SO120" s="2"/>
      <c r="SP120" s="2"/>
      <c r="SQ120" s="2"/>
      <c r="SR120" s="2"/>
      <c r="SS120" s="2"/>
      <c r="ST120" s="2"/>
      <c r="SU120" s="2"/>
      <c r="SV120" s="2"/>
      <c r="SW120" s="2"/>
      <c r="SX120" s="2"/>
    </row>
    <row r="121" spans="33:518" x14ac:dyDescent="0.25"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  <c r="FK121" s="2"/>
      <c r="FL121" s="2"/>
      <c r="FM121" s="2"/>
      <c r="FN121" s="2"/>
      <c r="FO121" s="2"/>
      <c r="FP121" s="2"/>
      <c r="FQ121" s="2"/>
      <c r="FR121" s="2"/>
      <c r="FS121" s="2"/>
      <c r="FT121" s="2"/>
      <c r="FU121" s="2"/>
      <c r="FV121" s="2"/>
      <c r="FW121" s="2"/>
      <c r="FX121" s="2"/>
      <c r="FY121" s="2"/>
      <c r="FZ121" s="2"/>
      <c r="GA121" s="2"/>
      <c r="GB121" s="2"/>
      <c r="GC121" s="2"/>
      <c r="GD121" s="2"/>
      <c r="GE121" s="2"/>
      <c r="GF121" s="2"/>
      <c r="GG121" s="2"/>
      <c r="GH121" s="2"/>
      <c r="GI121" s="2"/>
      <c r="GJ121" s="2"/>
      <c r="GK121" s="2"/>
      <c r="GL121" s="2"/>
      <c r="GM121" s="2"/>
      <c r="GN121" s="2"/>
      <c r="GO121" s="2"/>
      <c r="GP121" s="2"/>
      <c r="GQ121" s="2"/>
      <c r="GR121" s="2"/>
      <c r="GS121" s="2"/>
      <c r="GT121" s="2"/>
      <c r="GU121" s="2"/>
      <c r="GV121" s="2"/>
      <c r="GW121" s="2"/>
      <c r="GX121" s="2"/>
      <c r="GY121" s="2"/>
      <c r="GZ121" s="2"/>
      <c r="HA121" s="2"/>
      <c r="HB121" s="2"/>
      <c r="HC121" s="2"/>
      <c r="HD121" s="2"/>
      <c r="HE121" s="2"/>
      <c r="HF121" s="2"/>
      <c r="HG121" s="2"/>
      <c r="HH121" s="2"/>
      <c r="HI121" s="2"/>
      <c r="HJ121" s="2"/>
      <c r="HK121" s="2"/>
      <c r="HL121" s="2"/>
      <c r="HM121" s="2"/>
      <c r="HN121" s="2"/>
      <c r="HO121" s="2"/>
      <c r="HP121" s="2"/>
      <c r="HQ121" s="2"/>
      <c r="HR121" s="2"/>
      <c r="HS121" s="2"/>
      <c r="HT121" s="2"/>
      <c r="HU121" s="2"/>
      <c r="HV121" s="2"/>
      <c r="HW121" s="2"/>
      <c r="HX121" s="2"/>
      <c r="HY121" s="2"/>
      <c r="HZ121" s="2"/>
      <c r="IA121" s="2"/>
      <c r="IB121" s="2"/>
      <c r="IC121" s="2"/>
      <c r="ID121" s="2"/>
      <c r="IE121" s="2"/>
      <c r="IF121" s="2"/>
      <c r="IG121" s="2"/>
      <c r="IH121" s="2"/>
      <c r="II121" s="2"/>
      <c r="IJ121" s="2"/>
      <c r="IK121" s="2"/>
      <c r="IL121" s="2"/>
      <c r="IM121" s="2"/>
      <c r="IN121" s="2"/>
      <c r="IO121" s="2"/>
      <c r="IP121" s="2"/>
      <c r="IQ121" s="2"/>
      <c r="IR121" s="2"/>
      <c r="IS121" s="2"/>
      <c r="IT121" s="2"/>
      <c r="IU121" s="2"/>
      <c r="IV121" s="2"/>
      <c r="IW121" s="2"/>
      <c r="IX121" s="2"/>
      <c r="IY121" s="2"/>
      <c r="IZ121" s="2"/>
      <c r="JA121" s="2"/>
      <c r="JB121" s="2"/>
      <c r="JC121" s="2"/>
      <c r="JD121" s="2"/>
      <c r="JE121" s="2"/>
      <c r="JF121" s="2"/>
      <c r="JG121" s="2"/>
      <c r="JH121" s="2"/>
      <c r="JI121" s="2"/>
      <c r="JJ121" s="2"/>
      <c r="JK121" s="2"/>
      <c r="JL121" s="2"/>
      <c r="JM121" s="2"/>
      <c r="JN121" s="2"/>
      <c r="JO121" s="2"/>
      <c r="JP121" s="2"/>
      <c r="JQ121" s="2"/>
      <c r="JR121" s="2"/>
      <c r="JS121" s="2"/>
      <c r="JT121" s="2"/>
      <c r="JU121" s="2"/>
      <c r="JV121" s="2"/>
      <c r="JW121" s="2"/>
      <c r="JX121" s="2"/>
      <c r="JY121" s="2"/>
      <c r="JZ121" s="2"/>
      <c r="KA121" s="2"/>
      <c r="KB121" s="2"/>
      <c r="KC121" s="2"/>
      <c r="KD121" s="2"/>
      <c r="KE121" s="2"/>
      <c r="KF121" s="2"/>
      <c r="KG121" s="2"/>
      <c r="KH121" s="2"/>
      <c r="KI121" s="2"/>
      <c r="KJ121" s="2"/>
      <c r="KK121" s="2"/>
      <c r="KL121" s="2"/>
      <c r="KM121" s="2"/>
      <c r="KN121" s="2"/>
      <c r="KO121" s="2"/>
      <c r="KP121" s="2"/>
      <c r="KQ121" s="2"/>
      <c r="KR121" s="2"/>
      <c r="KS121" s="2"/>
      <c r="KT121" s="2"/>
      <c r="KU121" s="2"/>
      <c r="KV121" s="2"/>
      <c r="KW121" s="2"/>
      <c r="KX121" s="2"/>
      <c r="KY121" s="2"/>
      <c r="KZ121" s="2"/>
      <c r="LA121" s="2"/>
      <c r="LB121" s="2"/>
      <c r="LC121" s="2"/>
      <c r="LD121" s="2"/>
      <c r="LE121" s="2"/>
      <c r="LF121" s="2"/>
      <c r="LG121" s="2"/>
      <c r="LH121" s="2"/>
      <c r="LI121" s="2"/>
      <c r="LJ121" s="2"/>
      <c r="LK121" s="2"/>
      <c r="LL121" s="2"/>
      <c r="LM121" s="2"/>
      <c r="LN121" s="2"/>
      <c r="LO121" s="2"/>
      <c r="LP121" s="2"/>
      <c r="LQ121" s="2"/>
      <c r="LR121" s="2"/>
      <c r="LS121" s="2"/>
      <c r="LT121" s="2"/>
      <c r="LU121" s="2"/>
      <c r="LV121" s="2"/>
      <c r="LW121" s="2"/>
      <c r="LX121" s="2"/>
      <c r="LY121" s="2"/>
      <c r="LZ121" s="2"/>
      <c r="MA121" s="2"/>
      <c r="MB121" s="2"/>
      <c r="MC121" s="2"/>
      <c r="MD121" s="2"/>
      <c r="ME121" s="2"/>
      <c r="MF121" s="2"/>
      <c r="MG121" s="2"/>
      <c r="MH121" s="2"/>
      <c r="MI121" s="2"/>
      <c r="MJ121" s="2"/>
      <c r="MK121" s="2"/>
      <c r="ML121" s="2"/>
      <c r="MM121" s="2"/>
      <c r="MN121" s="2"/>
      <c r="MO121" s="2"/>
      <c r="MP121" s="2"/>
      <c r="MQ121" s="2"/>
      <c r="MR121" s="2"/>
      <c r="MS121" s="2"/>
      <c r="MT121" s="2"/>
      <c r="MU121" s="2"/>
      <c r="MV121" s="2"/>
      <c r="MW121" s="2"/>
      <c r="MX121" s="2"/>
      <c r="MY121" s="2"/>
      <c r="MZ121" s="2"/>
      <c r="NA121" s="2"/>
      <c r="NB121" s="2"/>
      <c r="NC121" s="2"/>
      <c r="ND121" s="2"/>
      <c r="NE121" s="2"/>
      <c r="NF121" s="2"/>
      <c r="NG121" s="2"/>
      <c r="NH121" s="2"/>
      <c r="NI121" s="2"/>
      <c r="NJ121" s="2"/>
      <c r="NK121" s="2"/>
      <c r="NL121" s="2"/>
      <c r="NM121" s="2"/>
      <c r="NN121" s="2"/>
      <c r="NO121" s="2"/>
      <c r="NP121" s="2"/>
      <c r="NQ121" s="2"/>
      <c r="NR121" s="2"/>
      <c r="NS121" s="2"/>
      <c r="NT121" s="2"/>
      <c r="NU121" s="2"/>
      <c r="NV121" s="2"/>
      <c r="NW121" s="2"/>
      <c r="NX121" s="2"/>
      <c r="NY121" s="2"/>
      <c r="NZ121" s="2"/>
      <c r="OA121" s="2"/>
      <c r="OB121" s="2"/>
      <c r="OC121" s="2"/>
      <c r="OD121" s="2"/>
      <c r="OE121" s="2"/>
      <c r="OF121" s="2"/>
      <c r="OG121" s="2"/>
      <c r="OH121" s="2"/>
      <c r="OI121" s="2"/>
      <c r="OJ121" s="2"/>
      <c r="OK121" s="2"/>
      <c r="OL121" s="2"/>
      <c r="OM121" s="2"/>
      <c r="ON121" s="2"/>
      <c r="OO121" s="2"/>
      <c r="OP121" s="2"/>
      <c r="OQ121" s="2"/>
      <c r="OR121" s="2"/>
      <c r="OS121" s="2"/>
      <c r="OT121" s="2"/>
      <c r="OU121" s="2"/>
      <c r="OV121" s="2"/>
      <c r="OW121" s="2"/>
      <c r="OX121" s="2"/>
      <c r="OY121" s="2"/>
      <c r="OZ121" s="2"/>
      <c r="PA121" s="2"/>
      <c r="PB121" s="2"/>
      <c r="PC121" s="2"/>
      <c r="PD121" s="2"/>
      <c r="PE121" s="2"/>
      <c r="PF121" s="2"/>
      <c r="PG121" s="2"/>
      <c r="PH121" s="2"/>
      <c r="PI121" s="2"/>
      <c r="PJ121" s="2"/>
      <c r="PK121" s="2"/>
      <c r="PL121" s="2"/>
      <c r="PM121" s="2"/>
      <c r="PN121" s="2"/>
      <c r="PO121" s="2"/>
      <c r="PP121" s="2"/>
      <c r="PQ121" s="2"/>
      <c r="PR121" s="2"/>
      <c r="PS121" s="2"/>
      <c r="PT121" s="2"/>
      <c r="PU121" s="2"/>
      <c r="PV121" s="2"/>
      <c r="PW121" s="2"/>
      <c r="PX121" s="2"/>
      <c r="PY121" s="2"/>
      <c r="PZ121" s="2"/>
      <c r="QA121" s="2"/>
      <c r="QB121" s="2"/>
      <c r="QC121" s="2"/>
      <c r="QD121" s="2"/>
      <c r="QE121" s="2"/>
      <c r="QF121" s="2"/>
      <c r="QG121" s="2"/>
      <c r="QH121" s="2"/>
      <c r="QI121" s="2"/>
      <c r="QJ121" s="2"/>
      <c r="QK121" s="2"/>
      <c r="QL121" s="2"/>
      <c r="QM121" s="2"/>
      <c r="QN121" s="2"/>
      <c r="QO121" s="2"/>
      <c r="QP121" s="2"/>
      <c r="QQ121" s="2"/>
      <c r="QR121" s="2"/>
      <c r="QS121" s="2"/>
      <c r="QT121" s="2"/>
      <c r="QU121" s="2"/>
      <c r="QV121" s="2"/>
      <c r="QW121" s="2"/>
      <c r="QX121" s="2"/>
      <c r="QY121" s="2"/>
      <c r="QZ121" s="2"/>
      <c r="RA121" s="2"/>
      <c r="RB121" s="2"/>
      <c r="RC121" s="2"/>
      <c r="RD121" s="2"/>
      <c r="RE121" s="2"/>
      <c r="RF121" s="2"/>
      <c r="RG121" s="2"/>
      <c r="RH121" s="2"/>
      <c r="RI121" s="2"/>
      <c r="RJ121" s="2"/>
      <c r="RK121" s="2"/>
      <c r="RL121" s="2"/>
      <c r="RM121" s="2"/>
      <c r="RN121" s="2"/>
      <c r="RO121" s="2"/>
      <c r="RP121" s="2"/>
      <c r="RQ121" s="2"/>
      <c r="RR121" s="2"/>
      <c r="RS121" s="2"/>
      <c r="RT121" s="2"/>
      <c r="RU121" s="2"/>
      <c r="RV121" s="2"/>
      <c r="RW121" s="2"/>
      <c r="RX121" s="2"/>
      <c r="RY121" s="2"/>
      <c r="RZ121" s="2"/>
      <c r="SA121" s="2"/>
      <c r="SB121" s="2"/>
      <c r="SC121" s="2"/>
      <c r="SD121" s="2"/>
      <c r="SE121" s="2"/>
      <c r="SF121" s="2"/>
      <c r="SG121" s="2"/>
      <c r="SH121" s="2"/>
      <c r="SI121" s="2"/>
      <c r="SJ121" s="2"/>
      <c r="SK121" s="2"/>
      <c r="SL121" s="2"/>
      <c r="SM121" s="2"/>
      <c r="SN121" s="2"/>
      <c r="SO121" s="2"/>
      <c r="SP121" s="2"/>
      <c r="SQ121" s="2"/>
      <c r="SR121" s="2"/>
      <c r="SS121" s="2"/>
      <c r="ST121" s="2"/>
      <c r="SU121" s="2"/>
      <c r="SV121" s="2"/>
      <c r="SW121" s="2"/>
      <c r="SX121" s="2"/>
    </row>
    <row r="122" spans="33:518" x14ac:dyDescent="0.25"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  <c r="FK122" s="2"/>
      <c r="FL122" s="2"/>
      <c r="FM122" s="2"/>
      <c r="FN122" s="2"/>
      <c r="FO122" s="2"/>
      <c r="FP122" s="2"/>
      <c r="FQ122" s="2"/>
      <c r="FR122" s="2"/>
      <c r="FS122" s="2"/>
      <c r="FT122" s="2"/>
      <c r="FU122" s="2"/>
      <c r="FV122" s="2"/>
      <c r="FW122" s="2"/>
      <c r="FX122" s="2"/>
      <c r="FY122" s="2"/>
      <c r="FZ122" s="2"/>
      <c r="GA122" s="2"/>
      <c r="GB122" s="2"/>
      <c r="GC122" s="2"/>
      <c r="GD122" s="2"/>
      <c r="GE122" s="2"/>
      <c r="GF122" s="2"/>
      <c r="GG122" s="2"/>
      <c r="GH122" s="2"/>
      <c r="GI122" s="2"/>
      <c r="GJ122" s="2"/>
      <c r="GK122" s="2"/>
      <c r="GL122" s="2"/>
      <c r="GM122" s="2"/>
      <c r="GN122" s="2"/>
      <c r="GO122" s="2"/>
      <c r="GP122" s="2"/>
      <c r="GQ122" s="2"/>
      <c r="GR122" s="2"/>
      <c r="GS122" s="2"/>
      <c r="GT122" s="2"/>
      <c r="GU122" s="2"/>
      <c r="GV122" s="2"/>
      <c r="GW122" s="2"/>
      <c r="GX122" s="2"/>
      <c r="GY122" s="2"/>
      <c r="GZ122" s="2"/>
      <c r="HA122" s="2"/>
      <c r="HB122" s="2"/>
      <c r="HC122" s="2"/>
      <c r="HD122" s="2"/>
      <c r="HE122" s="2"/>
      <c r="HF122" s="2"/>
      <c r="HG122" s="2"/>
      <c r="HH122" s="2"/>
      <c r="HI122" s="2"/>
      <c r="HJ122" s="2"/>
      <c r="HK122" s="2"/>
      <c r="HL122" s="2"/>
      <c r="HM122" s="2"/>
      <c r="HN122" s="2"/>
      <c r="HO122" s="2"/>
      <c r="HP122" s="2"/>
      <c r="HQ122" s="2"/>
      <c r="HR122" s="2"/>
      <c r="HS122" s="2"/>
      <c r="HT122" s="2"/>
      <c r="HU122" s="2"/>
      <c r="HV122" s="2"/>
      <c r="HW122" s="2"/>
      <c r="HX122" s="2"/>
      <c r="HY122" s="2"/>
      <c r="HZ122" s="2"/>
      <c r="IA122" s="2"/>
      <c r="IB122" s="2"/>
      <c r="IC122" s="2"/>
      <c r="ID122" s="2"/>
      <c r="IE122" s="2"/>
      <c r="IF122" s="2"/>
      <c r="IG122" s="2"/>
      <c r="IH122" s="2"/>
      <c r="II122" s="2"/>
      <c r="IJ122" s="2"/>
      <c r="IK122" s="2"/>
      <c r="IL122" s="2"/>
      <c r="IM122" s="2"/>
      <c r="IN122" s="2"/>
      <c r="IO122" s="2"/>
      <c r="IP122" s="2"/>
      <c r="IQ122" s="2"/>
      <c r="IR122" s="2"/>
      <c r="IS122" s="2"/>
      <c r="IT122" s="2"/>
      <c r="IU122" s="2"/>
      <c r="IV122" s="2"/>
      <c r="IW122" s="2"/>
      <c r="IX122" s="2"/>
      <c r="IY122" s="2"/>
      <c r="IZ122" s="2"/>
      <c r="JA122" s="2"/>
      <c r="JB122" s="2"/>
      <c r="JC122" s="2"/>
      <c r="JD122" s="2"/>
      <c r="JE122" s="2"/>
      <c r="JF122" s="2"/>
      <c r="JG122" s="2"/>
      <c r="JH122" s="2"/>
      <c r="JI122" s="2"/>
      <c r="JJ122" s="2"/>
      <c r="JK122" s="2"/>
      <c r="JL122" s="2"/>
      <c r="JM122" s="2"/>
      <c r="JN122" s="2"/>
      <c r="JO122" s="2"/>
      <c r="JP122" s="2"/>
      <c r="JQ122" s="2"/>
      <c r="JR122" s="2"/>
      <c r="JS122" s="2"/>
      <c r="JT122" s="2"/>
      <c r="JU122" s="2"/>
      <c r="JV122" s="2"/>
      <c r="JW122" s="2"/>
      <c r="JX122" s="2"/>
      <c r="JY122" s="2"/>
      <c r="JZ122" s="2"/>
      <c r="KA122" s="2"/>
      <c r="KB122" s="2"/>
      <c r="KC122" s="2"/>
      <c r="KD122" s="2"/>
      <c r="KE122" s="2"/>
      <c r="KF122" s="2"/>
      <c r="KG122" s="2"/>
      <c r="KH122" s="2"/>
      <c r="KI122" s="2"/>
      <c r="KJ122" s="2"/>
      <c r="KK122" s="2"/>
      <c r="KL122" s="2"/>
      <c r="KM122" s="2"/>
      <c r="KN122" s="2"/>
      <c r="KO122" s="2"/>
      <c r="KP122" s="2"/>
      <c r="KQ122" s="2"/>
      <c r="KR122" s="2"/>
      <c r="KS122" s="2"/>
      <c r="KT122" s="2"/>
      <c r="KU122" s="2"/>
      <c r="KV122" s="2"/>
      <c r="KW122" s="2"/>
      <c r="KX122" s="2"/>
      <c r="KY122" s="2"/>
      <c r="KZ122" s="2"/>
      <c r="LA122" s="2"/>
      <c r="LB122" s="2"/>
      <c r="LC122" s="2"/>
      <c r="LD122" s="2"/>
      <c r="LE122" s="2"/>
      <c r="LF122" s="2"/>
      <c r="LG122" s="2"/>
      <c r="LH122" s="2"/>
      <c r="LI122" s="2"/>
      <c r="LJ122" s="2"/>
      <c r="LK122" s="2"/>
      <c r="LL122" s="2"/>
      <c r="LM122" s="2"/>
      <c r="LN122" s="2"/>
      <c r="LO122" s="2"/>
      <c r="LP122" s="2"/>
      <c r="LQ122" s="2"/>
      <c r="LR122" s="2"/>
      <c r="LS122" s="2"/>
      <c r="LT122" s="2"/>
      <c r="LU122" s="2"/>
      <c r="LV122" s="2"/>
      <c r="LW122" s="2"/>
      <c r="LX122" s="2"/>
      <c r="LY122" s="2"/>
      <c r="LZ122" s="2"/>
      <c r="MA122" s="2"/>
      <c r="MB122" s="2"/>
      <c r="MC122" s="2"/>
      <c r="MD122" s="2"/>
      <c r="ME122" s="2"/>
      <c r="MF122" s="2"/>
      <c r="MG122" s="2"/>
      <c r="MH122" s="2"/>
      <c r="MI122" s="2"/>
      <c r="MJ122" s="2"/>
      <c r="MK122" s="2"/>
      <c r="ML122" s="2"/>
      <c r="MM122" s="2"/>
      <c r="MN122" s="2"/>
      <c r="MO122" s="2"/>
      <c r="MP122" s="2"/>
      <c r="MQ122" s="2"/>
      <c r="MR122" s="2"/>
      <c r="MS122" s="2"/>
      <c r="MT122" s="2"/>
      <c r="MU122" s="2"/>
      <c r="MV122" s="2"/>
      <c r="MW122" s="2"/>
      <c r="MX122" s="2"/>
      <c r="MY122" s="2"/>
      <c r="MZ122" s="2"/>
      <c r="NA122" s="2"/>
      <c r="NB122" s="2"/>
      <c r="NC122" s="2"/>
      <c r="ND122" s="2"/>
      <c r="NE122" s="2"/>
      <c r="NF122" s="2"/>
      <c r="NG122" s="2"/>
      <c r="NH122" s="2"/>
      <c r="NI122" s="2"/>
      <c r="NJ122" s="2"/>
      <c r="NK122" s="2"/>
      <c r="NL122" s="2"/>
      <c r="NM122" s="2"/>
      <c r="NN122" s="2"/>
      <c r="NO122" s="2"/>
      <c r="NP122" s="2"/>
      <c r="NQ122" s="2"/>
      <c r="NR122" s="2"/>
      <c r="NS122" s="2"/>
      <c r="NT122" s="2"/>
      <c r="NU122" s="2"/>
      <c r="NV122" s="2"/>
      <c r="NW122" s="2"/>
      <c r="NX122" s="2"/>
      <c r="NY122" s="2"/>
      <c r="NZ122" s="2"/>
      <c r="OA122" s="2"/>
      <c r="OB122" s="2"/>
      <c r="OC122" s="2"/>
      <c r="OD122" s="2"/>
      <c r="OE122" s="2"/>
      <c r="OF122" s="2"/>
      <c r="OG122" s="2"/>
      <c r="OH122" s="2"/>
      <c r="OI122" s="2"/>
      <c r="OJ122" s="2"/>
      <c r="OK122" s="2"/>
      <c r="OL122" s="2"/>
      <c r="OM122" s="2"/>
      <c r="ON122" s="2"/>
      <c r="OO122" s="2"/>
      <c r="OP122" s="2"/>
      <c r="OQ122" s="2"/>
      <c r="OR122" s="2"/>
      <c r="OS122" s="2"/>
      <c r="OT122" s="2"/>
      <c r="OU122" s="2"/>
      <c r="OV122" s="2"/>
      <c r="OW122" s="2"/>
      <c r="OX122" s="2"/>
      <c r="OY122" s="2"/>
      <c r="OZ122" s="2"/>
      <c r="PA122" s="2"/>
      <c r="PB122" s="2"/>
      <c r="PC122" s="2"/>
      <c r="PD122" s="2"/>
      <c r="PE122" s="2"/>
      <c r="PF122" s="2"/>
      <c r="PG122" s="2"/>
      <c r="PH122" s="2"/>
      <c r="PI122" s="2"/>
      <c r="PJ122" s="2"/>
      <c r="PK122" s="2"/>
      <c r="PL122" s="2"/>
      <c r="PM122" s="2"/>
      <c r="PN122" s="2"/>
      <c r="PO122" s="2"/>
      <c r="PP122" s="2"/>
      <c r="PQ122" s="2"/>
      <c r="PR122" s="2"/>
      <c r="PS122" s="2"/>
      <c r="PT122" s="2"/>
      <c r="PU122" s="2"/>
      <c r="PV122" s="2"/>
      <c r="PW122" s="2"/>
      <c r="PX122" s="2"/>
      <c r="PY122" s="2"/>
      <c r="PZ122" s="2"/>
      <c r="QA122" s="2"/>
      <c r="QB122" s="2"/>
      <c r="QC122" s="2"/>
      <c r="QD122" s="2"/>
      <c r="QE122" s="2"/>
      <c r="QF122" s="2"/>
      <c r="QG122" s="2"/>
      <c r="QH122" s="2"/>
      <c r="QI122" s="2"/>
      <c r="QJ122" s="2"/>
      <c r="QK122" s="2"/>
      <c r="QL122" s="2"/>
      <c r="QM122" s="2"/>
      <c r="QN122" s="2"/>
      <c r="QO122" s="2"/>
      <c r="QP122" s="2"/>
      <c r="QQ122" s="2"/>
      <c r="QR122" s="2"/>
      <c r="QS122" s="2"/>
      <c r="QT122" s="2"/>
      <c r="QU122" s="2"/>
      <c r="QV122" s="2"/>
      <c r="QW122" s="2"/>
      <c r="QX122" s="2"/>
      <c r="QY122" s="2"/>
      <c r="QZ122" s="2"/>
      <c r="RA122" s="2"/>
      <c r="RB122" s="2"/>
      <c r="RC122" s="2"/>
      <c r="RD122" s="2"/>
      <c r="RE122" s="2"/>
      <c r="RF122" s="2"/>
      <c r="RG122" s="2"/>
      <c r="RH122" s="2"/>
      <c r="RI122" s="2"/>
      <c r="RJ122" s="2"/>
      <c r="RK122" s="2"/>
      <c r="RL122" s="2"/>
      <c r="RM122" s="2"/>
      <c r="RN122" s="2"/>
      <c r="RO122" s="2"/>
      <c r="RP122" s="2"/>
      <c r="RQ122" s="2"/>
      <c r="RR122" s="2"/>
      <c r="RS122" s="2"/>
      <c r="RT122" s="2"/>
      <c r="RU122" s="2"/>
      <c r="RV122" s="2"/>
      <c r="RW122" s="2"/>
      <c r="RX122" s="2"/>
      <c r="RY122" s="2"/>
      <c r="RZ122" s="2"/>
      <c r="SA122" s="2"/>
      <c r="SB122" s="2"/>
      <c r="SC122" s="2"/>
      <c r="SD122" s="2"/>
      <c r="SE122" s="2"/>
      <c r="SF122" s="2"/>
      <c r="SG122" s="2"/>
      <c r="SH122" s="2"/>
      <c r="SI122" s="2"/>
      <c r="SJ122" s="2"/>
      <c r="SK122" s="2"/>
      <c r="SL122" s="2"/>
      <c r="SM122" s="2"/>
      <c r="SN122" s="2"/>
      <c r="SO122" s="2"/>
      <c r="SP122" s="2"/>
      <c r="SQ122" s="2"/>
      <c r="SR122" s="2"/>
      <c r="SS122" s="2"/>
      <c r="ST122" s="2"/>
      <c r="SU122" s="2"/>
      <c r="SV122" s="2"/>
      <c r="SW122" s="2"/>
      <c r="SX122" s="2"/>
    </row>
    <row r="123" spans="33:518" x14ac:dyDescent="0.25"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  <c r="FK123" s="2"/>
      <c r="FL123" s="2"/>
      <c r="FM123" s="2"/>
      <c r="FN123" s="2"/>
      <c r="FO123" s="2"/>
      <c r="FP123" s="2"/>
      <c r="FQ123" s="2"/>
      <c r="FR123" s="2"/>
      <c r="FS123" s="2"/>
      <c r="FT123" s="2"/>
      <c r="FU123" s="2"/>
      <c r="FV123" s="2"/>
      <c r="FW123" s="2"/>
      <c r="FX123" s="2"/>
      <c r="FY123" s="2"/>
      <c r="FZ123" s="2"/>
      <c r="GA123" s="2"/>
      <c r="GB123" s="2"/>
      <c r="GC123" s="2"/>
      <c r="GD123" s="2"/>
      <c r="GE123" s="2"/>
      <c r="GF123" s="2"/>
      <c r="GG123" s="2"/>
      <c r="GH123" s="2"/>
      <c r="GI123" s="2"/>
      <c r="GJ123" s="2"/>
      <c r="GK123" s="2"/>
      <c r="GL123" s="2"/>
      <c r="GM123" s="2"/>
      <c r="GN123" s="2"/>
      <c r="GO123" s="2"/>
      <c r="GP123" s="2"/>
      <c r="GQ123" s="2"/>
      <c r="GR123" s="2"/>
      <c r="GS123" s="2"/>
      <c r="GT123" s="2"/>
      <c r="GU123" s="2"/>
      <c r="GV123" s="2"/>
      <c r="GW123" s="2"/>
      <c r="GX123" s="2"/>
      <c r="GY123" s="2"/>
      <c r="GZ123" s="2"/>
      <c r="HA123" s="2"/>
      <c r="HB123" s="2"/>
      <c r="HC123" s="2"/>
      <c r="HD123" s="2"/>
      <c r="HE123" s="2"/>
      <c r="HF123" s="2"/>
      <c r="HG123" s="2"/>
      <c r="HH123" s="2"/>
      <c r="HI123" s="2"/>
      <c r="HJ123" s="2"/>
      <c r="HK123" s="2"/>
      <c r="HL123" s="2"/>
      <c r="HM123" s="2"/>
      <c r="HN123" s="2"/>
      <c r="HO123" s="2"/>
      <c r="HP123" s="2"/>
      <c r="HQ123" s="2"/>
      <c r="HR123" s="2"/>
      <c r="HS123" s="2"/>
      <c r="HT123" s="2"/>
      <c r="HU123" s="2"/>
      <c r="HV123" s="2"/>
      <c r="HW123" s="2"/>
      <c r="HX123" s="2"/>
      <c r="HY123" s="2"/>
      <c r="HZ123" s="2"/>
      <c r="IA123" s="2"/>
      <c r="IB123" s="2"/>
      <c r="IC123" s="2"/>
      <c r="ID123" s="2"/>
      <c r="IE123" s="2"/>
      <c r="IF123" s="2"/>
      <c r="IG123" s="2"/>
      <c r="IH123" s="2"/>
      <c r="II123" s="2"/>
      <c r="IJ123" s="2"/>
      <c r="IK123" s="2"/>
      <c r="IL123" s="2"/>
      <c r="IM123" s="2"/>
      <c r="IN123" s="2"/>
      <c r="IO123" s="2"/>
      <c r="IP123" s="2"/>
      <c r="IQ123" s="2"/>
      <c r="IR123" s="2"/>
      <c r="IS123" s="2"/>
      <c r="IT123" s="2"/>
      <c r="IU123" s="2"/>
      <c r="IV123" s="2"/>
      <c r="IW123" s="2"/>
      <c r="IX123" s="2"/>
      <c r="IY123" s="2"/>
      <c r="IZ123" s="2"/>
      <c r="JA123" s="2"/>
      <c r="JB123" s="2"/>
      <c r="JC123" s="2"/>
      <c r="JD123" s="2"/>
      <c r="JE123" s="2"/>
      <c r="JF123" s="2"/>
      <c r="JG123" s="2"/>
      <c r="JH123" s="2"/>
      <c r="JI123" s="2"/>
      <c r="JJ123" s="2"/>
      <c r="JK123" s="2"/>
      <c r="JL123" s="2"/>
      <c r="JM123" s="2"/>
      <c r="JN123" s="2"/>
      <c r="JO123" s="2"/>
      <c r="JP123" s="2"/>
      <c r="JQ123" s="2"/>
      <c r="JR123" s="2"/>
      <c r="JS123" s="2"/>
      <c r="JT123" s="2"/>
      <c r="JU123" s="2"/>
      <c r="JV123" s="2"/>
      <c r="JW123" s="2"/>
      <c r="JX123" s="2"/>
      <c r="JY123" s="2"/>
      <c r="JZ123" s="2"/>
      <c r="KA123" s="2"/>
      <c r="KB123" s="2"/>
      <c r="KC123" s="2"/>
      <c r="KD123" s="2"/>
      <c r="KE123" s="2"/>
      <c r="KF123" s="2"/>
      <c r="KG123" s="2"/>
      <c r="KH123" s="2"/>
      <c r="KI123" s="2"/>
      <c r="KJ123" s="2"/>
      <c r="KK123" s="2"/>
      <c r="KL123" s="2"/>
      <c r="KM123" s="2"/>
      <c r="KN123" s="2"/>
      <c r="KO123" s="2"/>
      <c r="KP123" s="2"/>
      <c r="KQ123" s="2"/>
      <c r="KR123" s="2"/>
      <c r="KS123" s="2"/>
      <c r="KT123" s="2"/>
      <c r="KU123" s="2"/>
      <c r="KV123" s="2"/>
      <c r="KW123" s="2"/>
      <c r="KX123" s="2"/>
      <c r="KY123" s="2"/>
      <c r="KZ123" s="2"/>
      <c r="LA123" s="2"/>
      <c r="LB123" s="2"/>
      <c r="LC123" s="2"/>
      <c r="LD123" s="2"/>
      <c r="LE123" s="2"/>
      <c r="LF123" s="2"/>
      <c r="LG123" s="2"/>
      <c r="LH123" s="2"/>
      <c r="LI123" s="2"/>
      <c r="LJ123" s="2"/>
      <c r="LK123" s="2"/>
      <c r="LL123" s="2"/>
      <c r="LM123" s="2"/>
      <c r="LN123" s="2"/>
      <c r="LO123" s="2"/>
      <c r="LP123" s="2"/>
      <c r="LQ123" s="2"/>
      <c r="LR123" s="2"/>
      <c r="LS123" s="2"/>
      <c r="LT123" s="2"/>
      <c r="LU123" s="2"/>
      <c r="LV123" s="2"/>
      <c r="LW123" s="2"/>
      <c r="LX123" s="2"/>
      <c r="LY123" s="2"/>
      <c r="LZ123" s="2"/>
      <c r="MA123" s="2"/>
      <c r="MB123" s="2"/>
      <c r="MC123" s="2"/>
      <c r="MD123" s="2"/>
      <c r="ME123" s="2"/>
      <c r="MF123" s="2"/>
      <c r="MG123" s="2"/>
      <c r="MH123" s="2"/>
      <c r="MI123" s="2"/>
      <c r="MJ123" s="2"/>
      <c r="MK123" s="2"/>
      <c r="ML123" s="2"/>
      <c r="MM123" s="2"/>
      <c r="MN123" s="2"/>
      <c r="MO123" s="2"/>
      <c r="MP123" s="2"/>
      <c r="MQ123" s="2"/>
      <c r="MR123" s="2"/>
      <c r="MS123" s="2"/>
      <c r="MT123" s="2"/>
      <c r="MU123" s="2"/>
      <c r="MV123" s="2"/>
      <c r="MW123" s="2"/>
      <c r="MX123" s="2"/>
      <c r="MY123" s="2"/>
      <c r="MZ123" s="2"/>
      <c r="NA123" s="2"/>
      <c r="NB123" s="2"/>
      <c r="NC123" s="2"/>
      <c r="ND123" s="2"/>
      <c r="NE123" s="2"/>
      <c r="NF123" s="2"/>
      <c r="NG123" s="2"/>
      <c r="NH123" s="2"/>
      <c r="NI123" s="2"/>
      <c r="NJ123" s="2"/>
      <c r="NK123" s="2"/>
      <c r="NL123" s="2"/>
      <c r="NM123" s="2"/>
      <c r="NN123" s="2"/>
      <c r="NO123" s="2"/>
      <c r="NP123" s="2"/>
      <c r="NQ123" s="2"/>
      <c r="NR123" s="2"/>
      <c r="NS123" s="2"/>
      <c r="NT123" s="2"/>
      <c r="NU123" s="2"/>
      <c r="NV123" s="2"/>
      <c r="NW123" s="2"/>
      <c r="NX123" s="2"/>
      <c r="NY123" s="2"/>
      <c r="NZ123" s="2"/>
      <c r="OA123" s="2"/>
      <c r="OB123" s="2"/>
      <c r="OC123" s="2"/>
      <c r="OD123" s="2"/>
      <c r="OE123" s="2"/>
      <c r="OF123" s="2"/>
      <c r="OG123" s="2"/>
      <c r="OH123" s="2"/>
      <c r="OI123" s="2"/>
      <c r="OJ123" s="2"/>
      <c r="OK123" s="2"/>
      <c r="OL123" s="2"/>
      <c r="OM123" s="2"/>
      <c r="ON123" s="2"/>
      <c r="OO123" s="2"/>
      <c r="OP123" s="2"/>
      <c r="OQ123" s="2"/>
      <c r="OR123" s="2"/>
      <c r="OS123" s="2"/>
      <c r="OT123" s="2"/>
      <c r="OU123" s="2"/>
      <c r="OV123" s="2"/>
      <c r="OW123" s="2"/>
      <c r="OX123" s="2"/>
      <c r="OY123" s="2"/>
      <c r="OZ123" s="2"/>
      <c r="PA123" s="2"/>
      <c r="PB123" s="2"/>
      <c r="PC123" s="2"/>
      <c r="PD123" s="2"/>
      <c r="PE123" s="2"/>
      <c r="PF123" s="2"/>
      <c r="PG123" s="2"/>
      <c r="PH123" s="2"/>
      <c r="PI123" s="2"/>
      <c r="PJ123" s="2"/>
      <c r="PK123" s="2"/>
      <c r="PL123" s="2"/>
      <c r="PM123" s="2"/>
      <c r="PN123" s="2"/>
      <c r="PO123" s="2"/>
      <c r="PP123" s="2"/>
      <c r="PQ123" s="2"/>
      <c r="PR123" s="2"/>
      <c r="PS123" s="2"/>
      <c r="PT123" s="2"/>
      <c r="PU123" s="2"/>
      <c r="PV123" s="2"/>
      <c r="PW123" s="2"/>
      <c r="PX123" s="2"/>
      <c r="PY123" s="2"/>
      <c r="PZ123" s="2"/>
      <c r="QA123" s="2"/>
      <c r="QB123" s="2"/>
      <c r="QC123" s="2"/>
      <c r="QD123" s="2"/>
      <c r="QE123" s="2"/>
      <c r="QF123" s="2"/>
      <c r="QG123" s="2"/>
      <c r="QH123" s="2"/>
      <c r="QI123" s="2"/>
      <c r="QJ123" s="2"/>
      <c r="QK123" s="2"/>
      <c r="QL123" s="2"/>
      <c r="QM123" s="2"/>
      <c r="QN123" s="2"/>
      <c r="QO123" s="2"/>
      <c r="QP123" s="2"/>
      <c r="QQ123" s="2"/>
      <c r="QR123" s="2"/>
      <c r="QS123" s="2"/>
      <c r="QT123" s="2"/>
      <c r="QU123" s="2"/>
      <c r="QV123" s="2"/>
      <c r="QW123" s="2"/>
      <c r="QX123" s="2"/>
      <c r="QY123" s="2"/>
      <c r="QZ123" s="2"/>
      <c r="RA123" s="2"/>
      <c r="RB123" s="2"/>
      <c r="RC123" s="2"/>
      <c r="RD123" s="2"/>
      <c r="RE123" s="2"/>
      <c r="RF123" s="2"/>
      <c r="RG123" s="2"/>
      <c r="RH123" s="2"/>
      <c r="RI123" s="2"/>
      <c r="RJ123" s="2"/>
      <c r="RK123" s="2"/>
      <c r="RL123" s="2"/>
      <c r="RM123" s="2"/>
      <c r="RN123" s="2"/>
      <c r="RO123" s="2"/>
      <c r="RP123" s="2"/>
      <c r="RQ123" s="2"/>
      <c r="RR123" s="2"/>
      <c r="RS123" s="2"/>
      <c r="RT123" s="2"/>
      <c r="RU123" s="2"/>
      <c r="RV123" s="2"/>
      <c r="RW123" s="2"/>
      <c r="RX123" s="2"/>
      <c r="RY123" s="2"/>
      <c r="RZ123" s="2"/>
      <c r="SA123" s="2"/>
      <c r="SB123" s="2"/>
      <c r="SC123" s="2"/>
      <c r="SD123" s="2"/>
      <c r="SE123" s="2"/>
      <c r="SF123" s="2"/>
      <c r="SG123" s="2"/>
      <c r="SH123" s="2"/>
      <c r="SI123" s="2"/>
      <c r="SJ123" s="2"/>
      <c r="SK123" s="2"/>
      <c r="SL123" s="2"/>
      <c r="SM123" s="2"/>
      <c r="SN123" s="2"/>
      <c r="SO123" s="2"/>
      <c r="SP123" s="2"/>
      <c r="SQ123" s="2"/>
      <c r="SR123" s="2"/>
      <c r="SS123" s="2"/>
      <c r="ST123" s="2"/>
      <c r="SU123" s="2"/>
      <c r="SV123" s="2"/>
      <c r="SW123" s="2"/>
      <c r="SX123" s="2"/>
    </row>
    <row r="124" spans="33:518" x14ac:dyDescent="0.25"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  <c r="FK124" s="2"/>
      <c r="FL124" s="2"/>
      <c r="FM124" s="2"/>
      <c r="FN124" s="2"/>
      <c r="FO124" s="2"/>
      <c r="FP124" s="2"/>
      <c r="FQ124" s="2"/>
      <c r="FR124" s="2"/>
      <c r="FS124" s="2"/>
      <c r="FT124" s="2"/>
      <c r="FU124" s="2"/>
      <c r="FV124" s="2"/>
      <c r="FW124" s="2"/>
      <c r="FX124" s="2"/>
      <c r="FY124" s="2"/>
      <c r="FZ124" s="2"/>
      <c r="GA124" s="2"/>
      <c r="GB124" s="2"/>
      <c r="GC124" s="2"/>
      <c r="GD124" s="2"/>
      <c r="GE124" s="2"/>
      <c r="GF124" s="2"/>
      <c r="GG124" s="2"/>
      <c r="GH124" s="2"/>
      <c r="GI124" s="2"/>
      <c r="GJ124" s="2"/>
      <c r="GK124" s="2"/>
      <c r="GL124" s="2"/>
      <c r="GM124" s="2"/>
      <c r="GN124" s="2"/>
      <c r="GO124" s="2"/>
      <c r="GP124" s="2"/>
      <c r="GQ124" s="2"/>
      <c r="GR124" s="2"/>
      <c r="GS124" s="2"/>
      <c r="GT124" s="2"/>
      <c r="GU124" s="2"/>
      <c r="GV124" s="2"/>
      <c r="GW124" s="2"/>
      <c r="GX124" s="2"/>
      <c r="GY124" s="2"/>
      <c r="GZ124" s="2"/>
      <c r="HA124" s="2"/>
      <c r="HB124" s="2"/>
      <c r="HC124" s="2"/>
      <c r="HD124" s="2"/>
      <c r="HE124" s="2"/>
      <c r="HF124" s="2"/>
      <c r="HG124" s="2"/>
      <c r="HH124" s="2"/>
      <c r="HI124" s="2"/>
      <c r="HJ124" s="2"/>
      <c r="HK124" s="2"/>
      <c r="HL124" s="2"/>
      <c r="HM124" s="2"/>
      <c r="HN124" s="2"/>
      <c r="HO124" s="2"/>
      <c r="HP124" s="2"/>
      <c r="HQ124" s="2"/>
      <c r="HR124" s="2"/>
      <c r="HS124" s="2"/>
      <c r="HT124" s="2"/>
      <c r="HU124" s="2"/>
      <c r="HV124" s="2"/>
      <c r="HW124" s="2"/>
      <c r="HX124" s="2"/>
      <c r="HY124" s="2"/>
      <c r="HZ124" s="2"/>
      <c r="IA124" s="2"/>
      <c r="IB124" s="2"/>
      <c r="IC124" s="2"/>
      <c r="ID124" s="2"/>
      <c r="IE124" s="2"/>
      <c r="IF124" s="2"/>
      <c r="IG124" s="2"/>
      <c r="IH124" s="2"/>
      <c r="II124" s="2"/>
      <c r="IJ124" s="2"/>
      <c r="IK124" s="2"/>
      <c r="IL124" s="2"/>
      <c r="IM124" s="2"/>
      <c r="IN124" s="2"/>
      <c r="IO124" s="2"/>
      <c r="IP124" s="2"/>
      <c r="IQ124" s="2"/>
      <c r="IR124" s="2"/>
      <c r="IS124" s="2"/>
      <c r="IT124" s="2"/>
      <c r="IU124" s="2"/>
      <c r="IV124" s="2"/>
      <c r="IW124" s="2"/>
      <c r="IX124" s="2"/>
      <c r="IY124" s="2"/>
      <c r="IZ124" s="2"/>
      <c r="JA124" s="2"/>
      <c r="JB124" s="2"/>
      <c r="JC124" s="2"/>
      <c r="JD124" s="2"/>
      <c r="JE124" s="2"/>
      <c r="JF124" s="2"/>
      <c r="JG124" s="2"/>
      <c r="JH124" s="2"/>
      <c r="JI124" s="2"/>
      <c r="JJ124" s="2"/>
      <c r="JK124" s="2"/>
      <c r="JL124" s="2"/>
      <c r="JM124" s="2"/>
      <c r="JN124" s="2"/>
      <c r="JO124" s="2"/>
      <c r="JP124" s="2"/>
      <c r="JQ124" s="2"/>
      <c r="JR124" s="2"/>
      <c r="JS124" s="2"/>
      <c r="JT124" s="2"/>
      <c r="JU124" s="2"/>
      <c r="JV124" s="2"/>
      <c r="JW124" s="2"/>
      <c r="JX124" s="2"/>
      <c r="JY124" s="2"/>
      <c r="JZ124" s="2"/>
      <c r="KA124" s="2"/>
      <c r="KB124" s="2"/>
      <c r="KC124" s="2"/>
      <c r="KD124" s="2"/>
      <c r="KE124" s="2"/>
      <c r="KF124" s="2"/>
      <c r="KG124" s="2"/>
      <c r="KH124" s="2"/>
      <c r="KI124" s="2"/>
      <c r="KJ124" s="2"/>
      <c r="KK124" s="2"/>
      <c r="KL124" s="2"/>
      <c r="KM124" s="2"/>
      <c r="KN124" s="2"/>
      <c r="KO124" s="2"/>
      <c r="KP124" s="2"/>
      <c r="KQ124" s="2"/>
      <c r="KR124" s="2"/>
      <c r="KS124" s="2"/>
      <c r="KT124" s="2"/>
      <c r="KU124" s="2"/>
      <c r="KV124" s="2"/>
      <c r="KW124" s="2"/>
      <c r="KX124" s="2"/>
      <c r="KY124" s="2"/>
      <c r="KZ124" s="2"/>
      <c r="LA124" s="2"/>
      <c r="LB124" s="2"/>
      <c r="LC124" s="2"/>
      <c r="LD124" s="2"/>
      <c r="LE124" s="2"/>
      <c r="LF124" s="2"/>
      <c r="LG124" s="2"/>
      <c r="LH124" s="2"/>
      <c r="LI124" s="2"/>
      <c r="LJ124" s="2"/>
      <c r="LK124" s="2"/>
      <c r="LL124" s="2"/>
      <c r="LM124" s="2"/>
      <c r="LN124" s="2"/>
      <c r="LO124" s="2"/>
      <c r="LP124" s="2"/>
      <c r="LQ124" s="2"/>
      <c r="LR124" s="2"/>
      <c r="LS124" s="2"/>
      <c r="LT124" s="2"/>
      <c r="LU124" s="2"/>
      <c r="LV124" s="2"/>
      <c r="LW124" s="2"/>
      <c r="LX124" s="2"/>
      <c r="LY124" s="2"/>
      <c r="LZ124" s="2"/>
      <c r="MA124" s="2"/>
      <c r="MB124" s="2"/>
      <c r="MC124" s="2"/>
      <c r="MD124" s="2"/>
      <c r="ME124" s="2"/>
      <c r="MF124" s="2"/>
      <c r="MG124" s="2"/>
      <c r="MH124" s="2"/>
      <c r="MI124" s="2"/>
      <c r="MJ124" s="2"/>
      <c r="MK124" s="2"/>
      <c r="ML124" s="2"/>
      <c r="MM124" s="2"/>
      <c r="MN124" s="2"/>
      <c r="MO124" s="2"/>
      <c r="MP124" s="2"/>
      <c r="MQ124" s="2"/>
      <c r="MR124" s="2"/>
      <c r="MS124" s="2"/>
      <c r="MT124" s="2"/>
      <c r="MU124" s="2"/>
      <c r="MV124" s="2"/>
      <c r="MW124" s="2"/>
      <c r="MX124" s="2"/>
      <c r="MY124" s="2"/>
      <c r="MZ124" s="2"/>
      <c r="NA124" s="2"/>
      <c r="NB124" s="2"/>
      <c r="NC124" s="2"/>
      <c r="ND124" s="2"/>
      <c r="NE124" s="2"/>
      <c r="NF124" s="2"/>
      <c r="NG124" s="2"/>
      <c r="NH124" s="2"/>
      <c r="NI124" s="2"/>
      <c r="NJ124" s="2"/>
      <c r="NK124" s="2"/>
      <c r="NL124" s="2"/>
      <c r="NM124" s="2"/>
      <c r="NN124" s="2"/>
      <c r="NO124" s="2"/>
      <c r="NP124" s="2"/>
      <c r="NQ124" s="2"/>
      <c r="NR124" s="2"/>
      <c r="NS124" s="2"/>
      <c r="NT124" s="2"/>
      <c r="NU124" s="2"/>
      <c r="NV124" s="2"/>
      <c r="NW124" s="2"/>
      <c r="NX124" s="2"/>
      <c r="NY124" s="2"/>
      <c r="NZ124" s="2"/>
      <c r="OA124" s="2"/>
      <c r="OB124" s="2"/>
      <c r="OC124" s="2"/>
      <c r="OD124" s="2"/>
      <c r="OE124" s="2"/>
      <c r="OF124" s="2"/>
      <c r="OG124" s="2"/>
      <c r="OH124" s="2"/>
      <c r="OI124" s="2"/>
      <c r="OJ124" s="2"/>
      <c r="OK124" s="2"/>
      <c r="OL124" s="2"/>
      <c r="OM124" s="2"/>
      <c r="ON124" s="2"/>
      <c r="OO124" s="2"/>
      <c r="OP124" s="2"/>
      <c r="OQ124" s="2"/>
      <c r="OR124" s="2"/>
      <c r="OS124" s="2"/>
      <c r="OT124" s="2"/>
      <c r="OU124" s="2"/>
      <c r="OV124" s="2"/>
      <c r="OW124" s="2"/>
      <c r="OX124" s="2"/>
      <c r="OY124" s="2"/>
      <c r="OZ124" s="2"/>
      <c r="PA124" s="2"/>
      <c r="PB124" s="2"/>
      <c r="PC124" s="2"/>
      <c r="PD124" s="2"/>
      <c r="PE124" s="2"/>
      <c r="PF124" s="2"/>
      <c r="PG124" s="2"/>
      <c r="PH124" s="2"/>
      <c r="PI124" s="2"/>
      <c r="PJ124" s="2"/>
      <c r="PK124" s="2"/>
      <c r="PL124" s="2"/>
      <c r="PM124" s="2"/>
      <c r="PN124" s="2"/>
      <c r="PO124" s="2"/>
      <c r="PP124" s="2"/>
      <c r="PQ124" s="2"/>
      <c r="PR124" s="2"/>
      <c r="PS124" s="2"/>
      <c r="PT124" s="2"/>
      <c r="PU124" s="2"/>
      <c r="PV124" s="2"/>
      <c r="PW124" s="2"/>
      <c r="PX124" s="2"/>
      <c r="PY124" s="2"/>
      <c r="PZ124" s="2"/>
      <c r="QA124" s="2"/>
      <c r="QB124" s="2"/>
      <c r="QC124" s="2"/>
      <c r="QD124" s="2"/>
      <c r="QE124" s="2"/>
      <c r="QF124" s="2"/>
      <c r="QG124" s="2"/>
      <c r="QH124" s="2"/>
      <c r="QI124" s="2"/>
      <c r="QJ124" s="2"/>
      <c r="QK124" s="2"/>
      <c r="QL124" s="2"/>
      <c r="QM124" s="2"/>
      <c r="QN124" s="2"/>
      <c r="QO124" s="2"/>
      <c r="QP124" s="2"/>
      <c r="QQ124" s="2"/>
      <c r="QR124" s="2"/>
      <c r="QS124" s="2"/>
      <c r="QT124" s="2"/>
      <c r="QU124" s="2"/>
      <c r="QV124" s="2"/>
      <c r="QW124" s="2"/>
      <c r="QX124" s="2"/>
      <c r="QY124" s="2"/>
      <c r="QZ124" s="2"/>
      <c r="RA124" s="2"/>
      <c r="RB124" s="2"/>
      <c r="RC124" s="2"/>
      <c r="RD124" s="2"/>
      <c r="RE124" s="2"/>
      <c r="RF124" s="2"/>
      <c r="RG124" s="2"/>
      <c r="RH124" s="2"/>
      <c r="RI124" s="2"/>
      <c r="RJ124" s="2"/>
      <c r="RK124" s="2"/>
      <c r="RL124" s="2"/>
      <c r="RM124" s="2"/>
      <c r="RN124" s="2"/>
      <c r="RO124" s="2"/>
      <c r="RP124" s="2"/>
      <c r="RQ124" s="2"/>
      <c r="RR124" s="2"/>
      <c r="RS124" s="2"/>
      <c r="RT124" s="2"/>
      <c r="RU124" s="2"/>
      <c r="RV124" s="2"/>
      <c r="RW124" s="2"/>
      <c r="RX124" s="2"/>
      <c r="RY124" s="2"/>
      <c r="RZ124" s="2"/>
      <c r="SA124" s="2"/>
      <c r="SB124" s="2"/>
      <c r="SC124" s="2"/>
      <c r="SD124" s="2"/>
      <c r="SE124" s="2"/>
      <c r="SF124" s="2"/>
      <c r="SG124" s="2"/>
      <c r="SH124" s="2"/>
      <c r="SI124" s="2"/>
      <c r="SJ124" s="2"/>
      <c r="SK124" s="2"/>
      <c r="SL124" s="2"/>
      <c r="SM124" s="2"/>
      <c r="SN124" s="2"/>
      <c r="SO124" s="2"/>
      <c r="SP124" s="2"/>
      <c r="SQ124" s="2"/>
      <c r="SR124" s="2"/>
      <c r="SS124" s="2"/>
      <c r="ST124" s="2"/>
      <c r="SU124" s="2"/>
      <c r="SV124" s="2"/>
      <c r="SW124" s="2"/>
      <c r="SX124" s="2"/>
    </row>
    <row r="125" spans="33:518" x14ac:dyDescent="0.25"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  <c r="FK125" s="2"/>
      <c r="FL125" s="2"/>
      <c r="FM125" s="2"/>
      <c r="FN125" s="2"/>
      <c r="FO125" s="2"/>
      <c r="FP125" s="2"/>
      <c r="FQ125" s="2"/>
      <c r="FR125" s="2"/>
      <c r="FS125" s="2"/>
      <c r="FT125" s="2"/>
      <c r="FU125" s="2"/>
      <c r="FV125" s="2"/>
      <c r="FW125" s="2"/>
      <c r="FX125" s="2"/>
      <c r="FY125" s="2"/>
      <c r="FZ125" s="2"/>
      <c r="GA125" s="2"/>
      <c r="GB125" s="2"/>
      <c r="GC125" s="2"/>
      <c r="GD125" s="2"/>
      <c r="GE125" s="2"/>
      <c r="GF125" s="2"/>
      <c r="GG125" s="2"/>
      <c r="GH125" s="2"/>
      <c r="GI125" s="2"/>
      <c r="GJ125" s="2"/>
      <c r="GK125" s="2"/>
      <c r="GL125" s="2"/>
      <c r="GM125" s="2"/>
      <c r="GN125" s="2"/>
      <c r="GO125" s="2"/>
      <c r="GP125" s="2"/>
      <c r="GQ125" s="2"/>
      <c r="GR125" s="2"/>
      <c r="GS125" s="2"/>
      <c r="GT125" s="2"/>
      <c r="GU125" s="2"/>
      <c r="GV125" s="2"/>
      <c r="GW125" s="2"/>
      <c r="GX125" s="2"/>
      <c r="GY125" s="2"/>
      <c r="GZ125" s="2"/>
      <c r="HA125" s="2"/>
      <c r="HB125" s="2"/>
      <c r="HC125" s="2"/>
      <c r="HD125" s="2"/>
      <c r="HE125" s="2"/>
      <c r="HF125" s="2"/>
      <c r="HG125" s="2"/>
      <c r="HH125" s="2"/>
      <c r="HI125" s="2"/>
      <c r="HJ125" s="2"/>
      <c r="HK125" s="2"/>
      <c r="HL125" s="2"/>
      <c r="HM125" s="2"/>
      <c r="HN125" s="2"/>
      <c r="HO125" s="2"/>
      <c r="HP125" s="2"/>
      <c r="HQ125" s="2"/>
      <c r="HR125" s="2"/>
      <c r="HS125" s="2"/>
      <c r="HT125" s="2"/>
      <c r="HU125" s="2"/>
      <c r="HV125" s="2"/>
      <c r="HW125" s="2"/>
      <c r="HX125" s="2"/>
      <c r="HY125" s="2"/>
      <c r="HZ125" s="2"/>
      <c r="IA125" s="2"/>
      <c r="IB125" s="2"/>
      <c r="IC125" s="2"/>
      <c r="ID125" s="2"/>
      <c r="IE125" s="2"/>
      <c r="IF125" s="2"/>
      <c r="IG125" s="2"/>
      <c r="IH125" s="2"/>
      <c r="II125" s="2"/>
      <c r="IJ125" s="2"/>
      <c r="IK125" s="2"/>
      <c r="IL125" s="2"/>
      <c r="IM125" s="2"/>
      <c r="IN125" s="2"/>
      <c r="IO125" s="2"/>
      <c r="IP125" s="2"/>
      <c r="IQ125" s="2"/>
      <c r="IR125" s="2"/>
      <c r="IS125" s="2"/>
      <c r="IT125" s="2"/>
      <c r="IU125" s="2"/>
      <c r="IV125" s="2"/>
      <c r="IW125" s="2"/>
      <c r="IX125" s="2"/>
      <c r="IY125" s="2"/>
      <c r="IZ125" s="2"/>
      <c r="JA125" s="2"/>
      <c r="JB125" s="2"/>
      <c r="JC125" s="2"/>
      <c r="JD125" s="2"/>
      <c r="JE125" s="2"/>
      <c r="JF125" s="2"/>
      <c r="JG125" s="2"/>
      <c r="JH125" s="2"/>
      <c r="JI125" s="2"/>
      <c r="JJ125" s="2"/>
      <c r="JK125" s="2"/>
      <c r="JL125" s="2"/>
      <c r="JM125" s="2"/>
      <c r="JN125" s="2"/>
      <c r="JO125" s="2"/>
      <c r="JP125" s="2"/>
      <c r="JQ125" s="2"/>
      <c r="JR125" s="2"/>
      <c r="JS125" s="2"/>
      <c r="JT125" s="2"/>
      <c r="JU125" s="2"/>
      <c r="JV125" s="2"/>
      <c r="JW125" s="2"/>
      <c r="JX125" s="2"/>
      <c r="JY125" s="2"/>
      <c r="JZ125" s="2"/>
      <c r="KA125" s="2"/>
      <c r="KB125" s="2"/>
      <c r="KC125" s="2"/>
      <c r="KD125" s="2"/>
      <c r="KE125" s="2"/>
      <c r="KF125" s="2"/>
      <c r="KG125" s="2"/>
      <c r="KH125" s="2"/>
      <c r="KI125" s="2"/>
      <c r="KJ125" s="2"/>
      <c r="KK125" s="2"/>
      <c r="KL125" s="2"/>
      <c r="KM125" s="2"/>
      <c r="KN125" s="2"/>
      <c r="KO125" s="2"/>
      <c r="KP125" s="2"/>
      <c r="KQ125" s="2"/>
      <c r="KR125" s="2"/>
      <c r="KS125" s="2"/>
      <c r="KT125" s="2"/>
      <c r="KU125" s="2"/>
      <c r="KV125" s="2"/>
      <c r="KW125" s="2"/>
      <c r="KX125" s="2"/>
      <c r="KY125" s="2"/>
      <c r="KZ125" s="2"/>
      <c r="LA125" s="2"/>
      <c r="LB125" s="2"/>
      <c r="LC125" s="2"/>
      <c r="LD125" s="2"/>
      <c r="LE125" s="2"/>
      <c r="LF125" s="2"/>
      <c r="LG125" s="2"/>
      <c r="LH125" s="2"/>
      <c r="LI125" s="2"/>
      <c r="LJ125" s="2"/>
      <c r="LK125" s="2"/>
      <c r="LL125" s="2"/>
      <c r="LM125" s="2"/>
      <c r="LN125" s="2"/>
      <c r="LO125" s="2"/>
      <c r="LP125" s="2"/>
      <c r="LQ125" s="2"/>
      <c r="LR125" s="2"/>
      <c r="LS125" s="2"/>
      <c r="LT125" s="2"/>
      <c r="LU125" s="2"/>
      <c r="LV125" s="2"/>
      <c r="LW125" s="2"/>
      <c r="LX125" s="2"/>
      <c r="LY125" s="2"/>
      <c r="LZ125" s="2"/>
      <c r="MA125" s="2"/>
      <c r="MB125" s="2"/>
      <c r="MC125" s="2"/>
      <c r="MD125" s="2"/>
      <c r="ME125" s="2"/>
      <c r="MF125" s="2"/>
      <c r="MG125" s="2"/>
      <c r="MH125" s="2"/>
      <c r="MI125" s="2"/>
      <c r="MJ125" s="2"/>
      <c r="MK125" s="2"/>
      <c r="ML125" s="2"/>
      <c r="MM125" s="2"/>
      <c r="MN125" s="2"/>
      <c r="MO125" s="2"/>
      <c r="MP125" s="2"/>
      <c r="MQ125" s="2"/>
      <c r="MR125" s="2"/>
      <c r="MS125" s="2"/>
      <c r="MT125" s="2"/>
      <c r="MU125" s="2"/>
      <c r="MV125" s="2"/>
      <c r="MW125" s="2"/>
      <c r="MX125" s="2"/>
      <c r="MY125" s="2"/>
      <c r="MZ125" s="2"/>
      <c r="NA125" s="2"/>
      <c r="NB125" s="2"/>
      <c r="NC125" s="2"/>
      <c r="ND125" s="2"/>
      <c r="NE125" s="2"/>
      <c r="NF125" s="2"/>
      <c r="NG125" s="2"/>
      <c r="NH125" s="2"/>
      <c r="NI125" s="2"/>
      <c r="NJ125" s="2"/>
      <c r="NK125" s="2"/>
      <c r="NL125" s="2"/>
      <c r="NM125" s="2"/>
      <c r="NN125" s="2"/>
      <c r="NO125" s="2"/>
      <c r="NP125" s="2"/>
      <c r="NQ125" s="2"/>
      <c r="NR125" s="2"/>
      <c r="NS125" s="2"/>
      <c r="NT125" s="2"/>
      <c r="NU125" s="2"/>
      <c r="NV125" s="2"/>
      <c r="NW125" s="2"/>
      <c r="NX125" s="2"/>
      <c r="NY125" s="2"/>
      <c r="NZ125" s="2"/>
      <c r="OA125" s="2"/>
      <c r="OB125" s="2"/>
      <c r="OC125" s="2"/>
      <c r="OD125" s="2"/>
      <c r="OE125" s="2"/>
      <c r="OF125" s="2"/>
      <c r="OG125" s="2"/>
      <c r="OH125" s="2"/>
      <c r="OI125" s="2"/>
      <c r="OJ125" s="2"/>
      <c r="OK125" s="2"/>
      <c r="OL125" s="2"/>
      <c r="OM125" s="2"/>
      <c r="ON125" s="2"/>
      <c r="OO125" s="2"/>
      <c r="OP125" s="2"/>
      <c r="OQ125" s="2"/>
      <c r="OR125" s="2"/>
      <c r="OS125" s="2"/>
      <c r="OT125" s="2"/>
      <c r="OU125" s="2"/>
      <c r="OV125" s="2"/>
      <c r="OW125" s="2"/>
      <c r="OX125" s="2"/>
      <c r="OY125" s="2"/>
      <c r="OZ125" s="2"/>
      <c r="PA125" s="2"/>
      <c r="PB125" s="2"/>
      <c r="PC125" s="2"/>
      <c r="PD125" s="2"/>
      <c r="PE125" s="2"/>
      <c r="PF125" s="2"/>
      <c r="PG125" s="2"/>
      <c r="PH125" s="2"/>
      <c r="PI125" s="2"/>
      <c r="PJ125" s="2"/>
      <c r="PK125" s="2"/>
      <c r="PL125" s="2"/>
      <c r="PM125" s="2"/>
      <c r="PN125" s="2"/>
      <c r="PO125" s="2"/>
      <c r="PP125" s="2"/>
      <c r="PQ125" s="2"/>
      <c r="PR125" s="2"/>
      <c r="PS125" s="2"/>
      <c r="PT125" s="2"/>
      <c r="PU125" s="2"/>
      <c r="PV125" s="2"/>
      <c r="PW125" s="2"/>
      <c r="PX125" s="2"/>
      <c r="PY125" s="2"/>
      <c r="PZ125" s="2"/>
      <c r="QA125" s="2"/>
      <c r="QB125" s="2"/>
      <c r="QC125" s="2"/>
      <c r="QD125" s="2"/>
      <c r="QE125" s="2"/>
      <c r="QF125" s="2"/>
      <c r="QG125" s="2"/>
      <c r="QH125" s="2"/>
      <c r="QI125" s="2"/>
      <c r="QJ125" s="2"/>
      <c r="QK125" s="2"/>
      <c r="QL125" s="2"/>
      <c r="QM125" s="2"/>
      <c r="QN125" s="2"/>
      <c r="QO125" s="2"/>
      <c r="QP125" s="2"/>
      <c r="QQ125" s="2"/>
      <c r="QR125" s="2"/>
      <c r="QS125" s="2"/>
      <c r="QT125" s="2"/>
      <c r="QU125" s="2"/>
      <c r="QV125" s="2"/>
      <c r="QW125" s="2"/>
      <c r="QX125" s="2"/>
      <c r="QY125" s="2"/>
      <c r="QZ125" s="2"/>
      <c r="RA125" s="2"/>
      <c r="RB125" s="2"/>
      <c r="RC125" s="2"/>
      <c r="RD125" s="2"/>
      <c r="RE125" s="2"/>
      <c r="RF125" s="2"/>
      <c r="RG125" s="2"/>
      <c r="RH125" s="2"/>
      <c r="RI125" s="2"/>
      <c r="RJ125" s="2"/>
      <c r="RK125" s="2"/>
      <c r="RL125" s="2"/>
      <c r="RM125" s="2"/>
      <c r="RN125" s="2"/>
      <c r="RO125" s="2"/>
      <c r="RP125" s="2"/>
      <c r="RQ125" s="2"/>
      <c r="RR125" s="2"/>
      <c r="RS125" s="2"/>
      <c r="RT125" s="2"/>
      <c r="RU125" s="2"/>
      <c r="RV125" s="2"/>
      <c r="RW125" s="2"/>
      <c r="RX125" s="2"/>
      <c r="RY125" s="2"/>
      <c r="RZ125" s="2"/>
      <c r="SA125" s="2"/>
      <c r="SB125" s="2"/>
      <c r="SC125" s="2"/>
      <c r="SD125" s="2"/>
      <c r="SE125" s="2"/>
      <c r="SF125" s="2"/>
      <c r="SG125" s="2"/>
      <c r="SH125" s="2"/>
      <c r="SI125" s="2"/>
      <c r="SJ125" s="2"/>
      <c r="SK125" s="2"/>
      <c r="SL125" s="2"/>
      <c r="SM125" s="2"/>
      <c r="SN125" s="2"/>
      <c r="SO125" s="2"/>
      <c r="SP125" s="2"/>
      <c r="SQ125" s="2"/>
      <c r="SR125" s="2"/>
      <c r="SS125" s="2"/>
      <c r="ST125" s="2"/>
      <c r="SU125" s="2"/>
      <c r="SV125" s="2"/>
      <c r="SW125" s="2"/>
      <c r="SX125" s="2"/>
    </row>
    <row r="126" spans="33:518" x14ac:dyDescent="0.25"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  <c r="FK126" s="2"/>
      <c r="FL126" s="2"/>
      <c r="FM126" s="2"/>
      <c r="FN126" s="2"/>
      <c r="FO126" s="2"/>
      <c r="FP126" s="2"/>
      <c r="FQ126" s="2"/>
      <c r="FR126" s="2"/>
      <c r="FS126" s="2"/>
      <c r="FT126" s="2"/>
      <c r="FU126" s="2"/>
      <c r="FV126" s="2"/>
      <c r="FW126" s="2"/>
      <c r="FX126" s="2"/>
      <c r="FY126" s="2"/>
      <c r="FZ126" s="2"/>
      <c r="GA126" s="2"/>
      <c r="GB126" s="2"/>
      <c r="GC126" s="2"/>
      <c r="GD126" s="2"/>
      <c r="GE126" s="2"/>
      <c r="GF126" s="2"/>
      <c r="GG126" s="2"/>
      <c r="GH126" s="2"/>
      <c r="GI126" s="2"/>
      <c r="GJ126" s="2"/>
      <c r="GK126" s="2"/>
      <c r="GL126" s="2"/>
      <c r="GM126" s="2"/>
      <c r="GN126" s="2"/>
      <c r="GO126" s="2"/>
      <c r="GP126" s="2"/>
      <c r="GQ126" s="2"/>
      <c r="GR126" s="2"/>
      <c r="GS126" s="2"/>
      <c r="GT126" s="2"/>
      <c r="GU126" s="2"/>
      <c r="GV126" s="2"/>
      <c r="GW126" s="2"/>
      <c r="GX126" s="2"/>
      <c r="GY126" s="2"/>
      <c r="GZ126" s="2"/>
      <c r="HA126" s="2"/>
      <c r="HB126" s="2"/>
      <c r="HC126" s="2"/>
      <c r="HD126" s="2"/>
      <c r="HE126" s="2"/>
      <c r="HF126" s="2"/>
      <c r="HG126" s="2"/>
      <c r="HH126" s="2"/>
      <c r="HI126" s="2"/>
      <c r="HJ126" s="2"/>
      <c r="HK126" s="2"/>
      <c r="HL126" s="2"/>
      <c r="HM126" s="2"/>
      <c r="HN126" s="2"/>
      <c r="HO126" s="2"/>
      <c r="HP126" s="2"/>
      <c r="HQ126" s="2"/>
      <c r="HR126" s="2"/>
      <c r="HS126" s="2"/>
      <c r="HT126" s="2"/>
      <c r="HU126" s="2"/>
      <c r="HV126" s="2"/>
      <c r="HW126" s="2"/>
      <c r="HX126" s="2"/>
      <c r="HY126" s="2"/>
      <c r="HZ126" s="2"/>
      <c r="IA126" s="2"/>
      <c r="IB126" s="2"/>
      <c r="IC126" s="2"/>
      <c r="ID126" s="2"/>
      <c r="IE126" s="2"/>
      <c r="IF126" s="2"/>
      <c r="IG126" s="2"/>
      <c r="IH126" s="2"/>
      <c r="II126" s="2"/>
      <c r="IJ126" s="2"/>
      <c r="IK126" s="2"/>
      <c r="IL126" s="2"/>
      <c r="IM126" s="2"/>
      <c r="IN126" s="2"/>
      <c r="IO126" s="2"/>
      <c r="IP126" s="2"/>
      <c r="IQ126" s="2"/>
      <c r="IR126" s="2"/>
      <c r="IS126" s="2"/>
      <c r="IT126" s="2"/>
      <c r="IU126" s="2"/>
      <c r="IV126" s="2"/>
      <c r="IW126" s="2"/>
      <c r="IX126" s="2"/>
      <c r="IY126" s="2"/>
      <c r="IZ126" s="2"/>
      <c r="JA126" s="2"/>
      <c r="JB126" s="2"/>
      <c r="JC126" s="2"/>
      <c r="JD126" s="2"/>
      <c r="JE126" s="2"/>
      <c r="JF126" s="2"/>
      <c r="JG126" s="2"/>
      <c r="JH126" s="2"/>
      <c r="JI126" s="2"/>
      <c r="JJ126" s="2"/>
      <c r="JK126" s="2"/>
      <c r="JL126" s="2"/>
      <c r="JM126" s="2"/>
      <c r="JN126" s="2"/>
      <c r="JO126" s="2"/>
      <c r="JP126" s="2"/>
      <c r="JQ126" s="2"/>
      <c r="JR126" s="2"/>
      <c r="JS126" s="2"/>
      <c r="JT126" s="2"/>
      <c r="JU126" s="2"/>
      <c r="JV126" s="2"/>
      <c r="JW126" s="2"/>
      <c r="JX126" s="2"/>
      <c r="JY126" s="2"/>
      <c r="JZ126" s="2"/>
      <c r="KA126" s="2"/>
      <c r="KB126" s="2"/>
      <c r="KC126" s="2"/>
      <c r="KD126" s="2"/>
      <c r="KE126" s="2"/>
      <c r="KF126" s="2"/>
      <c r="KG126" s="2"/>
      <c r="KH126" s="2"/>
      <c r="KI126" s="2"/>
      <c r="KJ126" s="2"/>
      <c r="KK126" s="2"/>
      <c r="KL126" s="2"/>
      <c r="KM126" s="2"/>
      <c r="KN126" s="2"/>
      <c r="KO126" s="2"/>
      <c r="KP126" s="2"/>
      <c r="KQ126" s="2"/>
      <c r="KR126" s="2"/>
      <c r="KS126" s="2"/>
      <c r="KT126" s="2"/>
      <c r="KU126" s="2"/>
      <c r="KV126" s="2"/>
      <c r="KW126" s="2"/>
      <c r="KX126" s="2"/>
      <c r="KY126" s="2"/>
      <c r="KZ126" s="2"/>
      <c r="LA126" s="2"/>
      <c r="LB126" s="2"/>
      <c r="LC126" s="2"/>
      <c r="LD126" s="2"/>
      <c r="LE126" s="2"/>
      <c r="LF126" s="2"/>
      <c r="LG126" s="2"/>
      <c r="LH126" s="2"/>
      <c r="LI126" s="2"/>
      <c r="LJ126" s="2"/>
      <c r="LK126" s="2"/>
      <c r="LL126" s="2"/>
      <c r="LM126" s="2"/>
      <c r="LN126" s="2"/>
      <c r="LO126" s="2"/>
      <c r="LP126" s="2"/>
      <c r="LQ126" s="2"/>
      <c r="LR126" s="2"/>
      <c r="LS126" s="2"/>
      <c r="LT126" s="2"/>
      <c r="LU126" s="2"/>
      <c r="LV126" s="2"/>
      <c r="LW126" s="2"/>
      <c r="LX126" s="2"/>
      <c r="LY126" s="2"/>
      <c r="LZ126" s="2"/>
      <c r="MA126" s="2"/>
      <c r="MB126" s="2"/>
      <c r="MC126" s="2"/>
      <c r="MD126" s="2"/>
      <c r="ME126" s="2"/>
      <c r="MF126" s="2"/>
      <c r="MG126" s="2"/>
      <c r="MH126" s="2"/>
      <c r="MI126" s="2"/>
      <c r="MJ126" s="2"/>
      <c r="MK126" s="2"/>
      <c r="ML126" s="2"/>
      <c r="MM126" s="2"/>
      <c r="MN126" s="2"/>
      <c r="MO126" s="2"/>
      <c r="MP126" s="2"/>
      <c r="MQ126" s="2"/>
      <c r="MR126" s="2"/>
      <c r="MS126" s="2"/>
      <c r="MT126" s="2"/>
      <c r="MU126" s="2"/>
      <c r="MV126" s="2"/>
      <c r="MW126" s="2"/>
      <c r="MX126" s="2"/>
      <c r="MY126" s="2"/>
      <c r="MZ126" s="2"/>
      <c r="NA126" s="2"/>
      <c r="NB126" s="2"/>
      <c r="NC126" s="2"/>
      <c r="ND126" s="2"/>
      <c r="NE126" s="2"/>
      <c r="NF126" s="2"/>
      <c r="NG126" s="2"/>
      <c r="NH126" s="2"/>
      <c r="NI126" s="2"/>
      <c r="NJ126" s="2"/>
      <c r="NK126" s="2"/>
      <c r="NL126" s="2"/>
      <c r="NM126" s="2"/>
      <c r="NN126" s="2"/>
      <c r="NO126" s="2"/>
      <c r="NP126" s="2"/>
      <c r="NQ126" s="2"/>
      <c r="NR126" s="2"/>
      <c r="NS126" s="2"/>
      <c r="NT126" s="2"/>
      <c r="NU126" s="2"/>
      <c r="NV126" s="2"/>
      <c r="NW126" s="2"/>
      <c r="NX126" s="2"/>
      <c r="NY126" s="2"/>
      <c r="NZ126" s="2"/>
      <c r="OA126" s="2"/>
      <c r="OB126" s="2"/>
      <c r="OC126" s="2"/>
      <c r="OD126" s="2"/>
      <c r="OE126" s="2"/>
      <c r="OF126" s="2"/>
      <c r="OG126" s="2"/>
      <c r="OH126" s="2"/>
      <c r="OI126" s="2"/>
      <c r="OJ126" s="2"/>
      <c r="OK126" s="2"/>
      <c r="OL126" s="2"/>
      <c r="OM126" s="2"/>
      <c r="ON126" s="2"/>
      <c r="OO126" s="2"/>
      <c r="OP126" s="2"/>
      <c r="OQ126" s="2"/>
      <c r="OR126" s="2"/>
      <c r="OS126" s="2"/>
      <c r="OT126" s="2"/>
      <c r="OU126" s="2"/>
      <c r="OV126" s="2"/>
      <c r="OW126" s="2"/>
      <c r="OX126" s="2"/>
      <c r="OY126" s="2"/>
      <c r="OZ126" s="2"/>
      <c r="PA126" s="2"/>
      <c r="PB126" s="2"/>
      <c r="PC126" s="2"/>
      <c r="PD126" s="2"/>
      <c r="PE126" s="2"/>
      <c r="PF126" s="2"/>
      <c r="PG126" s="2"/>
      <c r="PH126" s="2"/>
      <c r="PI126" s="2"/>
      <c r="PJ126" s="2"/>
      <c r="PK126" s="2"/>
      <c r="PL126" s="2"/>
      <c r="PM126" s="2"/>
      <c r="PN126" s="2"/>
      <c r="PO126" s="2"/>
      <c r="PP126" s="2"/>
      <c r="PQ126" s="2"/>
      <c r="PR126" s="2"/>
      <c r="PS126" s="2"/>
      <c r="PT126" s="2"/>
      <c r="PU126" s="2"/>
      <c r="PV126" s="2"/>
      <c r="PW126" s="2"/>
      <c r="PX126" s="2"/>
      <c r="PY126" s="2"/>
      <c r="PZ126" s="2"/>
      <c r="QA126" s="2"/>
      <c r="QB126" s="2"/>
      <c r="QC126" s="2"/>
      <c r="QD126" s="2"/>
      <c r="QE126" s="2"/>
      <c r="QF126" s="2"/>
      <c r="QG126" s="2"/>
      <c r="QH126" s="2"/>
      <c r="QI126" s="2"/>
      <c r="QJ126" s="2"/>
      <c r="QK126" s="2"/>
      <c r="QL126" s="2"/>
      <c r="QM126" s="2"/>
      <c r="QN126" s="2"/>
      <c r="QO126" s="2"/>
      <c r="QP126" s="2"/>
      <c r="QQ126" s="2"/>
      <c r="QR126" s="2"/>
      <c r="QS126" s="2"/>
      <c r="QT126" s="2"/>
      <c r="QU126" s="2"/>
      <c r="QV126" s="2"/>
      <c r="QW126" s="2"/>
      <c r="QX126" s="2"/>
      <c r="QY126" s="2"/>
      <c r="QZ126" s="2"/>
      <c r="RA126" s="2"/>
      <c r="RB126" s="2"/>
      <c r="RC126" s="2"/>
      <c r="RD126" s="2"/>
      <c r="RE126" s="2"/>
      <c r="RF126" s="2"/>
      <c r="RG126" s="2"/>
      <c r="RH126" s="2"/>
      <c r="RI126" s="2"/>
      <c r="RJ126" s="2"/>
      <c r="RK126" s="2"/>
      <c r="RL126" s="2"/>
      <c r="RM126" s="2"/>
      <c r="RN126" s="2"/>
      <c r="RO126" s="2"/>
      <c r="RP126" s="2"/>
      <c r="RQ126" s="2"/>
      <c r="RR126" s="2"/>
      <c r="RS126" s="2"/>
      <c r="RT126" s="2"/>
      <c r="RU126" s="2"/>
      <c r="RV126" s="2"/>
      <c r="RW126" s="2"/>
      <c r="RX126" s="2"/>
      <c r="RY126" s="2"/>
      <c r="RZ126" s="2"/>
      <c r="SA126" s="2"/>
      <c r="SB126" s="2"/>
      <c r="SC126" s="2"/>
      <c r="SD126" s="2"/>
      <c r="SE126" s="2"/>
      <c r="SF126" s="2"/>
      <c r="SG126" s="2"/>
      <c r="SH126" s="2"/>
      <c r="SI126" s="2"/>
      <c r="SJ126" s="2"/>
      <c r="SK126" s="2"/>
      <c r="SL126" s="2"/>
      <c r="SM126" s="2"/>
      <c r="SN126" s="2"/>
      <c r="SO126" s="2"/>
      <c r="SP126" s="2"/>
      <c r="SQ126" s="2"/>
      <c r="SR126" s="2"/>
      <c r="SS126" s="2"/>
      <c r="ST126" s="2"/>
      <c r="SU126" s="2"/>
      <c r="SV126" s="2"/>
      <c r="SW126" s="2"/>
      <c r="SX126" s="2"/>
    </row>
    <row r="127" spans="33:518" x14ac:dyDescent="0.25"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  <c r="FK127" s="2"/>
      <c r="FL127" s="2"/>
      <c r="FM127" s="2"/>
      <c r="FN127" s="2"/>
      <c r="FO127" s="2"/>
      <c r="FP127" s="2"/>
      <c r="FQ127" s="2"/>
      <c r="FR127" s="2"/>
      <c r="FS127" s="2"/>
      <c r="FT127" s="2"/>
      <c r="FU127" s="2"/>
      <c r="FV127" s="2"/>
      <c r="FW127" s="2"/>
      <c r="FX127" s="2"/>
      <c r="FY127" s="2"/>
      <c r="FZ127" s="2"/>
      <c r="GA127" s="2"/>
      <c r="GB127" s="2"/>
      <c r="GC127" s="2"/>
      <c r="GD127" s="2"/>
      <c r="GE127" s="2"/>
      <c r="GF127" s="2"/>
      <c r="GG127" s="2"/>
      <c r="GH127" s="2"/>
      <c r="GI127" s="2"/>
      <c r="GJ127" s="2"/>
      <c r="GK127" s="2"/>
      <c r="GL127" s="2"/>
      <c r="GM127" s="2"/>
      <c r="GN127" s="2"/>
      <c r="GO127" s="2"/>
      <c r="GP127" s="2"/>
      <c r="GQ127" s="2"/>
      <c r="GR127" s="2"/>
      <c r="GS127" s="2"/>
      <c r="GT127" s="2"/>
      <c r="GU127" s="2"/>
      <c r="GV127" s="2"/>
      <c r="GW127" s="2"/>
      <c r="GX127" s="2"/>
      <c r="GY127" s="2"/>
      <c r="GZ127" s="2"/>
      <c r="HA127" s="2"/>
      <c r="HB127" s="2"/>
      <c r="HC127" s="2"/>
      <c r="HD127" s="2"/>
      <c r="HE127" s="2"/>
      <c r="HF127" s="2"/>
      <c r="HG127" s="2"/>
      <c r="HH127" s="2"/>
      <c r="HI127" s="2"/>
      <c r="HJ127" s="2"/>
      <c r="HK127" s="2"/>
      <c r="HL127" s="2"/>
      <c r="HM127" s="2"/>
      <c r="HN127" s="2"/>
      <c r="HO127" s="2"/>
      <c r="HP127" s="2"/>
      <c r="HQ127" s="2"/>
      <c r="HR127" s="2"/>
      <c r="HS127" s="2"/>
      <c r="HT127" s="2"/>
      <c r="HU127" s="2"/>
      <c r="HV127" s="2"/>
      <c r="HW127" s="2"/>
      <c r="HX127" s="2"/>
      <c r="HY127" s="2"/>
      <c r="HZ127" s="2"/>
      <c r="IA127" s="2"/>
      <c r="IB127" s="2"/>
      <c r="IC127" s="2"/>
      <c r="ID127" s="2"/>
      <c r="IE127" s="2"/>
      <c r="IF127" s="2"/>
      <c r="IG127" s="2"/>
      <c r="IH127" s="2"/>
      <c r="II127" s="2"/>
      <c r="IJ127" s="2"/>
      <c r="IK127" s="2"/>
      <c r="IL127" s="2"/>
      <c r="IM127" s="2"/>
      <c r="IN127" s="2"/>
      <c r="IO127" s="2"/>
      <c r="IP127" s="2"/>
      <c r="IQ127" s="2"/>
      <c r="IR127" s="2"/>
      <c r="IS127" s="2"/>
      <c r="IT127" s="2"/>
      <c r="IU127" s="2"/>
      <c r="IV127" s="2"/>
      <c r="IW127" s="2"/>
      <c r="IX127" s="2"/>
      <c r="IY127" s="2"/>
      <c r="IZ127" s="2"/>
      <c r="JA127" s="2"/>
      <c r="JB127" s="2"/>
      <c r="JC127" s="2"/>
      <c r="JD127" s="2"/>
      <c r="JE127" s="2"/>
      <c r="JF127" s="2"/>
      <c r="JG127" s="2"/>
      <c r="JH127" s="2"/>
      <c r="JI127" s="2"/>
      <c r="JJ127" s="2"/>
      <c r="JK127" s="2"/>
      <c r="JL127" s="2"/>
      <c r="JM127" s="2"/>
      <c r="JN127" s="2"/>
      <c r="JO127" s="2"/>
      <c r="JP127" s="2"/>
      <c r="JQ127" s="2"/>
      <c r="JR127" s="2"/>
      <c r="JS127" s="2"/>
      <c r="JT127" s="2"/>
      <c r="JU127" s="2"/>
      <c r="JV127" s="2"/>
      <c r="JW127" s="2"/>
      <c r="JX127" s="2"/>
      <c r="JY127" s="2"/>
      <c r="JZ127" s="2"/>
      <c r="KA127" s="2"/>
      <c r="KB127" s="2"/>
      <c r="KC127" s="2"/>
      <c r="KD127" s="2"/>
      <c r="KE127" s="2"/>
      <c r="KF127" s="2"/>
      <c r="KG127" s="2"/>
      <c r="KH127" s="2"/>
      <c r="KI127" s="2"/>
      <c r="KJ127" s="2"/>
      <c r="KK127" s="2"/>
      <c r="KL127" s="2"/>
      <c r="KM127" s="2"/>
      <c r="KN127" s="2"/>
      <c r="KO127" s="2"/>
      <c r="KP127" s="2"/>
      <c r="KQ127" s="2"/>
      <c r="KR127" s="2"/>
      <c r="KS127" s="2"/>
      <c r="KT127" s="2"/>
      <c r="KU127" s="2"/>
      <c r="KV127" s="2"/>
      <c r="KW127" s="2"/>
      <c r="KX127" s="2"/>
      <c r="KY127" s="2"/>
      <c r="KZ127" s="2"/>
      <c r="LA127" s="2"/>
      <c r="LB127" s="2"/>
      <c r="LC127" s="2"/>
      <c r="LD127" s="2"/>
      <c r="LE127" s="2"/>
      <c r="LF127" s="2"/>
      <c r="LG127" s="2"/>
      <c r="LH127" s="2"/>
      <c r="LI127" s="2"/>
      <c r="LJ127" s="2"/>
      <c r="LK127" s="2"/>
      <c r="LL127" s="2"/>
      <c r="LM127" s="2"/>
      <c r="LN127" s="2"/>
      <c r="LO127" s="2"/>
      <c r="LP127" s="2"/>
      <c r="LQ127" s="2"/>
      <c r="LR127" s="2"/>
      <c r="LS127" s="2"/>
      <c r="LT127" s="2"/>
      <c r="LU127" s="2"/>
      <c r="LV127" s="2"/>
      <c r="LW127" s="2"/>
      <c r="LX127" s="2"/>
      <c r="LY127" s="2"/>
      <c r="LZ127" s="2"/>
      <c r="MA127" s="2"/>
      <c r="MB127" s="2"/>
      <c r="MC127" s="2"/>
      <c r="MD127" s="2"/>
      <c r="ME127" s="2"/>
      <c r="MF127" s="2"/>
      <c r="MG127" s="2"/>
      <c r="MH127" s="2"/>
      <c r="MI127" s="2"/>
      <c r="MJ127" s="2"/>
      <c r="MK127" s="2"/>
      <c r="ML127" s="2"/>
      <c r="MM127" s="2"/>
      <c r="MN127" s="2"/>
      <c r="MO127" s="2"/>
      <c r="MP127" s="2"/>
      <c r="MQ127" s="2"/>
      <c r="MR127" s="2"/>
      <c r="MS127" s="2"/>
      <c r="MT127" s="2"/>
      <c r="MU127" s="2"/>
      <c r="MV127" s="2"/>
      <c r="MW127" s="2"/>
      <c r="MX127" s="2"/>
      <c r="MY127" s="2"/>
      <c r="MZ127" s="2"/>
      <c r="NA127" s="2"/>
      <c r="NB127" s="2"/>
      <c r="NC127" s="2"/>
      <c r="ND127" s="2"/>
      <c r="NE127" s="2"/>
      <c r="NF127" s="2"/>
      <c r="NG127" s="2"/>
      <c r="NH127" s="2"/>
      <c r="NI127" s="2"/>
      <c r="NJ127" s="2"/>
      <c r="NK127" s="2"/>
      <c r="NL127" s="2"/>
      <c r="NM127" s="2"/>
      <c r="NN127" s="2"/>
      <c r="NO127" s="2"/>
      <c r="NP127" s="2"/>
      <c r="NQ127" s="2"/>
      <c r="NR127" s="2"/>
      <c r="NS127" s="2"/>
      <c r="NT127" s="2"/>
      <c r="NU127" s="2"/>
      <c r="NV127" s="2"/>
      <c r="NW127" s="2"/>
      <c r="NX127" s="2"/>
      <c r="NY127" s="2"/>
      <c r="NZ127" s="2"/>
      <c r="OA127" s="2"/>
      <c r="OB127" s="2"/>
      <c r="OC127" s="2"/>
      <c r="OD127" s="2"/>
      <c r="OE127" s="2"/>
      <c r="OF127" s="2"/>
      <c r="OG127" s="2"/>
      <c r="OH127" s="2"/>
      <c r="OI127" s="2"/>
      <c r="OJ127" s="2"/>
      <c r="OK127" s="2"/>
      <c r="OL127" s="2"/>
      <c r="OM127" s="2"/>
      <c r="ON127" s="2"/>
      <c r="OO127" s="2"/>
      <c r="OP127" s="2"/>
      <c r="OQ127" s="2"/>
      <c r="OR127" s="2"/>
      <c r="OS127" s="2"/>
      <c r="OT127" s="2"/>
      <c r="OU127" s="2"/>
      <c r="OV127" s="2"/>
      <c r="OW127" s="2"/>
      <c r="OX127" s="2"/>
      <c r="OY127" s="2"/>
      <c r="OZ127" s="2"/>
      <c r="PA127" s="2"/>
      <c r="PB127" s="2"/>
      <c r="PC127" s="2"/>
      <c r="PD127" s="2"/>
      <c r="PE127" s="2"/>
      <c r="PF127" s="2"/>
      <c r="PG127" s="2"/>
      <c r="PH127" s="2"/>
      <c r="PI127" s="2"/>
      <c r="PJ127" s="2"/>
      <c r="PK127" s="2"/>
      <c r="PL127" s="2"/>
      <c r="PM127" s="2"/>
      <c r="PN127" s="2"/>
      <c r="PO127" s="2"/>
      <c r="PP127" s="2"/>
      <c r="PQ127" s="2"/>
      <c r="PR127" s="2"/>
      <c r="PS127" s="2"/>
      <c r="PT127" s="2"/>
      <c r="PU127" s="2"/>
      <c r="PV127" s="2"/>
      <c r="PW127" s="2"/>
      <c r="PX127" s="2"/>
      <c r="PY127" s="2"/>
      <c r="PZ127" s="2"/>
      <c r="QA127" s="2"/>
      <c r="QB127" s="2"/>
      <c r="QC127" s="2"/>
      <c r="QD127" s="2"/>
      <c r="QE127" s="2"/>
      <c r="QF127" s="2"/>
      <c r="QG127" s="2"/>
      <c r="QH127" s="2"/>
      <c r="QI127" s="2"/>
      <c r="QJ127" s="2"/>
      <c r="QK127" s="2"/>
      <c r="QL127" s="2"/>
      <c r="QM127" s="2"/>
      <c r="QN127" s="2"/>
      <c r="QO127" s="2"/>
      <c r="QP127" s="2"/>
      <c r="QQ127" s="2"/>
      <c r="QR127" s="2"/>
      <c r="QS127" s="2"/>
      <c r="QT127" s="2"/>
      <c r="QU127" s="2"/>
      <c r="QV127" s="2"/>
      <c r="QW127" s="2"/>
      <c r="QX127" s="2"/>
      <c r="QY127" s="2"/>
      <c r="QZ127" s="2"/>
      <c r="RA127" s="2"/>
      <c r="RB127" s="2"/>
      <c r="RC127" s="2"/>
      <c r="RD127" s="2"/>
      <c r="RE127" s="2"/>
      <c r="RF127" s="2"/>
      <c r="RG127" s="2"/>
      <c r="RH127" s="2"/>
      <c r="RI127" s="2"/>
      <c r="RJ127" s="2"/>
      <c r="RK127" s="2"/>
      <c r="RL127" s="2"/>
      <c r="RM127" s="2"/>
      <c r="RN127" s="2"/>
      <c r="RO127" s="2"/>
      <c r="RP127" s="2"/>
      <c r="RQ127" s="2"/>
      <c r="RR127" s="2"/>
      <c r="RS127" s="2"/>
      <c r="RT127" s="2"/>
      <c r="RU127" s="2"/>
      <c r="RV127" s="2"/>
      <c r="RW127" s="2"/>
      <c r="RX127" s="2"/>
      <c r="RY127" s="2"/>
      <c r="RZ127" s="2"/>
      <c r="SA127" s="2"/>
      <c r="SB127" s="2"/>
      <c r="SC127" s="2"/>
      <c r="SD127" s="2"/>
      <c r="SE127" s="2"/>
      <c r="SF127" s="2"/>
      <c r="SG127" s="2"/>
      <c r="SH127" s="2"/>
      <c r="SI127" s="2"/>
      <c r="SJ127" s="2"/>
      <c r="SK127" s="2"/>
      <c r="SL127" s="2"/>
      <c r="SM127" s="2"/>
      <c r="SN127" s="2"/>
      <c r="SO127" s="2"/>
      <c r="SP127" s="2"/>
      <c r="SQ127" s="2"/>
      <c r="SR127" s="2"/>
      <c r="SS127" s="2"/>
      <c r="ST127" s="2"/>
      <c r="SU127" s="2"/>
      <c r="SV127" s="2"/>
      <c r="SW127" s="2"/>
      <c r="SX127" s="2"/>
    </row>
    <row r="128" spans="33:518" x14ac:dyDescent="0.25"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  <c r="FK128" s="2"/>
      <c r="FL128" s="2"/>
      <c r="FM128" s="2"/>
      <c r="FN128" s="2"/>
      <c r="FO128" s="2"/>
      <c r="FP128" s="2"/>
      <c r="FQ128" s="2"/>
      <c r="FR128" s="2"/>
      <c r="FS128" s="2"/>
      <c r="FT128" s="2"/>
      <c r="FU128" s="2"/>
      <c r="FV128" s="2"/>
      <c r="FW128" s="2"/>
      <c r="FX128" s="2"/>
      <c r="FY128" s="2"/>
      <c r="FZ128" s="2"/>
      <c r="GA128" s="2"/>
      <c r="GB128" s="2"/>
      <c r="GC128" s="2"/>
      <c r="GD128" s="2"/>
      <c r="GE128" s="2"/>
      <c r="GF128" s="2"/>
      <c r="GG128" s="2"/>
      <c r="GH128" s="2"/>
      <c r="GI128" s="2"/>
      <c r="GJ128" s="2"/>
      <c r="GK128" s="2"/>
      <c r="GL128" s="2"/>
      <c r="GM128" s="2"/>
      <c r="GN128" s="2"/>
      <c r="GO128" s="2"/>
      <c r="GP128" s="2"/>
      <c r="GQ128" s="2"/>
      <c r="GR128" s="2"/>
      <c r="GS128" s="2"/>
      <c r="GT128" s="2"/>
      <c r="GU128" s="2"/>
      <c r="GV128" s="2"/>
      <c r="GW128" s="2"/>
      <c r="GX128" s="2"/>
      <c r="GY128" s="2"/>
      <c r="GZ128" s="2"/>
      <c r="HA128" s="2"/>
      <c r="HB128" s="2"/>
      <c r="HC128" s="2"/>
      <c r="HD128" s="2"/>
      <c r="HE128" s="2"/>
      <c r="HF128" s="2"/>
      <c r="HG128" s="2"/>
      <c r="HH128" s="2"/>
      <c r="HI128" s="2"/>
      <c r="HJ128" s="2"/>
      <c r="HK128" s="2"/>
      <c r="HL128" s="2"/>
      <c r="HM128" s="2"/>
      <c r="HN128" s="2"/>
      <c r="HO128" s="2"/>
      <c r="HP128" s="2"/>
      <c r="HQ128" s="2"/>
      <c r="HR128" s="2"/>
      <c r="HS128" s="2"/>
      <c r="HT128" s="2"/>
      <c r="HU128" s="2"/>
      <c r="HV128" s="2"/>
      <c r="HW128" s="2"/>
      <c r="HX128" s="2"/>
      <c r="HY128" s="2"/>
      <c r="HZ128" s="2"/>
      <c r="IA128" s="2"/>
      <c r="IB128" s="2"/>
      <c r="IC128" s="2"/>
      <c r="ID128" s="2"/>
      <c r="IE128" s="2"/>
      <c r="IF128" s="2"/>
      <c r="IG128" s="2"/>
      <c r="IH128" s="2"/>
      <c r="II128" s="2"/>
      <c r="IJ128" s="2"/>
      <c r="IK128" s="2"/>
      <c r="IL128" s="2"/>
      <c r="IM128" s="2"/>
      <c r="IN128" s="2"/>
      <c r="IO128" s="2"/>
      <c r="IP128" s="2"/>
      <c r="IQ128" s="2"/>
      <c r="IR128" s="2"/>
      <c r="IS128" s="2"/>
      <c r="IT128" s="2"/>
      <c r="IU128" s="2"/>
      <c r="IV128" s="2"/>
      <c r="IW128" s="2"/>
      <c r="IX128" s="2"/>
      <c r="IY128" s="2"/>
      <c r="IZ128" s="2"/>
      <c r="JA128" s="2"/>
      <c r="JB128" s="2"/>
      <c r="JC128" s="2"/>
      <c r="JD128" s="2"/>
      <c r="JE128" s="2"/>
      <c r="JF128" s="2"/>
      <c r="JG128" s="2"/>
      <c r="JH128" s="2"/>
      <c r="JI128" s="2"/>
      <c r="JJ128" s="2"/>
      <c r="JK128" s="2"/>
      <c r="JL128" s="2"/>
      <c r="JM128" s="2"/>
      <c r="JN128" s="2"/>
      <c r="JO128" s="2"/>
      <c r="JP128" s="2"/>
      <c r="JQ128" s="2"/>
      <c r="JR128" s="2"/>
      <c r="JS128" s="2"/>
      <c r="JT128" s="2"/>
      <c r="JU128" s="2"/>
      <c r="JV128" s="2"/>
      <c r="JW128" s="2"/>
      <c r="JX128" s="2"/>
      <c r="JY128" s="2"/>
      <c r="JZ128" s="2"/>
      <c r="KA128" s="2"/>
      <c r="KB128" s="2"/>
      <c r="KC128" s="2"/>
      <c r="KD128" s="2"/>
      <c r="KE128" s="2"/>
      <c r="KF128" s="2"/>
      <c r="KG128" s="2"/>
      <c r="KH128" s="2"/>
      <c r="KI128" s="2"/>
      <c r="KJ128" s="2"/>
      <c r="KK128" s="2"/>
      <c r="KL128" s="2"/>
      <c r="KM128" s="2"/>
      <c r="KN128" s="2"/>
      <c r="KO128" s="2"/>
      <c r="KP128" s="2"/>
      <c r="KQ128" s="2"/>
      <c r="KR128" s="2"/>
      <c r="KS128" s="2"/>
      <c r="KT128" s="2"/>
      <c r="KU128" s="2"/>
      <c r="KV128" s="2"/>
      <c r="KW128" s="2"/>
      <c r="KX128" s="2"/>
      <c r="KY128" s="2"/>
      <c r="KZ128" s="2"/>
      <c r="LA128" s="2"/>
      <c r="LB128" s="2"/>
      <c r="LC128" s="2"/>
      <c r="LD128" s="2"/>
      <c r="LE128" s="2"/>
      <c r="LF128" s="2"/>
      <c r="LG128" s="2"/>
      <c r="LH128" s="2"/>
      <c r="LI128" s="2"/>
      <c r="LJ128" s="2"/>
      <c r="LK128" s="2"/>
      <c r="LL128" s="2"/>
      <c r="LM128" s="2"/>
      <c r="LN128" s="2"/>
      <c r="LO128" s="2"/>
      <c r="LP128" s="2"/>
      <c r="LQ128" s="2"/>
      <c r="LR128" s="2"/>
      <c r="LS128" s="2"/>
      <c r="LT128" s="2"/>
      <c r="LU128" s="2"/>
      <c r="LV128" s="2"/>
      <c r="LW128" s="2"/>
      <c r="LX128" s="2"/>
      <c r="LY128" s="2"/>
      <c r="LZ128" s="2"/>
      <c r="MA128" s="2"/>
      <c r="MB128" s="2"/>
      <c r="MC128" s="2"/>
      <c r="MD128" s="2"/>
      <c r="ME128" s="2"/>
      <c r="MF128" s="2"/>
      <c r="MG128" s="2"/>
      <c r="MH128" s="2"/>
      <c r="MI128" s="2"/>
      <c r="MJ128" s="2"/>
      <c r="MK128" s="2"/>
      <c r="ML128" s="2"/>
      <c r="MM128" s="2"/>
      <c r="MN128" s="2"/>
      <c r="MO128" s="2"/>
      <c r="MP128" s="2"/>
      <c r="MQ128" s="2"/>
      <c r="MR128" s="2"/>
      <c r="MS128" s="2"/>
      <c r="MT128" s="2"/>
      <c r="MU128" s="2"/>
      <c r="MV128" s="2"/>
      <c r="MW128" s="2"/>
      <c r="MX128" s="2"/>
      <c r="MY128" s="2"/>
      <c r="MZ128" s="2"/>
      <c r="NA128" s="2"/>
      <c r="NB128" s="2"/>
      <c r="NC128" s="2"/>
      <c r="ND128" s="2"/>
      <c r="NE128" s="2"/>
      <c r="NF128" s="2"/>
      <c r="NG128" s="2"/>
      <c r="NH128" s="2"/>
      <c r="NI128" s="2"/>
      <c r="NJ128" s="2"/>
      <c r="NK128" s="2"/>
      <c r="NL128" s="2"/>
      <c r="NM128" s="2"/>
      <c r="NN128" s="2"/>
      <c r="NO128" s="2"/>
      <c r="NP128" s="2"/>
      <c r="NQ128" s="2"/>
      <c r="NR128" s="2"/>
      <c r="NS128" s="2"/>
      <c r="NT128" s="2"/>
      <c r="NU128" s="2"/>
      <c r="NV128" s="2"/>
      <c r="NW128" s="2"/>
      <c r="NX128" s="2"/>
      <c r="NY128" s="2"/>
      <c r="NZ128" s="2"/>
      <c r="OA128" s="2"/>
      <c r="OB128" s="2"/>
      <c r="OC128" s="2"/>
      <c r="OD128" s="2"/>
      <c r="OE128" s="2"/>
      <c r="OF128" s="2"/>
      <c r="OG128" s="2"/>
      <c r="OH128" s="2"/>
      <c r="OI128" s="2"/>
      <c r="OJ128" s="2"/>
      <c r="OK128" s="2"/>
      <c r="OL128" s="2"/>
      <c r="OM128" s="2"/>
      <c r="ON128" s="2"/>
      <c r="OO128" s="2"/>
      <c r="OP128" s="2"/>
      <c r="OQ128" s="2"/>
      <c r="OR128" s="2"/>
      <c r="OS128" s="2"/>
      <c r="OT128" s="2"/>
      <c r="OU128" s="2"/>
      <c r="OV128" s="2"/>
      <c r="OW128" s="2"/>
      <c r="OX128" s="2"/>
      <c r="OY128" s="2"/>
      <c r="OZ128" s="2"/>
      <c r="PA128" s="2"/>
      <c r="PB128" s="2"/>
      <c r="PC128" s="2"/>
      <c r="PD128" s="2"/>
      <c r="PE128" s="2"/>
      <c r="PF128" s="2"/>
      <c r="PG128" s="2"/>
      <c r="PH128" s="2"/>
      <c r="PI128" s="2"/>
      <c r="PJ128" s="2"/>
      <c r="PK128" s="2"/>
      <c r="PL128" s="2"/>
      <c r="PM128" s="2"/>
      <c r="PN128" s="2"/>
      <c r="PO128" s="2"/>
      <c r="PP128" s="2"/>
      <c r="PQ128" s="2"/>
      <c r="PR128" s="2"/>
      <c r="PS128" s="2"/>
      <c r="PT128" s="2"/>
      <c r="PU128" s="2"/>
      <c r="PV128" s="2"/>
      <c r="PW128" s="2"/>
      <c r="PX128" s="2"/>
      <c r="PY128" s="2"/>
      <c r="PZ128" s="2"/>
      <c r="QA128" s="2"/>
      <c r="QB128" s="2"/>
      <c r="QC128" s="2"/>
      <c r="QD128" s="2"/>
      <c r="QE128" s="2"/>
      <c r="QF128" s="2"/>
      <c r="QG128" s="2"/>
      <c r="QH128" s="2"/>
      <c r="QI128" s="2"/>
      <c r="QJ128" s="2"/>
      <c r="QK128" s="2"/>
      <c r="QL128" s="2"/>
      <c r="QM128" s="2"/>
      <c r="QN128" s="2"/>
      <c r="QO128" s="2"/>
      <c r="QP128" s="2"/>
      <c r="QQ128" s="2"/>
      <c r="QR128" s="2"/>
      <c r="QS128" s="2"/>
      <c r="QT128" s="2"/>
      <c r="QU128" s="2"/>
      <c r="QV128" s="2"/>
      <c r="QW128" s="2"/>
      <c r="QX128" s="2"/>
      <c r="QY128" s="2"/>
      <c r="QZ128" s="2"/>
      <c r="RA128" s="2"/>
      <c r="RB128" s="2"/>
      <c r="RC128" s="2"/>
      <c r="RD128" s="2"/>
      <c r="RE128" s="2"/>
      <c r="RF128" s="2"/>
      <c r="RG128" s="2"/>
      <c r="RH128" s="2"/>
      <c r="RI128" s="2"/>
      <c r="RJ128" s="2"/>
      <c r="RK128" s="2"/>
      <c r="RL128" s="2"/>
      <c r="RM128" s="2"/>
      <c r="RN128" s="2"/>
      <c r="RO128" s="2"/>
      <c r="RP128" s="2"/>
      <c r="RQ128" s="2"/>
      <c r="RR128" s="2"/>
      <c r="RS128" s="2"/>
      <c r="RT128" s="2"/>
      <c r="RU128" s="2"/>
      <c r="RV128" s="2"/>
      <c r="RW128" s="2"/>
      <c r="RX128" s="2"/>
      <c r="RY128" s="2"/>
      <c r="RZ128" s="2"/>
      <c r="SA128" s="2"/>
      <c r="SB128" s="2"/>
      <c r="SC128" s="2"/>
      <c r="SD128" s="2"/>
      <c r="SE128" s="2"/>
      <c r="SF128" s="2"/>
      <c r="SG128" s="2"/>
      <c r="SH128" s="2"/>
      <c r="SI128" s="2"/>
      <c r="SJ128" s="2"/>
      <c r="SK128" s="2"/>
      <c r="SL128" s="2"/>
      <c r="SM128" s="2"/>
      <c r="SN128" s="2"/>
      <c r="SO128" s="2"/>
      <c r="SP128" s="2"/>
      <c r="SQ128" s="2"/>
      <c r="SR128" s="2"/>
      <c r="SS128" s="2"/>
      <c r="ST128" s="2"/>
      <c r="SU128" s="2"/>
      <c r="SV128" s="2"/>
      <c r="SW128" s="2"/>
      <c r="SX128" s="2"/>
    </row>
    <row r="129" spans="33:518" x14ac:dyDescent="0.25"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  <c r="FK129" s="2"/>
      <c r="FL129" s="2"/>
      <c r="FM129" s="2"/>
      <c r="FN129" s="2"/>
      <c r="FO129" s="2"/>
      <c r="FP129" s="2"/>
      <c r="FQ129" s="2"/>
      <c r="FR129" s="2"/>
      <c r="FS129" s="2"/>
      <c r="FT129" s="2"/>
      <c r="FU129" s="2"/>
      <c r="FV129" s="2"/>
      <c r="FW129" s="2"/>
      <c r="FX129" s="2"/>
      <c r="FY129" s="2"/>
      <c r="FZ129" s="2"/>
      <c r="GA129" s="2"/>
      <c r="GB129" s="2"/>
      <c r="GC129" s="2"/>
      <c r="GD129" s="2"/>
      <c r="GE129" s="2"/>
      <c r="GF129" s="2"/>
      <c r="GG129" s="2"/>
      <c r="GH129" s="2"/>
      <c r="GI129" s="2"/>
      <c r="GJ129" s="2"/>
      <c r="GK129" s="2"/>
      <c r="GL129" s="2"/>
      <c r="GM129" s="2"/>
      <c r="GN129" s="2"/>
      <c r="GO129" s="2"/>
      <c r="GP129" s="2"/>
      <c r="GQ129" s="2"/>
      <c r="GR129" s="2"/>
      <c r="GS129" s="2"/>
      <c r="GT129" s="2"/>
      <c r="GU129" s="2"/>
      <c r="GV129" s="2"/>
      <c r="GW129" s="2"/>
      <c r="GX129" s="2"/>
      <c r="GY129" s="2"/>
      <c r="GZ129" s="2"/>
      <c r="HA129" s="2"/>
      <c r="HB129" s="2"/>
      <c r="HC129" s="2"/>
      <c r="HD129" s="2"/>
      <c r="HE129" s="2"/>
      <c r="HF129" s="2"/>
      <c r="HG129" s="2"/>
      <c r="HH129" s="2"/>
      <c r="HI129" s="2"/>
      <c r="HJ129" s="2"/>
      <c r="HK129" s="2"/>
      <c r="HL129" s="2"/>
      <c r="HM129" s="2"/>
      <c r="HN129" s="2"/>
      <c r="HO129" s="2"/>
      <c r="HP129" s="2"/>
      <c r="HQ129" s="2"/>
      <c r="HR129" s="2"/>
      <c r="HS129" s="2"/>
      <c r="HT129" s="2"/>
      <c r="HU129" s="2"/>
      <c r="HV129" s="2"/>
      <c r="HW129" s="2"/>
      <c r="HX129" s="2"/>
      <c r="HY129" s="2"/>
      <c r="HZ129" s="2"/>
      <c r="IA129" s="2"/>
      <c r="IB129" s="2"/>
      <c r="IC129" s="2"/>
      <c r="ID129" s="2"/>
      <c r="IE129" s="2"/>
      <c r="IF129" s="2"/>
      <c r="IG129" s="2"/>
      <c r="IH129" s="2"/>
      <c r="II129" s="2"/>
      <c r="IJ129" s="2"/>
      <c r="IK129" s="2"/>
      <c r="IL129" s="2"/>
      <c r="IM129" s="2"/>
      <c r="IN129" s="2"/>
      <c r="IO129" s="2"/>
      <c r="IP129" s="2"/>
      <c r="IQ129" s="2"/>
      <c r="IR129" s="2"/>
      <c r="IS129" s="2"/>
      <c r="IT129" s="2"/>
      <c r="IU129" s="2"/>
      <c r="IV129" s="2"/>
      <c r="IW129" s="2"/>
      <c r="IX129" s="2"/>
      <c r="IY129" s="2"/>
      <c r="IZ129" s="2"/>
      <c r="JA129" s="2"/>
      <c r="JB129" s="2"/>
      <c r="JC129" s="2"/>
      <c r="JD129" s="2"/>
      <c r="JE129" s="2"/>
      <c r="JF129" s="2"/>
      <c r="JG129" s="2"/>
      <c r="JH129" s="2"/>
      <c r="JI129" s="2"/>
      <c r="JJ129" s="2"/>
      <c r="JK129" s="2"/>
      <c r="JL129" s="2"/>
      <c r="JM129" s="2"/>
      <c r="JN129" s="2"/>
      <c r="JO129" s="2"/>
      <c r="JP129" s="2"/>
      <c r="JQ129" s="2"/>
      <c r="JR129" s="2"/>
      <c r="JS129" s="2"/>
      <c r="JT129" s="2"/>
      <c r="JU129" s="2"/>
      <c r="JV129" s="2"/>
      <c r="JW129" s="2"/>
      <c r="JX129" s="2"/>
      <c r="JY129" s="2"/>
      <c r="JZ129" s="2"/>
      <c r="KA129" s="2"/>
      <c r="KB129" s="2"/>
      <c r="KC129" s="2"/>
      <c r="KD129" s="2"/>
      <c r="KE129" s="2"/>
      <c r="KF129" s="2"/>
      <c r="KG129" s="2"/>
      <c r="KH129" s="2"/>
      <c r="KI129" s="2"/>
      <c r="KJ129" s="2"/>
      <c r="KK129" s="2"/>
      <c r="KL129" s="2"/>
      <c r="KM129" s="2"/>
      <c r="KN129" s="2"/>
      <c r="KO129" s="2"/>
      <c r="KP129" s="2"/>
      <c r="KQ129" s="2"/>
      <c r="KR129" s="2"/>
      <c r="KS129" s="2"/>
      <c r="KT129" s="2"/>
      <c r="KU129" s="2"/>
      <c r="KV129" s="2"/>
      <c r="KW129" s="2"/>
      <c r="KX129" s="2"/>
      <c r="KY129" s="2"/>
      <c r="KZ129" s="2"/>
      <c r="LA129" s="2"/>
      <c r="LB129" s="2"/>
      <c r="LC129" s="2"/>
      <c r="LD129" s="2"/>
      <c r="LE129" s="2"/>
      <c r="LF129" s="2"/>
      <c r="LG129" s="2"/>
      <c r="LH129" s="2"/>
      <c r="LI129" s="2"/>
      <c r="LJ129" s="2"/>
      <c r="LK129" s="2"/>
      <c r="LL129" s="2"/>
      <c r="LM129" s="2"/>
      <c r="LN129" s="2"/>
      <c r="LO129" s="2"/>
      <c r="LP129" s="2"/>
      <c r="LQ129" s="2"/>
      <c r="LR129" s="2"/>
      <c r="LS129" s="2"/>
      <c r="LT129" s="2"/>
      <c r="LU129" s="2"/>
      <c r="LV129" s="2"/>
      <c r="LW129" s="2"/>
      <c r="LX129" s="2"/>
      <c r="LY129" s="2"/>
      <c r="LZ129" s="2"/>
      <c r="MA129" s="2"/>
      <c r="MB129" s="2"/>
      <c r="MC129" s="2"/>
      <c r="MD129" s="2"/>
      <c r="ME129" s="2"/>
      <c r="MF129" s="2"/>
      <c r="MG129" s="2"/>
      <c r="MH129" s="2"/>
      <c r="MI129" s="2"/>
      <c r="MJ129" s="2"/>
      <c r="MK129" s="2"/>
      <c r="ML129" s="2"/>
      <c r="MM129" s="2"/>
      <c r="MN129" s="2"/>
      <c r="MO129" s="2"/>
      <c r="MP129" s="2"/>
      <c r="MQ129" s="2"/>
      <c r="MR129" s="2"/>
      <c r="MS129" s="2"/>
      <c r="MT129" s="2"/>
      <c r="MU129" s="2"/>
      <c r="MV129" s="2"/>
      <c r="MW129" s="2"/>
      <c r="MX129" s="2"/>
      <c r="MY129" s="2"/>
      <c r="MZ129" s="2"/>
      <c r="NA129" s="2"/>
      <c r="NB129" s="2"/>
      <c r="NC129" s="2"/>
      <c r="ND129" s="2"/>
      <c r="NE129" s="2"/>
      <c r="NF129" s="2"/>
      <c r="NG129" s="2"/>
      <c r="NH129" s="2"/>
      <c r="NI129" s="2"/>
      <c r="NJ129" s="2"/>
      <c r="NK129" s="2"/>
      <c r="NL129" s="2"/>
      <c r="NM129" s="2"/>
      <c r="NN129" s="2"/>
      <c r="NO129" s="2"/>
      <c r="NP129" s="2"/>
      <c r="NQ129" s="2"/>
      <c r="NR129" s="2"/>
      <c r="NS129" s="2"/>
      <c r="NT129" s="2"/>
      <c r="NU129" s="2"/>
      <c r="NV129" s="2"/>
      <c r="NW129" s="2"/>
      <c r="NX129" s="2"/>
      <c r="NY129" s="2"/>
      <c r="NZ129" s="2"/>
      <c r="OA129" s="2"/>
      <c r="OB129" s="2"/>
      <c r="OC129" s="2"/>
      <c r="OD129" s="2"/>
      <c r="OE129" s="2"/>
      <c r="OF129" s="2"/>
      <c r="OG129" s="2"/>
      <c r="OH129" s="2"/>
      <c r="OI129" s="2"/>
      <c r="OJ129" s="2"/>
      <c r="OK129" s="2"/>
      <c r="OL129" s="2"/>
      <c r="OM129" s="2"/>
      <c r="ON129" s="2"/>
      <c r="OO129" s="2"/>
      <c r="OP129" s="2"/>
      <c r="OQ129" s="2"/>
      <c r="OR129" s="2"/>
      <c r="OS129" s="2"/>
      <c r="OT129" s="2"/>
      <c r="OU129" s="2"/>
      <c r="OV129" s="2"/>
      <c r="OW129" s="2"/>
      <c r="OX129" s="2"/>
      <c r="OY129" s="2"/>
      <c r="OZ129" s="2"/>
      <c r="PA129" s="2"/>
      <c r="PB129" s="2"/>
      <c r="PC129" s="2"/>
      <c r="PD129" s="2"/>
      <c r="PE129" s="2"/>
      <c r="PF129" s="2"/>
      <c r="PG129" s="2"/>
      <c r="PH129" s="2"/>
      <c r="PI129" s="2"/>
      <c r="PJ129" s="2"/>
      <c r="PK129" s="2"/>
      <c r="PL129" s="2"/>
      <c r="PM129" s="2"/>
      <c r="PN129" s="2"/>
      <c r="PO129" s="2"/>
      <c r="PP129" s="2"/>
      <c r="PQ129" s="2"/>
      <c r="PR129" s="2"/>
      <c r="PS129" s="2"/>
      <c r="PT129" s="2"/>
      <c r="PU129" s="2"/>
      <c r="PV129" s="2"/>
      <c r="PW129" s="2"/>
      <c r="PX129" s="2"/>
      <c r="PY129" s="2"/>
      <c r="PZ129" s="2"/>
      <c r="QA129" s="2"/>
      <c r="QB129" s="2"/>
      <c r="QC129" s="2"/>
      <c r="QD129" s="2"/>
      <c r="QE129" s="2"/>
      <c r="QF129" s="2"/>
      <c r="QG129" s="2"/>
      <c r="QH129" s="2"/>
      <c r="QI129" s="2"/>
      <c r="QJ129" s="2"/>
      <c r="QK129" s="2"/>
      <c r="QL129" s="2"/>
      <c r="QM129" s="2"/>
      <c r="QN129" s="2"/>
      <c r="QO129" s="2"/>
      <c r="QP129" s="2"/>
      <c r="QQ129" s="2"/>
      <c r="QR129" s="2"/>
      <c r="QS129" s="2"/>
      <c r="QT129" s="2"/>
      <c r="QU129" s="2"/>
      <c r="QV129" s="2"/>
      <c r="QW129" s="2"/>
      <c r="QX129" s="2"/>
      <c r="QY129" s="2"/>
      <c r="QZ129" s="2"/>
      <c r="RA129" s="2"/>
      <c r="RB129" s="2"/>
      <c r="RC129" s="2"/>
      <c r="RD129" s="2"/>
      <c r="RE129" s="2"/>
      <c r="RF129" s="2"/>
      <c r="RG129" s="2"/>
      <c r="RH129" s="2"/>
      <c r="RI129" s="2"/>
      <c r="RJ129" s="2"/>
      <c r="RK129" s="2"/>
      <c r="RL129" s="2"/>
      <c r="RM129" s="2"/>
      <c r="RN129" s="2"/>
      <c r="RO129" s="2"/>
      <c r="RP129" s="2"/>
      <c r="RQ129" s="2"/>
      <c r="RR129" s="2"/>
      <c r="RS129" s="2"/>
      <c r="RT129" s="2"/>
      <c r="RU129" s="2"/>
      <c r="RV129" s="2"/>
      <c r="RW129" s="2"/>
      <c r="RX129" s="2"/>
      <c r="RY129" s="2"/>
      <c r="RZ129" s="2"/>
      <c r="SA129" s="2"/>
      <c r="SB129" s="2"/>
      <c r="SC129" s="2"/>
      <c r="SD129" s="2"/>
      <c r="SE129" s="2"/>
      <c r="SF129" s="2"/>
      <c r="SG129" s="2"/>
      <c r="SH129" s="2"/>
      <c r="SI129" s="2"/>
      <c r="SJ129" s="2"/>
      <c r="SK129" s="2"/>
      <c r="SL129" s="2"/>
      <c r="SM129" s="2"/>
      <c r="SN129" s="2"/>
      <c r="SO129" s="2"/>
      <c r="SP129" s="2"/>
      <c r="SQ129" s="2"/>
      <c r="SR129" s="2"/>
      <c r="SS129" s="2"/>
      <c r="ST129" s="2"/>
      <c r="SU129" s="2"/>
      <c r="SV129" s="2"/>
      <c r="SW129" s="2"/>
      <c r="SX129" s="2"/>
    </row>
    <row r="130" spans="33:518" x14ac:dyDescent="0.25"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  <c r="FK130" s="2"/>
      <c r="FL130" s="2"/>
      <c r="FM130" s="2"/>
      <c r="FN130" s="2"/>
      <c r="FO130" s="2"/>
      <c r="FP130" s="2"/>
      <c r="FQ130" s="2"/>
      <c r="FR130" s="2"/>
      <c r="FS130" s="2"/>
      <c r="FT130" s="2"/>
      <c r="FU130" s="2"/>
      <c r="FV130" s="2"/>
      <c r="FW130" s="2"/>
      <c r="FX130" s="2"/>
      <c r="FY130" s="2"/>
      <c r="FZ130" s="2"/>
      <c r="GA130" s="2"/>
      <c r="GB130" s="2"/>
      <c r="GC130" s="2"/>
      <c r="GD130" s="2"/>
      <c r="GE130" s="2"/>
      <c r="GF130" s="2"/>
      <c r="GG130" s="2"/>
      <c r="GH130" s="2"/>
      <c r="GI130" s="2"/>
      <c r="GJ130" s="2"/>
      <c r="GK130" s="2"/>
      <c r="GL130" s="2"/>
      <c r="GM130" s="2"/>
      <c r="GN130" s="2"/>
      <c r="GO130" s="2"/>
      <c r="GP130" s="2"/>
      <c r="GQ130" s="2"/>
      <c r="GR130" s="2"/>
      <c r="GS130" s="2"/>
      <c r="GT130" s="2"/>
      <c r="GU130" s="2"/>
      <c r="GV130" s="2"/>
      <c r="GW130" s="2"/>
      <c r="GX130" s="2"/>
      <c r="GY130" s="2"/>
      <c r="GZ130" s="2"/>
      <c r="HA130" s="2"/>
      <c r="HB130" s="2"/>
      <c r="HC130" s="2"/>
      <c r="HD130" s="2"/>
      <c r="HE130" s="2"/>
      <c r="HF130" s="2"/>
      <c r="HG130" s="2"/>
      <c r="HH130" s="2"/>
      <c r="HI130" s="2"/>
      <c r="HJ130" s="2"/>
      <c r="HK130" s="2"/>
      <c r="HL130" s="2"/>
      <c r="HM130" s="2"/>
      <c r="HN130" s="2"/>
      <c r="HO130" s="2"/>
      <c r="HP130" s="2"/>
      <c r="HQ130" s="2"/>
      <c r="HR130" s="2"/>
      <c r="HS130" s="2"/>
      <c r="HT130" s="2"/>
      <c r="HU130" s="2"/>
      <c r="HV130" s="2"/>
      <c r="HW130" s="2"/>
      <c r="HX130" s="2"/>
      <c r="HY130" s="2"/>
      <c r="HZ130" s="2"/>
      <c r="IA130" s="2"/>
      <c r="IB130" s="2"/>
      <c r="IC130" s="2"/>
      <c r="ID130" s="2"/>
      <c r="IE130" s="2"/>
      <c r="IF130" s="2"/>
      <c r="IG130" s="2"/>
      <c r="IH130" s="2"/>
      <c r="II130" s="2"/>
      <c r="IJ130" s="2"/>
      <c r="IK130" s="2"/>
      <c r="IL130" s="2"/>
      <c r="IM130" s="2"/>
      <c r="IN130" s="2"/>
      <c r="IO130" s="2"/>
      <c r="IP130" s="2"/>
      <c r="IQ130" s="2"/>
      <c r="IR130" s="2"/>
      <c r="IS130" s="2"/>
      <c r="IT130" s="2"/>
      <c r="IU130" s="2"/>
      <c r="IV130" s="2"/>
      <c r="IW130" s="2"/>
      <c r="IX130" s="2"/>
      <c r="IY130" s="2"/>
      <c r="IZ130" s="2"/>
      <c r="JA130" s="2"/>
      <c r="JB130" s="2"/>
      <c r="JC130" s="2"/>
      <c r="JD130" s="2"/>
      <c r="JE130" s="2"/>
      <c r="JF130" s="2"/>
      <c r="JG130" s="2"/>
      <c r="JH130" s="2"/>
      <c r="JI130" s="2"/>
      <c r="JJ130" s="2"/>
      <c r="JK130" s="2"/>
      <c r="JL130" s="2"/>
      <c r="JM130" s="2"/>
      <c r="JN130" s="2"/>
      <c r="JO130" s="2"/>
      <c r="JP130" s="2"/>
      <c r="JQ130" s="2"/>
      <c r="JR130" s="2"/>
      <c r="JS130" s="2"/>
      <c r="JT130" s="2"/>
      <c r="JU130" s="2"/>
      <c r="JV130" s="2"/>
      <c r="JW130" s="2"/>
      <c r="JX130" s="2"/>
      <c r="JY130" s="2"/>
      <c r="JZ130" s="2"/>
      <c r="KA130" s="2"/>
      <c r="KB130" s="2"/>
      <c r="KC130" s="2"/>
      <c r="KD130" s="2"/>
      <c r="KE130" s="2"/>
      <c r="KF130" s="2"/>
      <c r="KG130" s="2"/>
      <c r="KH130" s="2"/>
      <c r="KI130" s="2"/>
      <c r="KJ130" s="2"/>
      <c r="KK130" s="2"/>
      <c r="KL130" s="2"/>
      <c r="KM130" s="2"/>
      <c r="KN130" s="2"/>
      <c r="KO130" s="2"/>
      <c r="KP130" s="2"/>
      <c r="KQ130" s="2"/>
      <c r="KR130" s="2"/>
      <c r="KS130" s="2"/>
      <c r="KT130" s="2"/>
      <c r="KU130" s="2"/>
      <c r="KV130" s="2"/>
      <c r="KW130" s="2"/>
      <c r="KX130" s="2"/>
      <c r="KY130" s="2"/>
      <c r="KZ130" s="2"/>
      <c r="LA130" s="2"/>
      <c r="LB130" s="2"/>
      <c r="LC130" s="2"/>
      <c r="LD130" s="2"/>
      <c r="LE130" s="2"/>
      <c r="LF130" s="2"/>
      <c r="LG130" s="2"/>
      <c r="LH130" s="2"/>
      <c r="LI130" s="2"/>
      <c r="LJ130" s="2"/>
      <c r="LK130" s="2"/>
      <c r="LL130" s="2"/>
      <c r="LM130" s="2"/>
      <c r="LN130" s="2"/>
      <c r="LO130" s="2"/>
      <c r="LP130" s="2"/>
      <c r="LQ130" s="2"/>
      <c r="LR130" s="2"/>
      <c r="LS130" s="2"/>
      <c r="LT130" s="2"/>
      <c r="LU130" s="2"/>
      <c r="LV130" s="2"/>
      <c r="LW130" s="2"/>
      <c r="LX130" s="2"/>
      <c r="LY130" s="2"/>
      <c r="LZ130" s="2"/>
      <c r="MA130" s="2"/>
      <c r="MB130" s="2"/>
      <c r="MC130" s="2"/>
      <c r="MD130" s="2"/>
      <c r="ME130" s="2"/>
      <c r="MF130" s="2"/>
      <c r="MG130" s="2"/>
      <c r="MH130" s="2"/>
      <c r="MI130" s="2"/>
      <c r="MJ130" s="2"/>
      <c r="MK130" s="2"/>
      <c r="ML130" s="2"/>
      <c r="MM130" s="2"/>
      <c r="MN130" s="2"/>
      <c r="MO130" s="2"/>
      <c r="MP130" s="2"/>
      <c r="MQ130" s="2"/>
      <c r="MR130" s="2"/>
      <c r="MS130" s="2"/>
      <c r="MT130" s="2"/>
      <c r="MU130" s="2"/>
      <c r="MV130" s="2"/>
      <c r="MW130" s="2"/>
      <c r="MX130" s="2"/>
      <c r="MY130" s="2"/>
      <c r="MZ130" s="2"/>
      <c r="NA130" s="2"/>
      <c r="NB130" s="2"/>
      <c r="NC130" s="2"/>
      <c r="ND130" s="2"/>
      <c r="NE130" s="2"/>
      <c r="NF130" s="2"/>
      <c r="NG130" s="2"/>
      <c r="NH130" s="2"/>
      <c r="NI130" s="2"/>
      <c r="NJ130" s="2"/>
      <c r="NK130" s="2"/>
      <c r="NL130" s="2"/>
      <c r="NM130" s="2"/>
      <c r="NN130" s="2"/>
      <c r="NO130" s="2"/>
      <c r="NP130" s="2"/>
      <c r="NQ130" s="2"/>
      <c r="NR130" s="2"/>
      <c r="NS130" s="2"/>
      <c r="NT130" s="2"/>
      <c r="NU130" s="2"/>
      <c r="NV130" s="2"/>
      <c r="NW130" s="2"/>
      <c r="NX130" s="2"/>
      <c r="NY130" s="2"/>
      <c r="NZ130" s="2"/>
      <c r="OA130" s="2"/>
      <c r="OB130" s="2"/>
      <c r="OC130" s="2"/>
      <c r="OD130" s="2"/>
      <c r="OE130" s="2"/>
      <c r="OF130" s="2"/>
      <c r="OG130" s="2"/>
      <c r="OH130" s="2"/>
      <c r="OI130" s="2"/>
      <c r="OJ130" s="2"/>
      <c r="OK130" s="2"/>
      <c r="OL130" s="2"/>
      <c r="OM130" s="2"/>
      <c r="ON130" s="2"/>
      <c r="OO130" s="2"/>
      <c r="OP130" s="2"/>
      <c r="OQ130" s="2"/>
      <c r="OR130" s="2"/>
      <c r="OS130" s="2"/>
      <c r="OT130" s="2"/>
      <c r="OU130" s="2"/>
      <c r="OV130" s="2"/>
      <c r="OW130" s="2"/>
      <c r="OX130" s="2"/>
      <c r="OY130" s="2"/>
      <c r="OZ130" s="2"/>
      <c r="PA130" s="2"/>
      <c r="PB130" s="2"/>
      <c r="PC130" s="2"/>
      <c r="PD130" s="2"/>
      <c r="PE130" s="2"/>
      <c r="PF130" s="2"/>
      <c r="PG130" s="2"/>
      <c r="PH130" s="2"/>
      <c r="PI130" s="2"/>
      <c r="PJ130" s="2"/>
      <c r="PK130" s="2"/>
      <c r="PL130" s="2"/>
      <c r="PM130" s="2"/>
      <c r="PN130" s="2"/>
      <c r="PO130" s="2"/>
      <c r="PP130" s="2"/>
      <c r="PQ130" s="2"/>
      <c r="PR130" s="2"/>
      <c r="PS130" s="2"/>
      <c r="PT130" s="2"/>
      <c r="PU130" s="2"/>
      <c r="PV130" s="2"/>
      <c r="PW130" s="2"/>
      <c r="PX130" s="2"/>
      <c r="PY130" s="2"/>
      <c r="PZ130" s="2"/>
      <c r="QA130" s="2"/>
      <c r="QB130" s="2"/>
      <c r="QC130" s="2"/>
      <c r="QD130" s="2"/>
      <c r="QE130" s="2"/>
      <c r="QF130" s="2"/>
      <c r="QG130" s="2"/>
      <c r="QH130" s="2"/>
      <c r="QI130" s="2"/>
      <c r="QJ130" s="2"/>
      <c r="QK130" s="2"/>
      <c r="QL130" s="2"/>
      <c r="QM130" s="2"/>
      <c r="QN130" s="2"/>
      <c r="QO130" s="2"/>
      <c r="QP130" s="2"/>
      <c r="QQ130" s="2"/>
      <c r="QR130" s="2"/>
      <c r="QS130" s="2"/>
      <c r="QT130" s="2"/>
      <c r="QU130" s="2"/>
      <c r="QV130" s="2"/>
      <c r="QW130" s="2"/>
      <c r="QX130" s="2"/>
      <c r="QY130" s="2"/>
      <c r="QZ130" s="2"/>
      <c r="RA130" s="2"/>
      <c r="RB130" s="2"/>
      <c r="RC130" s="2"/>
      <c r="RD130" s="2"/>
      <c r="RE130" s="2"/>
      <c r="RF130" s="2"/>
      <c r="RG130" s="2"/>
      <c r="RH130" s="2"/>
      <c r="RI130" s="2"/>
      <c r="RJ130" s="2"/>
      <c r="RK130" s="2"/>
      <c r="RL130" s="2"/>
      <c r="RM130" s="2"/>
      <c r="RN130" s="2"/>
      <c r="RO130" s="2"/>
      <c r="RP130" s="2"/>
      <c r="RQ130" s="2"/>
      <c r="RR130" s="2"/>
      <c r="RS130" s="2"/>
      <c r="RT130" s="2"/>
      <c r="RU130" s="2"/>
      <c r="RV130" s="2"/>
      <c r="RW130" s="2"/>
      <c r="RX130" s="2"/>
      <c r="RY130" s="2"/>
      <c r="RZ130" s="2"/>
      <c r="SA130" s="2"/>
      <c r="SB130" s="2"/>
      <c r="SC130" s="2"/>
      <c r="SD130" s="2"/>
      <c r="SE130" s="2"/>
      <c r="SF130" s="2"/>
      <c r="SG130" s="2"/>
      <c r="SH130" s="2"/>
      <c r="SI130" s="2"/>
      <c r="SJ130" s="2"/>
      <c r="SK130" s="2"/>
      <c r="SL130" s="2"/>
      <c r="SM130" s="2"/>
      <c r="SN130" s="2"/>
      <c r="SO130" s="2"/>
      <c r="SP130" s="2"/>
      <c r="SQ130" s="2"/>
      <c r="SR130" s="2"/>
      <c r="SS130" s="2"/>
      <c r="ST130" s="2"/>
      <c r="SU130" s="2"/>
      <c r="SV130" s="2"/>
      <c r="SW130" s="2"/>
      <c r="SX130" s="2"/>
    </row>
    <row r="131" spans="33:518" x14ac:dyDescent="0.25"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  <c r="FK131" s="2"/>
      <c r="FL131" s="2"/>
      <c r="FM131" s="2"/>
      <c r="FN131" s="2"/>
      <c r="FO131" s="2"/>
      <c r="FP131" s="2"/>
      <c r="FQ131" s="2"/>
      <c r="FR131" s="2"/>
      <c r="FS131" s="2"/>
      <c r="FT131" s="2"/>
      <c r="FU131" s="2"/>
      <c r="FV131" s="2"/>
      <c r="FW131" s="2"/>
      <c r="FX131" s="2"/>
      <c r="FY131" s="2"/>
      <c r="FZ131" s="2"/>
      <c r="GA131" s="2"/>
      <c r="GB131" s="2"/>
      <c r="GC131" s="2"/>
      <c r="GD131" s="2"/>
      <c r="GE131" s="2"/>
      <c r="GF131" s="2"/>
      <c r="GG131" s="2"/>
      <c r="GH131" s="2"/>
      <c r="GI131" s="2"/>
      <c r="GJ131" s="2"/>
      <c r="GK131" s="2"/>
      <c r="GL131" s="2"/>
      <c r="GM131" s="2"/>
      <c r="GN131" s="2"/>
      <c r="GO131" s="2"/>
      <c r="GP131" s="2"/>
      <c r="GQ131" s="2"/>
      <c r="GR131" s="2"/>
      <c r="GS131" s="2"/>
      <c r="GT131" s="2"/>
      <c r="GU131" s="2"/>
      <c r="GV131" s="2"/>
      <c r="GW131" s="2"/>
      <c r="GX131" s="2"/>
      <c r="GY131" s="2"/>
      <c r="GZ131" s="2"/>
      <c r="HA131" s="2"/>
      <c r="HB131" s="2"/>
      <c r="HC131" s="2"/>
      <c r="HD131" s="2"/>
      <c r="HE131" s="2"/>
      <c r="HF131" s="2"/>
      <c r="HG131" s="2"/>
      <c r="HH131" s="2"/>
      <c r="HI131" s="2"/>
      <c r="HJ131" s="2"/>
      <c r="HK131" s="2"/>
      <c r="HL131" s="2"/>
      <c r="HM131" s="2"/>
      <c r="HN131" s="2"/>
      <c r="HO131" s="2"/>
      <c r="HP131" s="2"/>
      <c r="HQ131" s="2"/>
      <c r="HR131" s="2"/>
      <c r="HS131" s="2"/>
      <c r="HT131" s="2"/>
      <c r="HU131" s="2"/>
      <c r="HV131" s="2"/>
      <c r="HW131" s="2"/>
      <c r="HX131" s="2"/>
      <c r="HY131" s="2"/>
      <c r="HZ131" s="2"/>
      <c r="IA131" s="2"/>
      <c r="IB131" s="2"/>
      <c r="IC131" s="2"/>
      <c r="ID131" s="2"/>
      <c r="IE131" s="2"/>
      <c r="IF131" s="2"/>
      <c r="IG131" s="2"/>
      <c r="IH131" s="2"/>
      <c r="II131" s="2"/>
      <c r="IJ131" s="2"/>
      <c r="IK131" s="2"/>
      <c r="IL131" s="2"/>
      <c r="IM131" s="2"/>
      <c r="IN131" s="2"/>
      <c r="IO131" s="2"/>
      <c r="IP131" s="2"/>
      <c r="IQ131" s="2"/>
      <c r="IR131" s="2"/>
      <c r="IS131" s="2"/>
      <c r="IT131" s="2"/>
      <c r="IU131" s="2"/>
      <c r="IV131" s="2"/>
      <c r="IW131" s="2"/>
      <c r="IX131" s="2"/>
      <c r="IY131" s="2"/>
      <c r="IZ131" s="2"/>
      <c r="JA131" s="2"/>
      <c r="JB131" s="2"/>
      <c r="JC131" s="2"/>
      <c r="JD131" s="2"/>
      <c r="JE131" s="2"/>
      <c r="JF131" s="2"/>
      <c r="JG131" s="2"/>
      <c r="JH131" s="2"/>
      <c r="JI131" s="2"/>
      <c r="JJ131" s="2"/>
      <c r="JK131" s="2"/>
      <c r="JL131" s="2"/>
      <c r="JM131" s="2"/>
      <c r="JN131" s="2"/>
      <c r="JO131" s="2"/>
      <c r="JP131" s="2"/>
      <c r="JQ131" s="2"/>
      <c r="JR131" s="2"/>
      <c r="JS131" s="2"/>
      <c r="JT131" s="2"/>
      <c r="JU131" s="2"/>
      <c r="JV131" s="2"/>
      <c r="JW131" s="2"/>
      <c r="JX131" s="2"/>
      <c r="JY131" s="2"/>
      <c r="JZ131" s="2"/>
      <c r="KA131" s="2"/>
      <c r="KB131" s="2"/>
      <c r="KC131" s="2"/>
      <c r="KD131" s="2"/>
      <c r="KE131" s="2"/>
      <c r="KF131" s="2"/>
      <c r="KG131" s="2"/>
      <c r="KH131" s="2"/>
      <c r="KI131" s="2"/>
      <c r="KJ131" s="2"/>
      <c r="KK131" s="2"/>
      <c r="KL131" s="2"/>
      <c r="KM131" s="2"/>
      <c r="KN131" s="2"/>
      <c r="KO131" s="2"/>
      <c r="KP131" s="2"/>
      <c r="KQ131" s="2"/>
      <c r="KR131" s="2"/>
      <c r="KS131" s="2"/>
      <c r="KT131" s="2"/>
      <c r="KU131" s="2"/>
      <c r="KV131" s="2"/>
      <c r="KW131" s="2"/>
      <c r="KX131" s="2"/>
      <c r="KY131" s="2"/>
      <c r="KZ131" s="2"/>
      <c r="LA131" s="2"/>
      <c r="LB131" s="2"/>
      <c r="LC131" s="2"/>
      <c r="LD131" s="2"/>
      <c r="LE131" s="2"/>
      <c r="LF131" s="2"/>
      <c r="LG131" s="2"/>
      <c r="LH131" s="2"/>
      <c r="LI131" s="2"/>
      <c r="LJ131" s="2"/>
      <c r="LK131" s="2"/>
      <c r="LL131" s="2"/>
      <c r="LM131" s="2"/>
      <c r="LN131" s="2"/>
      <c r="LO131" s="2"/>
      <c r="LP131" s="2"/>
      <c r="LQ131" s="2"/>
      <c r="LR131" s="2"/>
      <c r="LS131" s="2"/>
      <c r="LT131" s="2"/>
      <c r="LU131" s="2"/>
      <c r="LV131" s="2"/>
      <c r="LW131" s="2"/>
      <c r="LX131" s="2"/>
      <c r="LY131" s="2"/>
      <c r="LZ131" s="2"/>
      <c r="MA131" s="2"/>
      <c r="MB131" s="2"/>
      <c r="MC131" s="2"/>
      <c r="MD131" s="2"/>
      <c r="ME131" s="2"/>
      <c r="MF131" s="2"/>
      <c r="MG131" s="2"/>
      <c r="MH131" s="2"/>
      <c r="MI131" s="2"/>
      <c r="MJ131" s="2"/>
      <c r="MK131" s="2"/>
      <c r="ML131" s="2"/>
      <c r="MM131" s="2"/>
      <c r="MN131" s="2"/>
      <c r="MO131" s="2"/>
      <c r="MP131" s="2"/>
      <c r="MQ131" s="2"/>
      <c r="MR131" s="2"/>
      <c r="MS131" s="2"/>
      <c r="MT131" s="2"/>
      <c r="MU131" s="2"/>
      <c r="MV131" s="2"/>
      <c r="MW131" s="2"/>
      <c r="MX131" s="2"/>
      <c r="MY131" s="2"/>
      <c r="MZ131" s="2"/>
      <c r="NA131" s="2"/>
      <c r="NB131" s="2"/>
      <c r="NC131" s="2"/>
      <c r="ND131" s="2"/>
      <c r="NE131" s="2"/>
      <c r="NF131" s="2"/>
      <c r="NG131" s="2"/>
      <c r="NH131" s="2"/>
      <c r="NI131" s="2"/>
      <c r="NJ131" s="2"/>
      <c r="NK131" s="2"/>
      <c r="NL131" s="2"/>
      <c r="NM131" s="2"/>
      <c r="NN131" s="2"/>
      <c r="NO131" s="2"/>
      <c r="NP131" s="2"/>
      <c r="NQ131" s="2"/>
      <c r="NR131" s="2"/>
      <c r="NS131" s="2"/>
      <c r="NT131" s="2"/>
      <c r="NU131" s="2"/>
      <c r="NV131" s="2"/>
      <c r="NW131" s="2"/>
      <c r="NX131" s="2"/>
      <c r="NY131" s="2"/>
      <c r="NZ131" s="2"/>
      <c r="OA131" s="2"/>
      <c r="OB131" s="2"/>
      <c r="OC131" s="2"/>
      <c r="OD131" s="2"/>
      <c r="OE131" s="2"/>
      <c r="OF131" s="2"/>
      <c r="OG131" s="2"/>
      <c r="OH131" s="2"/>
      <c r="OI131" s="2"/>
      <c r="OJ131" s="2"/>
      <c r="OK131" s="2"/>
      <c r="OL131" s="2"/>
      <c r="OM131" s="2"/>
      <c r="ON131" s="2"/>
      <c r="OO131" s="2"/>
      <c r="OP131" s="2"/>
      <c r="OQ131" s="2"/>
      <c r="OR131" s="2"/>
      <c r="OS131" s="2"/>
      <c r="OT131" s="2"/>
      <c r="OU131" s="2"/>
      <c r="OV131" s="2"/>
      <c r="OW131" s="2"/>
      <c r="OX131" s="2"/>
      <c r="OY131" s="2"/>
      <c r="OZ131" s="2"/>
      <c r="PA131" s="2"/>
      <c r="PB131" s="2"/>
      <c r="PC131" s="2"/>
      <c r="PD131" s="2"/>
      <c r="PE131" s="2"/>
      <c r="PF131" s="2"/>
      <c r="PG131" s="2"/>
      <c r="PH131" s="2"/>
      <c r="PI131" s="2"/>
      <c r="PJ131" s="2"/>
      <c r="PK131" s="2"/>
      <c r="PL131" s="2"/>
      <c r="PM131" s="2"/>
      <c r="PN131" s="2"/>
      <c r="PO131" s="2"/>
      <c r="PP131" s="2"/>
      <c r="PQ131" s="2"/>
      <c r="PR131" s="2"/>
      <c r="PS131" s="2"/>
      <c r="PT131" s="2"/>
      <c r="PU131" s="2"/>
      <c r="PV131" s="2"/>
      <c r="PW131" s="2"/>
      <c r="PX131" s="2"/>
      <c r="PY131" s="2"/>
      <c r="PZ131" s="2"/>
      <c r="QA131" s="2"/>
      <c r="QB131" s="2"/>
      <c r="QC131" s="2"/>
      <c r="QD131" s="2"/>
      <c r="QE131" s="2"/>
      <c r="QF131" s="2"/>
      <c r="QG131" s="2"/>
      <c r="QH131" s="2"/>
      <c r="QI131" s="2"/>
      <c r="QJ131" s="2"/>
      <c r="QK131" s="2"/>
      <c r="QL131" s="2"/>
      <c r="QM131" s="2"/>
      <c r="QN131" s="2"/>
      <c r="QO131" s="2"/>
      <c r="QP131" s="2"/>
      <c r="QQ131" s="2"/>
      <c r="QR131" s="2"/>
      <c r="QS131" s="2"/>
      <c r="QT131" s="2"/>
      <c r="QU131" s="2"/>
      <c r="QV131" s="2"/>
      <c r="QW131" s="2"/>
      <c r="QX131" s="2"/>
      <c r="QY131" s="2"/>
      <c r="QZ131" s="2"/>
      <c r="RA131" s="2"/>
      <c r="RB131" s="2"/>
      <c r="RC131" s="2"/>
      <c r="RD131" s="2"/>
      <c r="RE131" s="2"/>
      <c r="RF131" s="2"/>
      <c r="RG131" s="2"/>
      <c r="RH131" s="2"/>
      <c r="RI131" s="2"/>
      <c r="RJ131" s="2"/>
      <c r="RK131" s="2"/>
      <c r="RL131" s="2"/>
      <c r="RM131" s="2"/>
      <c r="RN131" s="2"/>
      <c r="RO131" s="2"/>
      <c r="RP131" s="2"/>
      <c r="RQ131" s="2"/>
      <c r="RR131" s="2"/>
      <c r="RS131" s="2"/>
      <c r="RT131" s="2"/>
      <c r="RU131" s="2"/>
      <c r="RV131" s="2"/>
      <c r="RW131" s="2"/>
      <c r="RX131" s="2"/>
      <c r="RY131" s="2"/>
      <c r="RZ131" s="2"/>
      <c r="SA131" s="2"/>
      <c r="SB131" s="2"/>
      <c r="SC131" s="2"/>
      <c r="SD131" s="2"/>
      <c r="SE131" s="2"/>
      <c r="SF131" s="2"/>
      <c r="SG131" s="2"/>
      <c r="SH131" s="2"/>
      <c r="SI131" s="2"/>
      <c r="SJ131" s="2"/>
      <c r="SK131" s="2"/>
      <c r="SL131" s="2"/>
      <c r="SM131" s="2"/>
      <c r="SN131" s="2"/>
      <c r="SO131" s="2"/>
      <c r="SP131" s="2"/>
      <c r="SQ131" s="2"/>
      <c r="SR131" s="2"/>
      <c r="SS131" s="2"/>
      <c r="ST131" s="2"/>
      <c r="SU131" s="2"/>
      <c r="SV131" s="2"/>
      <c r="SW131" s="2"/>
      <c r="SX131" s="2"/>
    </row>
    <row r="132" spans="33:518" x14ac:dyDescent="0.25"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  <c r="FK132" s="2"/>
      <c r="FL132" s="2"/>
      <c r="FM132" s="2"/>
      <c r="FN132" s="2"/>
      <c r="FO132" s="2"/>
      <c r="FP132" s="2"/>
      <c r="FQ132" s="2"/>
      <c r="FR132" s="2"/>
      <c r="FS132" s="2"/>
      <c r="FT132" s="2"/>
      <c r="FU132" s="2"/>
      <c r="FV132" s="2"/>
      <c r="FW132" s="2"/>
      <c r="FX132" s="2"/>
      <c r="FY132" s="2"/>
      <c r="FZ132" s="2"/>
      <c r="GA132" s="2"/>
      <c r="GB132" s="2"/>
      <c r="GC132" s="2"/>
      <c r="GD132" s="2"/>
      <c r="GE132" s="2"/>
      <c r="GF132" s="2"/>
      <c r="GG132" s="2"/>
      <c r="GH132" s="2"/>
      <c r="GI132" s="2"/>
      <c r="GJ132" s="2"/>
      <c r="GK132" s="2"/>
      <c r="GL132" s="2"/>
      <c r="GM132" s="2"/>
      <c r="GN132" s="2"/>
      <c r="GO132" s="2"/>
      <c r="GP132" s="2"/>
      <c r="GQ132" s="2"/>
      <c r="GR132" s="2"/>
      <c r="GS132" s="2"/>
      <c r="GT132" s="2"/>
      <c r="GU132" s="2"/>
      <c r="GV132" s="2"/>
      <c r="GW132" s="2"/>
      <c r="GX132" s="2"/>
      <c r="GY132" s="2"/>
      <c r="GZ132" s="2"/>
      <c r="HA132" s="2"/>
      <c r="HB132" s="2"/>
      <c r="HC132" s="2"/>
      <c r="HD132" s="2"/>
      <c r="HE132" s="2"/>
      <c r="HF132" s="2"/>
      <c r="HG132" s="2"/>
      <c r="HH132" s="2"/>
      <c r="HI132" s="2"/>
      <c r="HJ132" s="2"/>
      <c r="HK132" s="2"/>
      <c r="HL132" s="2"/>
      <c r="HM132" s="2"/>
      <c r="HN132" s="2"/>
      <c r="HO132" s="2"/>
      <c r="HP132" s="2"/>
      <c r="HQ132" s="2"/>
      <c r="HR132" s="2"/>
      <c r="HS132" s="2"/>
      <c r="HT132" s="2"/>
      <c r="HU132" s="2"/>
      <c r="HV132" s="2"/>
      <c r="HW132" s="2"/>
      <c r="HX132" s="2"/>
      <c r="HY132" s="2"/>
      <c r="HZ132" s="2"/>
      <c r="IA132" s="2"/>
      <c r="IB132" s="2"/>
      <c r="IC132" s="2"/>
      <c r="ID132" s="2"/>
      <c r="IE132" s="2"/>
      <c r="IF132" s="2"/>
      <c r="IG132" s="2"/>
      <c r="IH132" s="2"/>
      <c r="II132" s="2"/>
      <c r="IJ132" s="2"/>
      <c r="IK132" s="2"/>
      <c r="IL132" s="2"/>
      <c r="IM132" s="2"/>
      <c r="IN132" s="2"/>
      <c r="IO132" s="2"/>
      <c r="IP132" s="2"/>
      <c r="IQ132" s="2"/>
      <c r="IR132" s="2"/>
      <c r="IS132" s="2"/>
      <c r="IT132" s="2"/>
      <c r="IU132" s="2"/>
      <c r="IV132" s="2"/>
      <c r="IW132" s="2"/>
      <c r="IX132" s="2"/>
      <c r="IY132" s="2"/>
      <c r="IZ132" s="2"/>
      <c r="JA132" s="2"/>
      <c r="JB132" s="2"/>
      <c r="JC132" s="2"/>
      <c r="JD132" s="2"/>
      <c r="JE132" s="2"/>
      <c r="JF132" s="2"/>
      <c r="JG132" s="2"/>
      <c r="JH132" s="2"/>
      <c r="JI132" s="2"/>
      <c r="JJ132" s="2"/>
      <c r="JK132" s="2"/>
      <c r="JL132" s="2"/>
      <c r="JM132" s="2"/>
      <c r="JN132" s="2"/>
      <c r="JO132" s="2"/>
      <c r="JP132" s="2"/>
      <c r="JQ132" s="2"/>
      <c r="JR132" s="2"/>
      <c r="JS132" s="2"/>
      <c r="JT132" s="2"/>
      <c r="JU132" s="2"/>
      <c r="JV132" s="2"/>
      <c r="JW132" s="2"/>
      <c r="JX132" s="2"/>
      <c r="JY132" s="2"/>
      <c r="JZ132" s="2"/>
      <c r="KA132" s="2"/>
      <c r="KB132" s="2"/>
      <c r="KC132" s="2"/>
      <c r="KD132" s="2"/>
      <c r="KE132" s="2"/>
      <c r="KF132" s="2"/>
      <c r="KG132" s="2"/>
      <c r="KH132" s="2"/>
      <c r="KI132" s="2"/>
      <c r="KJ132" s="2"/>
      <c r="KK132" s="2"/>
      <c r="KL132" s="2"/>
      <c r="KM132" s="2"/>
      <c r="KN132" s="2"/>
      <c r="KO132" s="2"/>
      <c r="KP132" s="2"/>
      <c r="KQ132" s="2"/>
      <c r="KR132" s="2"/>
      <c r="KS132" s="2"/>
      <c r="KT132" s="2"/>
      <c r="KU132" s="2"/>
      <c r="KV132" s="2"/>
      <c r="KW132" s="2"/>
      <c r="KX132" s="2"/>
      <c r="KY132" s="2"/>
      <c r="KZ132" s="2"/>
      <c r="LA132" s="2"/>
      <c r="LB132" s="2"/>
      <c r="LC132" s="2"/>
      <c r="LD132" s="2"/>
      <c r="LE132" s="2"/>
      <c r="LF132" s="2"/>
      <c r="LG132" s="2"/>
      <c r="LH132" s="2"/>
      <c r="LI132" s="2"/>
      <c r="LJ132" s="2"/>
      <c r="LK132" s="2"/>
      <c r="LL132" s="2"/>
      <c r="LM132" s="2"/>
      <c r="LN132" s="2"/>
      <c r="LO132" s="2"/>
      <c r="LP132" s="2"/>
      <c r="LQ132" s="2"/>
      <c r="LR132" s="2"/>
      <c r="LS132" s="2"/>
      <c r="LT132" s="2"/>
      <c r="LU132" s="2"/>
      <c r="LV132" s="2"/>
      <c r="LW132" s="2"/>
      <c r="LX132" s="2"/>
      <c r="LY132" s="2"/>
      <c r="LZ132" s="2"/>
      <c r="MA132" s="2"/>
      <c r="MB132" s="2"/>
      <c r="MC132" s="2"/>
      <c r="MD132" s="2"/>
      <c r="ME132" s="2"/>
      <c r="MF132" s="2"/>
      <c r="MG132" s="2"/>
      <c r="MH132" s="2"/>
      <c r="MI132" s="2"/>
      <c r="MJ132" s="2"/>
      <c r="MK132" s="2"/>
      <c r="ML132" s="2"/>
      <c r="MM132" s="2"/>
      <c r="MN132" s="2"/>
      <c r="MO132" s="2"/>
      <c r="MP132" s="2"/>
      <c r="MQ132" s="2"/>
      <c r="MR132" s="2"/>
      <c r="MS132" s="2"/>
      <c r="MT132" s="2"/>
      <c r="MU132" s="2"/>
      <c r="MV132" s="2"/>
      <c r="MW132" s="2"/>
      <c r="MX132" s="2"/>
      <c r="MY132" s="2"/>
      <c r="MZ132" s="2"/>
      <c r="NA132" s="2"/>
      <c r="NB132" s="2"/>
      <c r="NC132" s="2"/>
      <c r="ND132" s="2"/>
      <c r="NE132" s="2"/>
      <c r="NF132" s="2"/>
      <c r="NG132" s="2"/>
      <c r="NH132" s="2"/>
      <c r="NI132" s="2"/>
      <c r="NJ132" s="2"/>
      <c r="NK132" s="2"/>
      <c r="NL132" s="2"/>
      <c r="NM132" s="2"/>
      <c r="NN132" s="2"/>
      <c r="NO132" s="2"/>
      <c r="NP132" s="2"/>
      <c r="NQ132" s="2"/>
      <c r="NR132" s="2"/>
      <c r="NS132" s="2"/>
      <c r="NT132" s="2"/>
      <c r="NU132" s="2"/>
      <c r="NV132" s="2"/>
      <c r="NW132" s="2"/>
      <c r="NX132" s="2"/>
      <c r="NY132" s="2"/>
      <c r="NZ132" s="2"/>
      <c r="OA132" s="2"/>
      <c r="OB132" s="2"/>
      <c r="OC132" s="2"/>
      <c r="OD132" s="2"/>
      <c r="OE132" s="2"/>
      <c r="OF132" s="2"/>
      <c r="OG132" s="2"/>
      <c r="OH132" s="2"/>
      <c r="OI132" s="2"/>
      <c r="OJ132" s="2"/>
      <c r="OK132" s="2"/>
      <c r="OL132" s="2"/>
      <c r="OM132" s="2"/>
      <c r="ON132" s="2"/>
      <c r="OO132" s="2"/>
      <c r="OP132" s="2"/>
      <c r="OQ132" s="2"/>
      <c r="OR132" s="2"/>
      <c r="OS132" s="2"/>
      <c r="OT132" s="2"/>
      <c r="OU132" s="2"/>
      <c r="OV132" s="2"/>
      <c r="OW132" s="2"/>
      <c r="OX132" s="2"/>
      <c r="OY132" s="2"/>
      <c r="OZ132" s="2"/>
      <c r="PA132" s="2"/>
      <c r="PB132" s="2"/>
      <c r="PC132" s="2"/>
      <c r="PD132" s="2"/>
      <c r="PE132" s="2"/>
      <c r="PF132" s="2"/>
      <c r="PG132" s="2"/>
      <c r="PH132" s="2"/>
      <c r="PI132" s="2"/>
      <c r="PJ132" s="2"/>
      <c r="PK132" s="2"/>
      <c r="PL132" s="2"/>
      <c r="PM132" s="2"/>
      <c r="PN132" s="2"/>
      <c r="PO132" s="2"/>
      <c r="PP132" s="2"/>
      <c r="PQ132" s="2"/>
      <c r="PR132" s="2"/>
      <c r="PS132" s="2"/>
      <c r="PT132" s="2"/>
      <c r="PU132" s="2"/>
      <c r="PV132" s="2"/>
      <c r="PW132" s="2"/>
      <c r="PX132" s="2"/>
      <c r="PY132" s="2"/>
      <c r="PZ132" s="2"/>
      <c r="QA132" s="2"/>
      <c r="QB132" s="2"/>
      <c r="QC132" s="2"/>
      <c r="QD132" s="2"/>
      <c r="QE132" s="2"/>
      <c r="QF132" s="2"/>
      <c r="QG132" s="2"/>
      <c r="QH132" s="2"/>
      <c r="QI132" s="2"/>
      <c r="QJ132" s="2"/>
      <c r="QK132" s="2"/>
      <c r="QL132" s="2"/>
      <c r="QM132" s="2"/>
      <c r="QN132" s="2"/>
      <c r="QO132" s="2"/>
      <c r="QP132" s="2"/>
      <c r="QQ132" s="2"/>
      <c r="QR132" s="2"/>
      <c r="QS132" s="2"/>
      <c r="QT132" s="2"/>
      <c r="QU132" s="2"/>
      <c r="QV132" s="2"/>
      <c r="QW132" s="2"/>
      <c r="QX132" s="2"/>
      <c r="QY132" s="2"/>
      <c r="QZ132" s="2"/>
      <c r="RA132" s="2"/>
      <c r="RB132" s="2"/>
      <c r="RC132" s="2"/>
      <c r="RD132" s="2"/>
      <c r="RE132" s="2"/>
      <c r="RF132" s="2"/>
      <c r="RG132" s="2"/>
      <c r="RH132" s="2"/>
      <c r="RI132" s="2"/>
      <c r="RJ132" s="2"/>
      <c r="RK132" s="2"/>
      <c r="RL132" s="2"/>
      <c r="RM132" s="2"/>
      <c r="RN132" s="2"/>
      <c r="RO132" s="2"/>
      <c r="RP132" s="2"/>
      <c r="RQ132" s="2"/>
      <c r="RR132" s="2"/>
      <c r="RS132" s="2"/>
      <c r="RT132" s="2"/>
      <c r="RU132" s="2"/>
      <c r="RV132" s="2"/>
      <c r="RW132" s="2"/>
      <c r="RX132" s="2"/>
      <c r="RY132" s="2"/>
      <c r="RZ132" s="2"/>
      <c r="SA132" s="2"/>
      <c r="SB132" s="2"/>
      <c r="SC132" s="2"/>
      <c r="SD132" s="2"/>
      <c r="SE132" s="2"/>
      <c r="SF132" s="2"/>
      <c r="SG132" s="2"/>
      <c r="SH132" s="2"/>
      <c r="SI132" s="2"/>
      <c r="SJ132" s="2"/>
      <c r="SK132" s="2"/>
      <c r="SL132" s="2"/>
      <c r="SM132" s="2"/>
      <c r="SN132" s="2"/>
      <c r="SO132" s="2"/>
      <c r="SP132" s="2"/>
      <c r="SQ132" s="2"/>
      <c r="SR132" s="2"/>
      <c r="SS132" s="2"/>
      <c r="ST132" s="2"/>
      <c r="SU132" s="2"/>
      <c r="SV132" s="2"/>
      <c r="SW132" s="2"/>
      <c r="SX132" s="2"/>
    </row>
    <row r="133" spans="33:518" x14ac:dyDescent="0.25"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  <c r="FK133" s="2"/>
      <c r="FL133" s="2"/>
      <c r="FM133" s="2"/>
      <c r="FN133" s="2"/>
      <c r="FO133" s="2"/>
      <c r="FP133" s="2"/>
      <c r="FQ133" s="2"/>
      <c r="FR133" s="2"/>
      <c r="FS133" s="2"/>
      <c r="FT133" s="2"/>
      <c r="FU133" s="2"/>
      <c r="FV133" s="2"/>
      <c r="FW133" s="2"/>
      <c r="FX133" s="2"/>
      <c r="FY133" s="2"/>
      <c r="FZ133" s="2"/>
      <c r="GA133" s="2"/>
      <c r="GB133" s="2"/>
      <c r="GC133" s="2"/>
      <c r="GD133" s="2"/>
      <c r="GE133" s="2"/>
      <c r="GF133" s="2"/>
      <c r="GG133" s="2"/>
      <c r="GH133" s="2"/>
      <c r="GI133" s="2"/>
      <c r="GJ133" s="2"/>
      <c r="GK133" s="2"/>
      <c r="GL133" s="2"/>
      <c r="GM133" s="2"/>
      <c r="GN133" s="2"/>
      <c r="GO133" s="2"/>
      <c r="GP133" s="2"/>
      <c r="GQ133" s="2"/>
      <c r="GR133" s="2"/>
      <c r="GS133" s="2"/>
      <c r="GT133" s="2"/>
      <c r="GU133" s="2"/>
      <c r="GV133" s="2"/>
      <c r="GW133" s="2"/>
      <c r="GX133" s="2"/>
      <c r="GY133" s="2"/>
      <c r="GZ133" s="2"/>
      <c r="HA133" s="2"/>
      <c r="HB133" s="2"/>
      <c r="HC133" s="2"/>
      <c r="HD133" s="2"/>
      <c r="HE133" s="2"/>
      <c r="HF133" s="2"/>
      <c r="HG133" s="2"/>
      <c r="HH133" s="2"/>
      <c r="HI133" s="2"/>
      <c r="HJ133" s="2"/>
      <c r="HK133" s="2"/>
      <c r="HL133" s="2"/>
      <c r="HM133" s="2"/>
      <c r="HN133" s="2"/>
      <c r="HO133" s="2"/>
      <c r="HP133" s="2"/>
      <c r="HQ133" s="2"/>
      <c r="HR133" s="2"/>
      <c r="HS133" s="2"/>
      <c r="HT133" s="2"/>
      <c r="HU133" s="2"/>
      <c r="HV133" s="2"/>
      <c r="HW133" s="2"/>
      <c r="HX133" s="2"/>
      <c r="HY133" s="2"/>
      <c r="HZ133" s="2"/>
      <c r="IA133" s="2"/>
      <c r="IB133" s="2"/>
      <c r="IC133" s="2"/>
      <c r="ID133" s="2"/>
      <c r="IE133" s="2"/>
      <c r="IF133" s="2"/>
      <c r="IG133" s="2"/>
      <c r="IH133" s="2"/>
      <c r="II133" s="2"/>
      <c r="IJ133" s="2"/>
      <c r="IK133" s="2"/>
      <c r="IL133" s="2"/>
      <c r="IM133" s="2"/>
      <c r="IN133" s="2"/>
      <c r="IO133" s="2"/>
      <c r="IP133" s="2"/>
      <c r="IQ133" s="2"/>
      <c r="IR133" s="2"/>
      <c r="IS133" s="2"/>
      <c r="IT133" s="2"/>
      <c r="IU133" s="2"/>
      <c r="IV133" s="2"/>
      <c r="IW133" s="2"/>
      <c r="IX133" s="2"/>
      <c r="IY133" s="2"/>
      <c r="IZ133" s="2"/>
      <c r="JA133" s="2"/>
      <c r="JB133" s="2"/>
      <c r="JC133" s="2"/>
      <c r="JD133" s="2"/>
      <c r="JE133" s="2"/>
      <c r="JF133" s="2"/>
      <c r="JG133" s="2"/>
      <c r="JH133" s="2"/>
      <c r="JI133" s="2"/>
      <c r="JJ133" s="2"/>
      <c r="JK133" s="2"/>
      <c r="JL133" s="2"/>
      <c r="JM133" s="2"/>
      <c r="JN133" s="2"/>
      <c r="JO133" s="2"/>
      <c r="JP133" s="2"/>
      <c r="JQ133" s="2"/>
      <c r="JR133" s="2"/>
      <c r="JS133" s="2"/>
      <c r="JT133" s="2"/>
      <c r="JU133" s="2"/>
      <c r="JV133" s="2"/>
      <c r="JW133" s="2"/>
      <c r="JX133" s="2"/>
      <c r="JY133" s="2"/>
      <c r="JZ133" s="2"/>
      <c r="KA133" s="2"/>
      <c r="KB133" s="2"/>
      <c r="KC133" s="2"/>
      <c r="KD133" s="2"/>
      <c r="KE133" s="2"/>
      <c r="KF133" s="2"/>
      <c r="KG133" s="2"/>
      <c r="KH133" s="2"/>
      <c r="KI133" s="2"/>
      <c r="KJ133" s="2"/>
      <c r="KK133" s="2"/>
      <c r="KL133" s="2"/>
      <c r="KM133" s="2"/>
      <c r="KN133" s="2"/>
      <c r="KO133" s="2"/>
      <c r="KP133" s="2"/>
      <c r="KQ133" s="2"/>
      <c r="KR133" s="2"/>
      <c r="KS133" s="2"/>
      <c r="KT133" s="2"/>
      <c r="KU133" s="2"/>
      <c r="KV133" s="2"/>
      <c r="KW133" s="2"/>
      <c r="KX133" s="2"/>
      <c r="KY133" s="2"/>
      <c r="KZ133" s="2"/>
      <c r="LA133" s="2"/>
      <c r="LB133" s="2"/>
      <c r="LC133" s="2"/>
      <c r="LD133" s="2"/>
      <c r="LE133" s="2"/>
      <c r="LF133" s="2"/>
      <c r="LG133" s="2"/>
      <c r="LH133" s="2"/>
      <c r="LI133" s="2"/>
      <c r="LJ133" s="2"/>
      <c r="LK133" s="2"/>
      <c r="LL133" s="2"/>
      <c r="LM133" s="2"/>
      <c r="LN133" s="2"/>
      <c r="LO133" s="2"/>
      <c r="LP133" s="2"/>
      <c r="LQ133" s="2"/>
      <c r="LR133" s="2"/>
      <c r="LS133" s="2"/>
      <c r="LT133" s="2"/>
      <c r="LU133" s="2"/>
      <c r="LV133" s="2"/>
      <c r="LW133" s="2"/>
      <c r="LX133" s="2"/>
      <c r="LY133" s="2"/>
      <c r="LZ133" s="2"/>
      <c r="MA133" s="2"/>
      <c r="MB133" s="2"/>
      <c r="MC133" s="2"/>
      <c r="MD133" s="2"/>
      <c r="ME133" s="2"/>
      <c r="MF133" s="2"/>
      <c r="MG133" s="2"/>
      <c r="MH133" s="2"/>
      <c r="MI133" s="2"/>
      <c r="MJ133" s="2"/>
      <c r="MK133" s="2"/>
      <c r="ML133" s="2"/>
      <c r="MM133" s="2"/>
      <c r="MN133" s="2"/>
      <c r="MO133" s="2"/>
      <c r="MP133" s="2"/>
      <c r="MQ133" s="2"/>
      <c r="MR133" s="2"/>
      <c r="MS133" s="2"/>
      <c r="MT133" s="2"/>
      <c r="MU133" s="2"/>
      <c r="MV133" s="2"/>
      <c r="MW133" s="2"/>
      <c r="MX133" s="2"/>
      <c r="MY133" s="2"/>
      <c r="MZ133" s="2"/>
      <c r="NA133" s="2"/>
      <c r="NB133" s="2"/>
      <c r="NC133" s="2"/>
      <c r="ND133" s="2"/>
      <c r="NE133" s="2"/>
      <c r="NF133" s="2"/>
      <c r="NG133" s="2"/>
      <c r="NH133" s="2"/>
      <c r="NI133" s="2"/>
      <c r="NJ133" s="2"/>
      <c r="NK133" s="2"/>
      <c r="NL133" s="2"/>
      <c r="NM133" s="2"/>
      <c r="NN133" s="2"/>
      <c r="NO133" s="2"/>
      <c r="NP133" s="2"/>
      <c r="NQ133" s="2"/>
      <c r="NR133" s="2"/>
      <c r="NS133" s="2"/>
      <c r="NT133" s="2"/>
      <c r="NU133" s="2"/>
      <c r="NV133" s="2"/>
      <c r="NW133" s="2"/>
      <c r="NX133" s="2"/>
      <c r="NY133" s="2"/>
      <c r="NZ133" s="2"/>
      <c r="OA133" s="2"/>
      <c r="OB133" s="2"/>
      <c r="OC133" s="2"/>
      <c r="OD133" s="2"/>
      <c r="OE133" s="2"/>
      <c r="OF133" s="2"/>
      <c r="OG133" s="2"/>
      <c r="OH133" s="2"/>
      <c r="OI133" s="2"/>
      <c r="OJ133" s="2"/>
      <c r="OK133" s="2"/>
      <c r="OL133" s="2"/>
      <c r="OM133" s="2"/>
      <c r="ON133" s="2"/>
      <c r="OO133" s="2"/>
      <c r="OP133" s="2"/>
      <c r="OQ133" s="2"/>
      <c r="OR133" s="2"/>
      <c r="OS133" s="2"/>
      <c r="OT133" s="2"/>
      <c r="OU133" s="2"/>
      <c r="OV133" s="2"/>
      <c r="OW133" s="2"/>
      <c r="OX133" s="2"/>
      <c r="OY133" s="2"/>
      <c r="OZ133" s="2"/>
      <c r="PA133" s="2"/>
      <c r="PB133" s="2"/>
      <c r="PC133" s="2"/>
      <c r="PD133" s="2"/>
      <c r="PE133" s="2"/>
      <c r="PF133" s="2"/>
      <c r="PG133" s="2"/>
      <c r="PH133" s="2"/>
      <c r="PI133" s="2"/>
      <c r="PJ133" s="2"/>
      <c r="PK133" s="2"/>
      <c r="PL133" s="2"/>
      <c r="PM133" s="2"/>
      <c r="PN133" s="2"/>
      <c r="PO133" s="2"/>
      <c r="PP133" s="2"/>
      <c r="PQ133" s="2"/>
      <c r="PR133" s="2"/>
      <c r="PS133" s="2"/>
      <c r="PT133" s="2"/>
      <c r="PU133" s="2"/>
      <c r="PV133" s="2"/>
      <c r="PW133" s="2"/>
      <c r="PX133" s="2"/>
      <c r="PY133" s="2"/>
      <c r="PZ133" s="2"/>
      <c r="QA133" s="2"/>
      <c r="QB133" s="2"/>
      <c r="QC133" s="2"/>
      <c r="QD133" s="2"/>
      <c r="QE133" s="2"/>
      <c r="QF133" s="2"/>
      <c r="QG133" s="2"/>
      <c r="QH133" s="2"/>
      <c r="QI133" s="2"/>
      <c r="QJ133" s="2"/>
      <c r="QK133" s="2"/>
      <c r="QL133" s="2"/>
      <c r="QM133" s="2"/>
      <c r="QN133" s="2"/>
      <c r="QO133" s="2"/>
      <c r="QP133" s="2"/>
      <c r="QQ133" s="2"/>
      <c r="QR133" s="2"/>
      <c r="QS133" s="2"/>
      <c r="QT133" s="2"/>
      <c r="QU133" s="2"/>
      <c r="QV133" s="2"/>
      <c r="QW133" s="2"/>
      <c r="QX133" s="2"/>
      <c r="QY133" s="2"/>
      <c r="QZ133" s="2"/>
      <c r="RA133" s="2"/>
      <c r="RB133" s="2"/>
      <c r="RC133" s="2"/>
      <c r="RD133" s="2"/>
      <c r="RE133" s="2"/>
      <c r="RF133" s="2"/>
      <c r="RG133" s="2"/>
      <c r="RH133" s="2"/>
      <c r="RI133" s="2"/>
      <c r="RJ133" s="2"/>
      <c r="RK133" s="2"/>
      <c r="RL133" s="2"/>
      <c r="RM133" s="2"/>
      <c r="RN133" s="2"/>
      <c r="RO133" s="2"/>
      <c r="RP133" s="2"/>
      <c r="RQ133" s="2"/>
      <c r="RR133" s="2"/>
      <c r="RS133" s="2"/>
      <c r="RT133" s="2"/>
      <c r="RU133" s="2"/>
      <c r="RV133" s="2"/>
      <c r="RW133" s="2"/>
      <c r="RX133" s="2"/>
      <c r="RY133" s="2"/>
      <c r="RZ133" s="2"/>
      <c r="SA133" s="2"/>
      <c r="SB133" s="2"/>
      <c r="SC133" s="2"/>
      <c r="SD133" s="2"/>
      <c r="SE133" s="2"/>
      <c r="SF133" s="2"/>
      <c r="SG133" s="2"/>
      <c r="SH133" s="2"/>
      <c r="SI133" s="2"/>
      <c r="SJ133" s="2"/>
      <c r="SK133" s="2"/>
      <c r="SL133" s="2"/>
      <c r="SM133" s="2"/>
      <c r="SN133" s="2"/>
      <c r="SO133" s="2"/>
      <c r="SP133" s="2"/>
      <c r="SQ133" s="2"/>
      <c r="SR133" s="2"/>
      <c r="SS133" s="2"/>
      <c r="ST133" s="2"/>
      <c r="SU133" s="2"/>
      <c r="SV133" s="2"/>
      <c r="SW133" s="2"/>
      <c r="SX133" s="2"/>
    </row>
    <row r="134" spans="33:518" x14ac:dyDescent="0.25"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  <c r="FK134" s="2"/>
      <c r="FL134" s="2"/>
      <c r="FM134" s="2"/>
      <c r="FN134" s="2"/>
      <c r="FO134" s="2"/>
      <c r="FP134" s="2"/>
      <c r="FQ134" s="2"/>
      <c r="FR134" s="2"/>
      <c r="FS134" s="2"/>
      <c r="FT134" s="2"/>
      <c r="FU134" s="2"/>
      <c r="FV134" s="2"/>
      <c r="FW134" s="2"/>
      <c r="FX134" s="2"/>
      <c r="FY134" s="2"/>
      <c r="FZ134" s="2"/>
      <c r="GA134" s="2"/>
      <c r="GB134" s="2"/>
      <c r="GC134" s="2"/>
      <c r="GD134" s="2"/>
      <c r="GE134" s="2"/>
      <c r="GF134" s="2"/>
      <c r="GG134" s="2"/>
      <c r="GH134" s="2"/>
      <c r="GI134" s="2"/>
      <c r="GJ134" s="2"/>
      <c r="GK134" s="2"/>
      <c r="GL134" s="2"/>
      <c r="GM134" s="2"/>
      <c r="GN134" s="2"/>
      <c r="GO134" s="2"/>
      <c r="GP134" s="2"/>
      <c r="GQ134" s="2"/>
      <c r="GR134" s="2"/>
      <c r="GS134" s="2"/>
      <c r="GT134" s="2"/>
      <c r="GU134" s="2"/>
      <c r="GV134" s="2"/>
      <c r="GW134" s="2"/>
      <c r="GX134" s="2"/>
      <c r="GY134" s="2"/>
      <c r="GZ134" s="2"/>
      <c r="HA134" s="2"/>
      <c r="HB134" s="2"/>
      <c r="HC134" s="2"/>
      <c r="HD134" s="2"/>
      <c r="HE134" s="2"/>
      <c r="HF134" s="2"/>
      <c r="HG134" s="2"/>
      <c r="HH134" s="2"/>
      <c r="HI134" s="2"/>
      <c r="HJ134" s="2"/>
      <c r="HK134" s="2"/>
      <c r="HL134" s="2"/>
      <c r="HM134" s="2"/>
      <c r="HN134" s="2"/>
      <c r="HO134" s="2"/>
      <c r="HP134" s="2"/>
      <c r="HQ134" s="2"/>
      <c r="HR134" s="2"/>
      <c r="HS134" s="2"/>
      <c r="HT134" s="2"/>
      <c r="HU134" s="2"/>
      <c r="HV134" s="2"/>
      <c r="HW134" s="2"/>
      <c r="HX134" s="2"/>
      <c r="HY134" s="2"/>
      <c r="HZ134" s="2"/>
      <c r="IA134" s="2"/>
      <c r="IB134" s="2"/>
      <c r="IC134" s="2"/>
      <c r="ID134" s="2"/>
      <c r="IE134" s="2"/>
      <c r="IF134" s="2"/>
      <c r="IG134" s="2"/>
      <c r="IH134" s="2"/>
      <c r="II134" s="2"/>
      <c r="IJ134" s="2"/>
      <c r="IK134" s="2"/>
      <c r="IL134" s="2"/>
      <c r="IM134" s="2"/>
      <c r="IN134" s="2"/>
      <c r="IO134" s="2"/>
      <c r="IP134" s="2"/>
      <c r="IQ134" s="2"/>
      <c r="IR134" s="2"/>
      <c r="IS134" s="2"/>
      <c r="IT134" s="2"/>
      <c r="IU134" s="2"/>
      <c r="IV134" s="2"/>
      <c r="IW134" s="2"/>
      <c r="IX134" s="2"/>
      <c r="IY134" s="2"/>
      <c r="IZ134" s="2"/>
      <c r="JA134" s="2"/>
      <c r="JB134" s="2"/>
      <c r="JC134" s="2"/>
      <c r="JD134" s="2"/>
      <c r="JE134" s="2"/>
      <c r="JF134" s="2"/>
      <c r="JG134" s="2"/>
      <c r="JH134" s="2"/>
      <c r="JI134" s="2"/>
      <c r="JJ134" s="2"/>
      <c r="JK134" s="2"/>
      <c r="JL134" s="2"/>
      <c r="JM134" s="2"/>
      <c r="JN134" s="2"/>
      <c r="JO134" s="2"/>
      <c r="JP134" s="2"/>
      <c r="JQ134" s="2"/>
      <c r="JR134" s="2"/>
      <c r="JS134" s="2"/>
      <c r="JT134" s="2"/>
      <c r="JU134" s="2"/>
      <c r="JV134" s="2"/>
      <c r="JW134" s="2"/>
      <c r="JX134" s="2"/>
      <c r="JY134" s="2"/>
      <c r="JZ134" s="2"/>
      <c r="KA134" s="2"/>
      <c r="KB134" s="2"/>
      <c r="KC134" s="2"/>
      <c r="KD134" s="2"/>
      <c r="KE134" s="2"/>
      <c r="KF134" s="2"/>
      <c r="KG134" s="2"/>
      <c r="KH134" s="2"/>
      <c r="KI134" s="2"/>
      <c r="KJ134" s="2"/>
      <c r="KK134" s="2"/>
      <c r="KL134" s="2"/>
      <c r="KM134" s="2"/>
      <c r="KN134" s="2"/>
      <c r="KO134" s="2"/>
      <c r="KP134" s="2"/>
      <c r="KQ134" s="2"/>
      <c r="KR134" s="2"/>
      <c r="KS134" s="2"/>
      <c r="KT134" s="2"/>
      <c r="KU134" s="2"/>
      <c r="KV134" s="2"/>
      <c r="KW134" s="2"/>
      <c r="KX134" s="2"/>
      <c r="KY134" s="2"/>
      <c r="KZ134" s="2"/>
      <c r="LA134" s="2"/>
      <c r="LB134" s="2"/>
      <c r="LC134" s="2"/>
      <c r="LD134" s="2"/>
      <c r="LE134" s="2"/>
      <c r="LF134" s="2"/>
      <c r="LG134" s="2"/>
      <c r="LH134" s="2"/>
      <c r="LI134" s="2"/>
      <c r="LJ134" s="2"/>
      <c r="LK134" s="2"/>
      <c r="LL134" s="2"/>
      <c r="LM134" s="2"/>
      <c r="LN134" s="2"/>
      <c r="LO134" s="2"/>
      <c r="LP134" s="2"/>
      <c r="LQ134" s="2"/>
      <c r="LR134" s="2"/>
      <c r="LS134" s="2"/>
      <c r="LT134" s="2"/>
      <c r="LU134" s="2"/>
      <c r="LV134" s="2"/>
      <c r="LW134" s="2"/>
      <c r="LX134" s="2"/>
      <c r="LY134" s="2"/>
      <c r="LZ134" s="2"/>
      <c r="MA134" s="2"/>
      <c r="MB134" s="2"/>
      <c r="MC134" s="2"/>
      <c r="MD134" s="2"/>
      <c r="ME134" s="2"/>
      <c r="MF134" s="2"/>
      <c r="MG134" s="2"/>
      <c r="MH134" s="2"/>
      <c r="MI134" s="2"/>
      <c r="MJ134" s="2"/>
      <c r="MK134" s="2"/>
      <c r="ML134" s="2"/>
      <c r="MM134" s="2"/>
      <c r="MN134" s="2"/>
      <c r="MO134" s="2"/>
      <c r="MP134" s="2"/>
      <c r="MQ134" s="2"/>
      <c r="MR134" s="2"/>
      <c r="MS134" s="2"/>
      <c r="MT134" s="2"/>
      <c r="MU134" s="2"/>
      <c r="MV134" s="2"/>
      <c r="MW134" s="2"/>
      <c r="MX134" s="2"/>
      <c r="MY134" s="2"/>
      <c r="MZ134" s="2"/>
      <c r="NA134" s="2"/>
      <c r="NB134" s="2"/>
      <c r="NC134" s="2"/>
      <c r="ND134" s="2"/>
      <c r="NE134" s="2"/>
      <c r="NF134" s="2"/>
      <c r="NG134" s="2"/>
      <c r="NH134" s="2"/>
      <c r="NI134" s="2"/>
      <c r="NJ134" s="2"/>
      <c r="NK134" s="2"/>
      <c r="NL134" s="2"/>
      <c r="NM134" s="2"/>
      <c r="NN134" s="2"/>
      <c r="NO134" s="2"/>
      <c r="NP134" s="2"/>
      <c r="NQ134" s="2"/>
      <c r="NR134" s="2"/>
      <c r="NS134" s="2"/>
      <c r="NT134" s="2"/>
      <c r="NU134" s="2"/>
      <c r="NV134" s="2"/>
      <c r="NW134" s="2"/>
      <c r="NX134" s="2"/>
      <c r="NY134" s="2"/>
      <c r="NZ134" s="2"/>
      <c r="OA134" s="2"/>
      <c r="OB134" s="2"/>
      <c r="OC134" s="2"/>
      <c r="OD134" s="2"/>
      <c r="OE134" s="2"/>
      <c r="OF134" s="2"/>
      <c r="OG134" s="2"/>
      <c r="OH134" s="2"/>
      <c r="OI134" s="2"/>
      <c r="OJ134" s="2"/>
      <c r="OK134" s="2"/>
      <c r="OL134" s="2"/>
      <c r="OM134" s="2"/>
      <c r="ON134" s="2"/>
      <c r="OO134" s="2"/>
      <c r="OP134" s="2"/>
      <c r="OQ134" s="2"/>
      <c r="OR134" s="2"/>
      <c r="OS134" s="2"/>
      <c r="OT134" s="2"/>
      <c r="OU134" s="2"/>
      <c r="OV134" s="2"/>
      <c r="OW134" s="2"/>
      <c r="OX134" s="2"/>
      <c r="OY134" s="2"/>
      <c r="OZ134" s="2"/>
      <c r="PA134" s="2"/>
      <c r="PB134" s="2"/>
      <c r="PC134" s="2"/>
      <c r="PD134" s="2"/>
      <c r="PE134" s="2"/>
      <c r="PF134" s="2"/>
      <c r="PG134" s="2"/>
      <c r="PH134" s="2"/>
      <c r="PI134" s="2"/>
      <c r="PJ134" s="2"/>
      <c r="PK134" s="2"/>
      <c r="PL134" s="2"/>
      <c r="PM134" s="2"/>
      <c r="PN134" s="2"/>
      <c r="PO134" s="2"/>
      <c r="PP134" s="2"/>
      <c r="PQ134" s="2"/>
      <c r="PR134" s="2"/>
      <c r="PS134" s="2"/>
      <c r="PT134" s="2"/>
      <c r="PU134" s="2"/>
      <c r="PV134" s="2"/>
      <c r="PW134" s="2"/>
      <c r="PX134" s="2"/>
      <c r="PY134" s="2"/>
      <c r="PZ134" s="2"/>
      <c r="QA134" s="2"/>
      <c r="QB134" s="2"/>
      <c r="QC134" s="2"/>
      <c r="QD134" s="2"/>
      <c r="QE134" s="2"/>
      <c r="QF134" s="2"/>
      <c r="QG134" s="2"/>
      <c r="QH134" s="2"/>
      <c r="QI134" s="2"/>
      <c r="QJ134" s="2"/>
      <c r="QK134" s="2"/>
      <c r="QL134" s="2"/>
      <c r="QM134" s="2"/>
      <c r="QN134" s="2"/>
      <c r="QO134" s="2"/>
      <c r="QP134" s="2"/>
      <c r="QQ134" s="2"/>
      <c r="QR134" s="2"/>
      <c r="QS134" s="2"/>
      <c r="QT134" s="2"/>
      <c r="QU134" s="2"/>
      <c r="QV134" s="2"/>
      <c r="QW134" s="2"/>
      <c r="QX134" s="2"/>
      <c r="QY134" s="2"/>
      <c r="QZ134" s="2"/>
      <c r="RA134" s="2"/>
      <c r="RB134" s="2"/>
      <c r="RC134" s="2"/>
      <c r="RD134" s="2"/>
      <c r="RE134" s="2"/>
      <c r="RF134" s="2"/>
      <c r="RG134" s="2"/>
      <c r="RH134" s="2"/>
      <c r="RI134" s="2"/>
      <c r="RJ134" s="2"/>
      <c r="RK134" s="2"/>
      <c r="RL134" s="2"/>
      <c r="RM134" s="2"/>
      <c r="RN134" s="2"/>
      <c r="RO134" s="2"/>
      <c r="RP134" s="2"/>
      <c r="RQ134" s="2"/>
      <c r="RR134" s="2"/>
      <c r="RS134" s="2"/>
      <c r="RT134" s="2"/>
      <c r="RU134" s="2"/>
      <c r="RV134" s="2"/>
      <c r="RW134" s="2"/>
      <c r="RX134" s="2"/>
      <c r="RY134" s="2"/>
      <c r="RZ134" s="2"/>
      <c r="SA134" s="2"/>
      <c r="SB134" s="2"/>
      <c r="SC134" s="2"/>
      <c r="SD134" s="2"/>
      <c r="SE134" s="2"/>
      <c r="SF134" s="2"/>
      <c r="SG134" s="2"/>
      <c r="SH134" s="2"/>
      <c r="SI134" s="2"/>
      <c r="SJ134" s="2"/>
      <c r="SK134" s="2"/>
      <c r="SL134" s="2"/>
      <c r="SM134" s="2"/>
      <c r="SN134" s="2"/>
      <c r="SO134" s="2"/>
      <c r="SP134" s="2"/>
      <c r="SQ134" s="2"/>
      <c r="SR134" s="2"/>
      <c r="SS134" s="2"/>
      <c r="ST134" s="2"/>
      <c r="SU134" s="2"/>
      <c r="SV134" s="2"/>
      <c r="SW134" s="2"/>
      <c r="SX134" s="2"/>
    </row>
    <row r="135" spans="33:518" x14ac:dyDescent="0.25"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  <c r="FK135" s="2"/>
      <c r="FL135" s="2"/>
      <c r="FM135" s="2"/>
      <c r="FN135" s="2"/>
      <c r="FO135" s="2"/>
      <c r="FP135" s="2"/>
      <c r="FQ135" s="2"/>
      <c r="FR135" s="2"/>
      <c r="FS135" s="2"/>
      <c r="FT135" s="2"/>
      <c r="FU135" s="2"/>
      <c r="FV135" s="2"/>
      <c r="FW135" s="2"/>
      <c r="FX135" s="2"/>
      <c r="FY135" s="2"/>
      <c r="FZ135" s="2"/>
      <c r="GA135" s="2"/>
      <c r="GB135" s="2"/>
      <c r="GC135" s="2"/>
      <c r="GD135" s="2"/>
      <c r="GE135" s="2"/>
      <c r="GF135" s="2"/>
      <c r="GG135" s="2"/>
      <c r="GH135" s="2"/>
      <c r="GI135" s="2"/>
      <c r="GJ135" s="2"/>
      <c r="GK135" s="2"/>
      <c r="GL135" s="2"/>
      <c r="GM135" s="2"/>
      <c r="GN135" s="2"/>
      <c r="GO135" s="2"/>
      <c r="GP135" s="2"/>
      <c r="GQ135" s="2"/>
      <c r="GR135" s="2"/>
      <c r="GS135" s="2"/>
      <c r="GT135" s="2"/>
      <c r="GU135" s="2"/>
      <c r="GV135" s="2"/>
      <c r="GW135" s="2"/>
      <c r="GX135" s="2"/>
      <c r="GY135" s="2"/>
      <c r="GZ135" s="2"/>
      <c r="HA135" s="2"/>
      <c r="HB135" s="2"/>
      <c r="HC135" s="2"/>
      <c r="HD135" s="2"/>
      <c r="HE135" s="2"/>
      <c r="HF135" s="2"/>
      <c r="HG135" s="2"/>
      <c r="HH135" s="2"/>
      <c r="HI135" s="2"/>
      <c r="HJ135" s="2"/>
      <c r="HK135" s="2"/>
      <c r="HL135" s="2"/>
      <c r="HM135" s="2"/>
      <c r="HN135" s="2"/>
      <c r="HO135" s="2"/>
      <c r="HP135" s="2"/>
      <c r="HQ135" s="2"/>
      <c r="HR135" s="2"/>
      <c r="HS135" s="2"/>
      <c r="HT135" s="2"/>
      <c r="HU135" s="2"/>
      <c r="HV135" s="2"/>
      <c r="HW135" s="2"/>
      <c r="HX135" s="2"/>
      <c r="HY135" s="2"/>
      <c r="HZ135" s="2"/>
      <c r="IA135" s="2"/>
      <c r="IB135" s="2"/>
      <c r="IC135" s="2"/>
      <c r="ID135" s="2"/>
      <c r="IE135" s="2"/>
      <c r="IF135" s="2"/>
      <c r="IG135" s="2"/>
      <c r="IH135" s="2"/>
      <c r="II135" s="2"/>
      <c r="IJ135" s="2"/>
      <c r="IK135" s="2"/>
      <c r="IL135" s="2"/>
      <c r="IM135" s="2"/>
      <c r="IN135" s="2"/>
      <c r="IO135" s="2"/>
      <c r="IP135" s="2"/>
      <c r="IQ135" s="2"/>
      <c r="IR135" s="2"/>
      <c r="IS135" s="2"/>
      <c r="IT135" s="2"/>
      <c r="IU135" s="2"/>
      <c r="IV135" s="2"/>
      <c r="IW135" s="2"/>
      <c r="IX135" s="2"/>
      <c r="IY135" s="2"/>
      <c r="IZ135" s="2"/>
      <c r="JA135" s="2"/>
      <c r="JB135" s="2"/>
      <c r="JC135" s="2"/>
      <c r="JD135" s="2"/>
      <c r="JE135" s="2"/>
      <c r="JF135" s="2"/>
      <c r="JG135" s="2"/>
      <c r="JH135" s="2"/>
      <c r="JI135" s="2"/>
      <c r="JJ135" s="2"/>
      <c r="JK135" s="2"/>
      <c r="JL135" s="2"/>
      <c r="JM135" s="2"/>
      <c r="JN135" s="2"/>
      <c r="JO135" s="2"/>
      <c r="JP135" s="2"/>
      <c r="JQ135" s="2"/>
      <c r="JR135" s="2"/>
      <c r="JS135" s="2"/>
      <c r="JT135" s="2"/>
      <c r="JU135" s="2"/>
      <c r="JV135" s="2"/>
      <c r="JW135" s="2"/>
      <c r="JX135" s="2"/>
      <c r="JY135" s="2"/>
      <c r="JZ135" s="2"/>
      <c r="KA135" s="2"/>
      <c r="KB135" s="2"/>
      <c r="KC135" s="2"/>
      <c r="KD135" s="2"/>
      <c r="KE135" s="2"/>
      <c r="KF135" s="2"/>
      <c r="KG135" s="2"/>
      <c r="KH135" s="2"/>
      <c r="KI135" s="2"/>
      <c r="KJ135" s="2"/>
      <c r="KK135" s="2"/>
      <c r="KL135" s="2"/>
      <c r="KM135" s="2"/>
      <c r="KN135" s="2"/>
      <c r="KO135" s="2"/>
      <c r="KP135" s="2"/>
      <c r="KQ135" s="2"/>
      <c r="KR135" s="2"/>
      <c r="KS135" s="2"/>
      <c r="KT135" s="2"/>
      <c r="KU135" s="2"/>
      <c r="KV135" s="2"/>
      <c r="KW135" s="2"/>
      <c r="KX135" s="2"/>
      <c r="KY135" s="2"/>
      <c r="KZ135" s="2"/>
      <c r="LA135" s="2"/>
      <c r="LB135" s="2"/>
      <c r="LC135" s="2"/>
      <c r="LD135" s="2"/>
      <c r="LE135" s="2"/>
      <c r="LF135" s="2"/>
      <c r="LG135" s="2"/>
      <c r="LH135" s="2"/>
      <c r="LI135" s="2"/>
      <c r="LJ135" s="2"/>
      <c r="LK135" s="2"/>
      <c r="LL135" s="2"/>
      <c r="LM135" s="2"/>
      <c r="LN135" s="2"/>
      <c r="LO135" s="2"/>
      <c r="LP135" s="2"/>
      <c r="LQ135" s="2"/>
      <c r="LR135" s="2"/>
      <c r="LS135" s="2"/>
      <c r="LT135" s="2"/>
      <c r="LU135" s="2"/>
      <c r="LV135" s="2"/>
      <c r="LW135" s="2"/>
      <c r="LX135" s="2"/>
      <c r="LY135" s="2"/>
      <c r="LZ135" s="2"/>
      <c r="MA135" s="2"/>
      <c r="MB135" s="2"/>
      <c r="MC135" s="2"/>
      <c r="MD135" s="2"/>
      <c r="ME135" s="2"/>
      <c r="MF135" s="2"/>
      <c r="MG135" s="2"/>
      <c r="MH135" s="2"/>
      <c r="MI135" s="2"/>
      <c r="MJ135" s="2"/>
      <c r="MK135" s="2"/>
      <c r="ML135" s="2"/>
      <c r="MM135" s="2"/>
      <c r="MN135" s="2"/>
      <c r="MO135" s="2"/>
      <c r="MP135" s="2"/>
      <c r="MQ135" s="2"/>
      <c r="MR135" s="2"/>
      <c r="MS135" s="2"/>
      <c r="MT135" s="2"/>
      <c r="MU135" s="2"/>
      <c r="MV135" s="2"/>
      <c r="MW135" s="2"/>
      <c r="MX135" s="2"/>
      <c r="MY135" s="2"/>
      <c r="MZ135" s="2"/>
      <c r="NA135" s="2"/>
      <c r="NB135" s="2"/>
      <c r="NC135" s="2"/>
      <c r="ND135" s="2"/>
      <c r="NE135" s="2"/>
      <c r="NF135" s="2"/>
      <c r="NG135" s="2"/>
      <c r="NH135" s="2"/>
      <c r="NI135" s="2"/>
      <c r="NJ135" s="2"/>
      <c r="NK135" s="2"/>
      <c r="NL135" s="2"/>
      <c r="NM135" s="2"/>
      <c r="NN135" s="2"/>
      <c r="NO135" s="2"/>
      <c r="NP135" s="2"/>
      <c r="NQ135" s="2"/>
      <c r="NR135" s="2"/>
      <c r="NS135" s="2"/>
      <c r="NT135" s="2"/>
      <c r="NU135" s="2"/>
      <c r="NV135" s="2"/>
      <c r="NW135" s="2"/>
      <c r="NX135" s="2"/>
      <c r="NY135" s="2"/>
      <c r="NZ135" s="2"/>
      <c r="OA135" s="2"/>
      <c r="OB135" s="2"/>
      <c r="OC135" s="2"/>
      <c r="OD135" s="2"/>
      <c r="OE135" s="2"/>
      <c r="OF135" s="2"/>
      <c r="OG135" s="2"/>
      <c r="OH135" s="2"/>
      <c r="OI135" s="2"/>
      <c r="OJ135" s="2"/>
      <c r="OK135" s="2"/>
      <c r="OL135" s="2"/>
      <c r="OM135" s="2"/>
      <c r="ON135" s="2"/>
      <c r="OO135" s="2"/>
      <c r="OP135" s="2"/>
      <c r="OQ135" s="2"/>
      <c r="OR135" s="2"/>
      <c r="OS135" s="2"/>
      <c r="OT135" s="2"/>
      <c r="OU135" s="2"/>
      <c r="OV135" s="2"/>
      <c r="OW135" s="2"/>
      <c r="OX135" s="2"/>
      <c r="OY135" s="2"/>
      <c r="OZ135" s="2"/>
      <c r="PA135" s="2"/>
      <c r="PB135" s="2"/>
      <c r="PC135" s="2"/>
      <c r="PD135" s="2"/>
      <c r="PE135" s="2"/>
      <c r="PF135" s="2"/>
      <c r="PG135" s="2"/>
      <c r="PH135" s="2"/>
      <c r="PI135" s="2"/>
      <c r="PJ135" s="2"/>
      <c r="PK135" s="2"/>
      <c r="PL135" s="2"/>
      <c r="PM135" s="2"/>
      <c r="PN135" s="2"/>
      <c r="PO135" s="2"/>
      <c r="PP135" s="2"/>
      <c r="PQ135" s="2"/>
      <c r="PR135" s="2"/>
      <c r="PS135" s="2"/>
      <c r="PT135" s="2"/>
      <c r="PU135" s="2"/>
      <c r="PV135" s="2"/>
      <c r="PW135" s="2"/>
      <c r="PX135" s="2"/>
      <c r="PY135" s="2"/>
      <c r="PZ135" s="2"/>
      <c r="QA135" s="2"/>
      <c r="QB135" s="2"/>
      <c r="QC135" s="2"/>
      <c r="QD135" s="2"/>
      <c r="QE135" s="2"/>
      <c r="QF135" s="2"/>
      <c r="QG135" s="2"/>
      <c r="QH135" s="2"/>
      <c r="QI135" s="2"/>
      <c r="QJ135" s="2"/>
      <c r="QK135" s="2"/>
      <c r="QL135" s="2"/>
      <c r="QM135" s="2"/>
      <c r="QN135" s="2"/>
      <c r="QO135" s="2"/>
      <c r="QP135" s="2"/>
      <c r="QQ135" s="2"/>
      <c r="QR135" s="2"/>
      <c r="QS135" s="2"/>
      <c r="QT135" s="2"/>
      <c r="QU135" s="2"/>
      <c r="QV135" s="2"/>
      <c r="QW135" s="2"/>
      <c r="QX135" s="2"/>
      <c r="QY135" s="2"/>
      <c r="QZ135" s="2"/>
      <c r="RA135" s="2"/>
      <c r="RB135" s="2"/>
      <c r="RC135" s="2"/>
      <c r="RD135" s="2"/>
      <c r="RE135" s="2"/>
      <c r="RF135" s="2"/>
      <c r="RG135" s="2"/>
      <c r="RH135" s="2"/>
      <c r="RI135" s="2"/>
      <c r="RJ135" s="2"/>
      <c r="RK135" s="2"/>
      <c r="RL135" s="2"/>
      <c r="RM135" s="2"/>
      <c r="RN135" s="2"/>
      <c r="RO135" s="2"/>
      <c r="RP135" s="2"/>
      <c r="RQ135" s="2"/>
      <c r="RR135" s="2"/>
      <c r="RS135" s="2"/>
      <c r="RT135" s="2"/>
      <c r="RU135" s="2"/>
      <c r="RV135" s="2"/>
      <c r="RW135" s="2"/>
      <c r="RX135" s="2"/>
      <c r="RY135" s="2"/>
      <c r="RZ135" s="2"/>
      <c r="SA135" s="2"/>
      <c r="SB135" s="2"/>
      <c r="SC135" s="2"/>
      <c r="SD135" s="2"/>
      <c r="SE135" s="2"/>
      <c r="SF135" s="2"/>
      <c r="SG135" s="2"/>
      <c r="SH135" s="2"/>
      <c r="SI135" s="2"/>
      <c r="SJ135" s="2"/>
      <c r="SK135" s="2"/>
      <c r="SL135" s="2"/>
      <c r="SM135" s="2"/>
      <c r="SN135" s="2"/>
      <c r="SO135" s="2"/>
      <c r="SP135" s="2"/>
      <c r="SQ135" s="2"/>
      <c r="SR135" s="2"/>
      <c r="SS135" s="2"/>
      <c r="ST135" s="2"/>
      <c r="SU135" s="2"/>
      <c r="SV135" s="2"/>
      <c r="SW135" s="2"/>
      <c r="SX135" s="2"/>
    </row>
    <row r="136" spans="33:518" x14ac:dyDescent="0.25"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  <c r="FK136" s="2"/>
      <c r="FL136" s="2"/>
      <c r="FM136" s="2"/>
      <c r="FN136" s="2"/>
      <c r="FO136" s="2"/>
      <c r="FP136" s="2"/>
      <c r="FQ136" s="2"/>
      <c r="FR136" s="2"/>
      <c r="FS136" s="2"/>
      <c r="FT136" s="2"/>
      <c r="FU136" s="2"/>
      <c r="FV136" s="2"/>
      <c r="FW136" s="2"/>
      <c r="FX136" s="2"/>
      <c r="FY136" s="2"/>
      <c r="FZ136" s="2"/>
      <c r="GA136" s="2"/>
      <c r="GB136" s="2"/>
      <c r="GC136" s="2"/>
      <c r="GD136" s="2"/>
      <c r="GE136" s="2"/>
      <c r="GF136" s="2"/>
      <c r="GG136" s="2"/>
      <c r="GH136" s="2"/>
      <c r="GI136" s="2"/>
      <c r="GJ136" s="2"/>
      <c r="GK136" s="2"/>
      <c r="GL136" s="2"/>
      <c r="GM136" s="2"/>
      <c r="GN136" s="2"/>
      <c r="GO136" s="2"/>
      <c r="GP136" s="2"/>
      <c r="GQ136" s="2"/>
      <c r="GR136" s="2"/>
      <c r="GS136" s="2"/>
      <c r="GT136" s="2"/>
      <c r="GU136" s="2"/>
      <c r="GV136" s="2"/>
      <c r="GW136" s="2"/>
      <c r="GX136" s="2"/>
      <c r="GY136" s="2"/>
      <c r="GZ136" s="2"/>
      <c r="HA136" s="2"/>
      <c r="HB136" s="2"/>
      <c r="HC136" s="2"/>
      <c r="HD136" s="2"/>
      <c r="HE136" s="2"/>
      <c r="HF136" s="2"/>
      <c r="HG136" s="2"/>
      <c r="HH136" s="2"/>
      <c r="HI136" s="2"/>
      <c r="HJ136" s="2"/>
      <c r="HK136" s="2"/>
      <c r="HL136" s="2"/>
      <c r="HM136" s="2"/>
      <c r="HN136" s="2"/>
      <c r="HO136" s="2"/>
      <c r="HP136" s="2"/>
      <c r="HQ136" s="2"/>
      <c r="HR136" s="2"/>
      <c r="HS136" s="2"/>
      <c r="HT136" s="2"/>
      <c r="HU136" s="2"/>
      <c r="HV136" s="2"/>
      <c r="HW136" s="2"/>
      <c r="HX136" s="2"/>
      <c r="HY136" s="2"/>
      <c r="HZ136" s="2"/>
      <c r="IA136" s="2"/>
      <c r="IB136" s="2"/>
      <c r="IC136" s="2"/>
      <c r="ID136" s="2"/>
      <c r="IE136" s="2"/>
      <c r="IF136" s="2"/>
      <c r="IG136" s="2"/>
      <c r="IH136" s="2"/>
      <c r="II136" s="2"/>
      <c r="IJ136" s="2"/>
      <c r="IK136" s="2"/>
      <c r="IL136" s="2"/>
      <c r="IM136" s="2"/>
      <c r="IN136" s="2"/>
      <c r="IO136" s="2"/>
      <c r="IP136" s="2"/>
      <c r="IQ136" s="2"/>
      <c r="IR136" s="2"/>
      <c r="IS136" s="2"/>
      <c r="IT136" s="2"/>
      <c r="IU136" s="2"/>
      <c r="IV136" s="2"/>
      <c r="IW136" s="2"/>
      <c r="IX136" s="2"/>
      <c r="IY136" s="2"/>
      <c r="IZ136" s="2"/>
      <c r="JA136" s="2"/>
      <c r="JB136" s="2"/>
      <c r="JC136" s="2"/>
      <c r="JD136" s="2"/>
      <c r="JE136" s="2"/>
      <c r="JF136" s="2"/>
      <c r="JG136" s="2"/>
      <c r="JH136" s="2"/>
      <c r="JI136" s="2"/>
      <c r="JJ136" s="2"/>
      <c r="JK136" s="2"/>
      <c r="JL136" s="2"/>
      <c r="JM136" s="2"/>
      <c r="JN136" s="2"/>
      <c r="JO136" s="2"/>
      <c r="JP136" s="2"/>
      <c r="JQ136" s="2"/>
      <c r="JR136" s="2"/>
      <c r="JS136" s="2"/>
      <c r="JT136" s="2"/>
      <c r="JU136" s="2"/>
      <c r="JV136" s="2"/>
      <c r="JW136" s="2"/>
      <c r="JX136" s="2"/>
      <c r="JY136" s="2"/>
      <c r="JZ136" s="2"/>
      <c r="KA136" s="2"/>
      <c r="KB136" s="2"/>
      <c r="KC136" s="2"/>
      <c r="KD136" s="2"/>
      <c r="KE136" s="2"/>
      <c r="KF136" s="2"/>
      <c r="KG136" s="2"/>
      <c r="KH136" s="2"/>
      <c r="KI136" s="2"/>
      <c r="KJ136" s="2"/>
      <c r="KK136" s="2"/>
      <c r="KL136" s="2"/>
      <c r="KM136" s="2"/>
      <c r="KN136" s="2"/>
      <c r="KO136" s="2"/>
      <c r="KP136" s="2"/>
      <c r="KQ136" s="2"/>
      <c r="KR136" s="2"/>
      <c r="KS136" s="2"/>
      <c r="KT136" s="2"/>
      <c r="KU136" s="2"/>
      <c r="KV136" s="2"/>
      <c r="KW136" s="2"/>
      <c r="KX136" s="2"/>
      <c r="KY136" s="2"/>
      <c r="KZ136" s="2"/>
      <c r="LA136" s="2"/>
      <c r="LB136" s="2"/>
      <c r="LC136" s="2"/>
      <c r="LD136" s="2"/>
      <c r="LE136" s="2"/>
      <c r="LF136" s="2"/>
      <c r="LG136" s="2"/>
      <c r="LH136" s="2"/>
      <c r="LI136" s="2"/>
      <c r="LJ136" s="2"/>
      <c r="LK136" s="2"/>
      <c r="LL136" s="2"/>
      <c r="LM136" s="2"/>
      <c r="LN136" s="2"/>
      <c r="LO136" s="2"/>
      <c r="LP136" s="2"/>
      <c r="LQ136" s="2"/>
      <c r="LR136" s="2"/>
      <c r="LS136" s="2"/>
      <c r="LT136" s="2"/>
      <c r="LU136" s="2"/>
      <c r="LV136" s="2"/>
      <c r="LW136" s="2"/>
      <c r="LX136" s="2"/>
      <c r="LY136" s="2"/>
      <c r="LZ136" s="2"/>
      <c r="MA136" s="2"/>
      <c r="MB136" s="2"/>
      <c r="MC136" s="2"/>
      <c r="MD136" s="2"/>
      <c r="ME136" s="2"/>
      <c r="MF136" s="2"/>
      <c r="MG136" s="2"/>
      <c r="MH136" s="2"/>
      <c r="MI136" s="2"/>
      <c r="MJ136" s="2"/>
      <c r="MK136" s="2"/>
      <c r="ML136" s="2"/>
      <c r="MM136" s="2"/>
      <c r="MN136" s="2"/>
      <c r="MO136" s="2"/>
      <c r="MP136" s="2"/>
      <c r="MQ136" s="2"/>
      <c r="MR136" s="2"/>
      <c r="MS136" s="2"/>
      <c r="MT136" s="2"/>
      <c r="MU136" s="2"/>
      <c r="MV136" s="2"/>
      <c r="MW136" s="2"/>
      <c r="MX136" s="2"/>
      <c r="MY136" s="2"/>
      <c r="MZ136" s="2"/>
      <c r="NA136" s="2"/>
      <c r="NB136" s="2"/>
      <c r="NC136" s="2"/>
      <c r="ND136" s="2"/>
      <c r="NE136" s="2"/>
      <c r="NF136" s="2"/>
      <c r="NG136" s="2"/>
      <c r="NH136" s="2"/>
      <c r="NI136" s="2"/>
      <c r="NJ136" s="2"/>
      <c r="NK136" s="2"/>
      <c r="NL136" s="2"/>
      <c r="NM136" s="2"/>
      <c r="NN136" s="2"/>
      <c r="NO136" s="2"/>
      <c r="NP136" s="2"/>
      <c r="NQ136" s="2"/>
      <c r="NR136" s="2"/>
      <c r="NS136" s="2"/>
      <c r="NT136" s="2"/>
      <c r="NU136" s="2"/>
      <c r="NV136" s="2"/>
      <c r="NW136" s="2"/>
      <c r="NX136" s="2"/>
      <c r="NY136" s="2"/>
      <c r="NZ136" s="2"/>
      <c r="OA136" s="2"/>
      <c r="OB136" s="2"/>
      <c r="OC136" s="2"/>
      <c r="OD136" s="2"/>
      <c r="OE136" s="2"/>
      <c r="OF136" s="2"/>
      <c r="OG136" s="2"/>
      <c r="OH136" s="2"/>
      <c r="OI136" s="2"/>
      <c r="OJ136" s="2"/>
      <c r="OK136" s="2"/>
      <c r="OL136" s="2"/>
      <c r="OM136" s="2"/>
      <c r="ON136" s="2"/>
      <c r="OO136" s="2"/>
      <c r="OP136" s="2"/>
      <c r="OQ136" s="2"/>
      <c r="OR136" s="2"/>
      <c r="OS136" s="2"/>
      <c r="OT136" s="2"/>
      <c r="OU136" s="2"/>
      <c r="OV136" s="2"/>
      <c r="OW136" s="2"/>
      <c r="OX136" s="2"/>
      <c r="OY136" s="2"/>
      <c r="OZ136" s="2"/>
      <c r="PA136" s="2"/>
      <c r="PB136" s="2"/>
      <c r="PC136" s="2"/>
      <c r="PD136" s="2"/>
      <c r="PE136" s="2"/>
      <c r="PF136" s="2"/>
      <c r="PG136" s="2"/>
      <c r="PH136" s="2"/>
      <c r="PI136" s="2"/>
      <c r="PJ136" s="2"/>
      <c r="PK136" s="2"/>
      <c r="PL136" s="2"/>
      <c r="PM136" s="2"/>
      <c r="PN136" s="2"/>
      <c r="PO136" s="2"/>
      <c r="PP136" s="2"/>
      <c r="PQ136" s="2"/>
      <c r="PR136" s="2"/>
      <c r="PS136" s="2"/>
      <c r="PT136" s="2"/>
      <c r="PU136" s="2"/>
      <c r="PV136" s="2"/>
      <c r="PW136" s="2"/>
      <c r="PX136" s="2"/>
      <c r="PY136" s="2"/>
      <c r="PZ136" s="2"/>
      <c r="QA136" s="2"/>
      <c r="QB136" s="2"/>
      <c r="QC136" s="2"/>
      <c r="QD136" s="2"/>
      <c r="QE136" s="2"/>
      <c r="QF136" s="2"/>
      <c r="QG136" s="2"/>
      <c r="QH136" s="2"/>
      <c r="QI136" s="2"/>
      <c r="QJ136" s="2"/>
      <c r="QK136" s="2"/>
      <c r="QL136" s="2"/>
      <c r="QM136" s="2"/>
      <c r="QN136" s="2"/>
      <c r="QO136" s="2"/>
      <c r="QP136" s="2"/>
      <c r="QQ136" s="2"/>
      <c r="QR136" s="2"/>
      <c r="QS136" s="2"/>
      <c r="QT136" s="2"/>
      <c r="QU136" s="2"/>
      <c r="QV136" s="2"/>
      <c r="QW136" s="2"/>
      <c r="QX136" s="2"/>
      <c r="QY136" s="2"/>
      <c r="QZ136" s="2"/>
      <c r="RA136" s="2"/>
      <c r="RB136" s="2"/>
      <c r="RC136" s="2"/>
      <c r="RD136" s="2"/>
      <c r="RE136" s="2"/>
      <c r="RF136" s="2"/>
      <c r="RG136" s="2"/>
      <c r="RH136" s="2"/>
      <c r="RI136" s="2"/>
      <c r="RJ136" s="2"/>
      <c r="RK136" s="2"/>
      <c r="RL136" s="2"/>
      <c r="RM136" s="2"/>
      <c r="RN136" s="2"/>
      <c r="RO136" s="2"/>
      <c r="RP136" s="2"/>
      <c r="RQ136" s="2"/>
      <c r="RR136" s="2"/>
      <c r="RS136" s="2"/>
      <c r="RT136" s="2"/>
      <c r="RU136" s="2"/>
      <c r="RV136" s="2"/>
      <c r="RW136" s="2"/>
      <c r="RX136" s="2"/>
      <c r="RY136" s="2"/>
      <c r="RZ136" s="2"/>
      <c r="SA136" s="2"/>
      <c r="SB136" s="2"/>
      <c r="SC136" s="2"/>
      <c r="SD136" s="2"/>
      <c r="SE136" s="2"/>
      <c r="SF136" s="2"/>
      <c r="SG136" s="2"/>
      <c r="SH136" s="2"/>
      <c r="SI136" s="2"/>
      <c r="SJ136" s="2"/>
      <c r="SK136" s="2"/>
      <c r="SL136" s="2"/>
      <c r="SM136" s="2"/>
      <c r="SN136" s="2"/>
      <c r="SO136" s="2"/>
      <c r="SP136" s="2"/>
      <c r="SQ136" s="2"/>
      <c r="SR136" s="2"/>
      <c r="SS136" s="2"/>
      <c r="ST136" s="2"/>
      <c r="SU136" s="2"/>
      <c r="SV136" s="2"/>
      <c r="SW136" s="2"/>
      <c r="SX136" s="2"/>
    </row>
    <row r="137" spans="33:518" x14ac:dyDescent="0.25"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  <c r="FK137" s="2"/>
      <c r="FL137" s="2"/>
      <c r="FM137" s="2"/>
      <c r="FN137" s="2"/>
      <c r="FO137" s="2"/>
      <c r="FP137" s="2"/>
      <c r="FQ137" s="2"/>
      <c r="FR137" s="2"/>
      <c r="FS137" s="2"/>
      <c r="FT137" s="2"/>
      <c r="FU137" s="2"/>
      <c r="FV137" s="2"/>
      <c r="FW137" s="2"/>
      <c r="FX137" s="2"/>
      <c r="FY137" s="2"/>
      <c r="FZ137" s="2"/>
      <c r="GA137" s="2"/>
      <c r="GB137" s="2"/>
      <c r="GC137" s="2"/>
      <c r="GD137" s="2"/>
      <c r="GE137" s="2"/>
      <c r="GF137" s="2"/>
      <c r="GG137" s="2"/>
      <c r="GH137" s="2"/>
      <c r="GI137" s="2"/>
      <c r="GJ137" s="2"/>
      <c r="GK137" s="2"/>
      <c r="GL137" s="2"/>
      <c r="GM137" s="2"/>
      <c r="GN137" s="2"/>
      <c r="GO137" s="2"/>
      <c r="GP137" s="2"/>
      <c r="GQ137" s="2"/>
      <c r="GR137" s="2"/>
      <c r="GS137" s="2"/>
      <c r="GT137" s="2"/>
      <c r="GU137" s="2"/>
      <c r="GV137" s="2"/>
      <c r="GW137" s="2"/>
      <c r="GX137" s="2"/>
      <c r="GY137" s="2"/>
      <c r="GZ137" s="2"/>
      <c r="HA137" s="2"/>
      <c r="HB137" s="2"/>
      <c r="HC137" s="2"/>
      <c r="HD137" s="2"/>
      <c r="HE137" s="2"/>
      <c r="HF137" s="2"/>
      <c r="HG137" s="2"/>
      <c r="HH137" s="2"/>
      <c r="HI137" s="2"/>
      <c r="HJ137" s="2"/>
      <c r="HK137" s="2"/>
      <c r="HL137" s="2"/>
      <c r="HM137" s="2"/>
      <c r="HN137" s="2"/>
      <c r="HO137" s="2"/>
      <c r="HP137" s="2"/>
      <c r="HQ137" s="2"/>
      <c r="HR137" s="2"/>
      <c r="HS137" s="2"/>
      <c r="HT137" s="2"/>
      <c r="HU137" s="2"/>
      <c r="HV137" s="2"/>
      <c r="HW137" s="2"/>
      <c r="HX137" s="2"/>
      <c r="HY137" s="2"/>
      <c r="HZ137" s="2"/>
      <c r="IA137" s="2"/>
      <c r="IB137" s="2"/>
      <c r="IC137" s="2"/>
      <c r="ID137" s="2"/>
      <c r="IE137" s="2"/>
      <c r="IF137" s="2"/>
      <c r="IG137" s="2"/>
      <c r="IH137" s="2"/>
      <c r="II137" s="2"/>
      <c r="IJ137" s="2"/>
      <c r="IK137" s="2"/>
      <c r="IL137" s="2"/>
      <c r="IM137" s="2"/>
      <c r="IN137" s="2"/>
      <c r="IO137" s="2"/>
      <c r="IP137" s="2"/>
      <c r="IQ137" s="2"/>
      <c r="IR137" s="2"/>
      <c r="IS137" s="2"/>
      <c r="IT137" s="2"/>
      <c r="IU137" s="2"/>
      <c r="IV137" s="2"/>
      <c r="IW137" s="2"/>
      <c r="IX137" s="2"/>
      <c r="IY137" s="2"/>
      <c r="IZ137" s="2"/>
      <c r="JA137" s="2"/>
      <c r="JB137" s="2"/>
      <c r="JC137" s="2"/>
      <c r="JD137" s="2"/>
      <c r="JE137" s="2"/>
      <c r="JF137" s="2"/>
      <c r="JG137" s="2"/>
      <c r="JH137" s="2"/>
      <c r="JI137" s="2"/>
      <c r="JJ137" s="2"/>
      <c r="JK137" s="2"/>
      <c r="JL137" s="2"/>
      <c r="JM137" s="2"/>
      <c r="JN137" s="2"/>
      <c r="JO137" s="2"/>
      <c r="JP137" s="2"/>
      <c r="JQ137" s="2"/>
      <c r="JR137" s="2"/>
      <c r="JS137" s="2"/>
      <c r="JT137" s="2"/>
      <c r="JU137" s="2"/>
      <c r="JV137" s="2"/>
      <c r="JW137" s="2"/>
      <c r="JX137" s="2"/>
      <c r="JY137" s="2"/>
      <c r="JZ137" s="2"/>
      <c r="KA137" s="2"/>
      <c r="KB137" s="2"/>
      <c r="KC137" s="2"/>
      <c r="KD137" s="2"/>
      <c r="KE137" s="2"/>
      <c r="KF137" s="2"/>
      <c r="KG137" s="2"/>
      <c r="KH137" s="2"/>
      <c r="KI137" s="2"/>
      <c r="KJ137" s="2"/>
      <c r="KK137" s="2"/>
      <c r="KL137" s="2"/>
      <c r="KM137" s="2"/>
      <c r="KN137" s="2"/>
      <c r="KO137" s="2"/>
      <c r="KP137" s="2"/>
      <c r="KQ137" s="2"/>
      <c r="KR137" s="2"/>
      <c r="KS137" s="2"/>
      <c r="KT137" s="2"/>
      <c r="KU137" s="2"/>
      <c r="KV137" s="2"/>
      <c r="KW137" s="2"/>
      <c r="KX137" s="2"/>
      <c r="KY137" s="2"/>
      <c r="KZ137" s="2"/>
      <c r="LA137" s="2"/>
      <c r="LB137" s="2"/>
      <c r="LC137" s="2"/>
      <c r="LD137" s="2"/>
      <c r="LE137" s="2"/>
      <c r="LF137" s="2"/>
      <c r="LG137" s="2"/>
      <c r="LH137" s="2"/>
      <c r="LI137" s="2"/>
      <c r="LJ137" s="2"/>
      <c r="LK137" s="2"/>
      <c r="LL137" s="2"/>
      <c r="LM137" s="2"/>
      <c r="LN137" s="2"/>
      <c r="LO137" s="2"/>
      <c r="LP137" s="2"/>
      <c r="LQ137" s="2"/>
      <c r="LR137" s="2"/>
      <c r="LS137" s="2"/>
      <c r="LT137" s="2"/>
      <c r="LU137" s="2"/>
      <c r="LV137" s="2"/>
      <c r="LW137" s="2"/>
      <c r="LX137" s="2"/>
      <c r="LY137" s="2"/>
      <c r="LZ137" s="2"/>
      <c r="MA137" s="2"/>
      <c r="MB137" s="2"/>
      <c r="MC137" s="2"/>
      <c r="MD137" s="2"/>
      <c r="ME137" s="2"/>
      <c r="MF137" s="2"/>
      <c r="MG137" s="2"/>
      <c r="MH137" s="2"/>
      <c r="MI137" s="2"/>
      <c r="MJ137" s="2"/>
      <c r="MK137" s="2"/>
      <c r="ML137" s="2"/>
      <c r="MM137" s="2"/>
      <c r="MN137" s="2"/>
      <c r="MO137" s="2"/>
      <c r="MP137" s="2"/>
      <c r="MQ137" s="2"/>
      <c r="MR137" s="2"/>
      <c r="MS137" s="2"/>
      <c r="MT137" s="2"/>
      <c r="MU137" s="2"/>
      <c r="MV137" s="2"/>
      <c r="MW137" s="2"/>
      <c r="MX137" s="2"/>
      <c r="MY137" s="2"/>
      <c r="MZ137" s="2"/>
      <c r="NA137" s="2"/>
      <c r="NB137" s="2"/>
      <c r="NC137" s="2"/>
      <c r="ND137" s="2"/>
      <c r="NE137" s="2"/>
      <c r="NF137" s="2"/>
      <c r="NG137" s="2"/>
      <c r="NH137" s="2"/>
      <c r="NI137" s="2"/>
      <c r="NJ137" s="2"/>
      <c r="NK137" s="2"/>
      <c r="NL137" s="2"/>
      <c r="NM137" s="2"/>
      <c r="NN137" s="2"/>
      <c r="NO137" s="2"/>
      <c r="NP137" s="2"/>
      <c r="NQ137" s="2"/>
      <c r="NR137" s="2"/>
      <c r="NS137" s="2"/>
      <c r="NT137" s="2"/>
      <c r="NU137" s="2"/>
      <c r="NV137" s="2"/>
      <c r="NW137" s="2"/>
      <c r="NX137" s="2"/>
      <c r="NY137" s="2"/>
      <c r="NZ137" s="2"/>
      <c r="OA137" s="2"/>
      <c r="OB137" s="2"/>
      <c r="OC137" s="2"/>
      <c r="OD137" s="2"/>
      <c r="OE137" s="2"/>
      <c r="OF137" s="2"/>
      <c r="OG137" s="2"/>
      <c r="OH137" s="2"/>
      <c r="OI137" s="2"/>
      <c r="OJ137" s="2"/>
      <c r="OK137" s="2"/>
      <c r="OL137" s="2"/>
      <c r="OM137" s="2"/>
      <c r="ON137" s="2"/>
      <c r="OO137" s="2"/>
      <c r="OP137" s="2"/>
      <c r="OQ137" s="2"/>
      <c r="OR137" s="2"/>
      <c r="OS137" s="2"/>
      <c r="OT137" s="2"/>
      <c r="OU137" s="2"/>
      <c r="OV137" s="2"/>
      <c r="OW137" s="2"/>
      <c r="OX137" s="2"/>
      <c r="OY137" s="2"/>
      <c r="OZ137" s="2"/>
      <c r="PA137" s="2"/>
      <c r="PB137" s="2"/>
      <c r="PC137" s="2"/>
      <c r="PD137" s="2"/>
      <c r="PE137" s="2"/>
      <c r="PF137" s="2"/>
      <c r="PG137" s="2"/>
      <c r="PH137" s="2"/>
      <c r="PI137" s="2"/>
      <c r="PJ137" s="2"/>
      <c r="PK137" s="2"/>
      <c r="PL137" s="2"/>
      <c r="PM137" s="2"/>
      <c r="PN137" s="2"/>
      <c r="PO137" s="2"/>
      <c r="PP137" s="2"/>
      <c r="PQ137" s="2"/>
      <c r="PR137" s="2"/>
      <c r="PS137" s="2"/>
      <c r="PT137" s="2"/>
      <c r="PU137" s="2"/>
      <c r="PV137" s="2"/>
      <c r="PW137" s="2"/>
      <c r="PX137" s="2"/>
      <c r="PY137" s="2"/>
      <c r="PZ137" s="2"/>
      <c r="QA137" s="2"/>
      <c r="QB137" s="2"/>
      <c r="QC137" s="2"/>
      <c r="QD137" s="2"/>
      <c r="QE137" s="2"/>
      <c r="QF137" s="2"/>
      <c r="QG137" s="2"/>
      <c r="QH137" s="2"/>
      <c r="QI137" s="2"/>
      <c r="QJ137" s="2"/>
      <c r="QK137" s="2"/>
      <c r="QL137" s="2"/>
      <c r="QM137" s="2"/>
      <c r="QN137" s="2"/>
      <c r="QO137" s="2"/>
      <c r="QP137" s="2"/>
      <c r="QQ137" s="2"/>
      <c r="QR137" s="2"/>
      <c r="QS137" s="2"/>
      <c r="QT137" s="2"/>
      <c r="QU137" s="2"/>
      <c r="QV137" s="2"/>
      <c r="QW137" s="2"/>
      <c r="QX137" s="2"/>
      <c r="QY137" s="2"/>
      <c r="QZ137" s="2"/>
      <c r="RA137" s="2"/>
      <c r="RB137" s="2"/>
      <c r="RC137" s="2"/>
      <c r="RD137" s="2"/>
      <c r="RE137" s="2"/>
      <c r="RF137" s="2"/>
      <c r="RG137" s="2"/>
      <c r="RH137" s="2"/>
      <c r="RI137" s="2"/>
      <c r="RJ137" s="2"/>
      <c r="RK137" s="2"/>
      <c r="RL137" s="2"/>
      <c r="RM137" s="2"/>
      <c r="RN137" s="2"/>
      <c r="RO137" s="2"/>
      <c r="RP137" s="2"/>
      <c r="RQ137" s="2"/>
      <c r="RR137" s="2"/>
      <c r="RS137" s="2"/>
      <c r="RT137" s="2"/>
      <c r="RU137" s="2"/>
      <c r="RV137" s="2"/>
      <c r="RW137" s="2"/>
      <c r="RX137" s="2"/>
      <c r="RY137" s="2"/>
      <c r="RZ137" s="2"/>
      <c r="SA137" s="2"/>
      <c r="SB137" s="2"/>
      <c r="SC137" s="2"/>
      <c r="SD137" s="2"/>
      <c r="SE137" s="2"/>
      <c r="SF137" s="2"/>
      <c r="SG137" s="2"/>
      <c r="SH137" s="2"/>
      <c r="SI137" s="2"/>
      <c r="SJ137" s="2"/>
      <c r="SK137" s="2"/>
      <c r="SL137" s="2"/>
      <c r="SM137" s="2"/>
      <c r="SN137" s="2"/>
      <c r="SO137" s="2"/>
      <c r="SP137" s="2"/>
      <c r="SQ137" s="2"/>
      <c r="SR137" s="2"/>
      <c r="SS137" s="2"/>
      <c r="ST137" s="2"/>
      <c r="SU137" s="2"/>
      <c r="SV137" s="2"/>
      <c r="SW137" s="2"/>
      <c r="SX137" s="2"/>
    </row>
    <row r="138" spans="33:518" x14ac:dyDescent="0.25"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  <c r="FK138" s="2"/>
      <c r="FL138" s="2"/>
      <c r="FM138" s="2"/>
      <c r="FN138" s="2"/>
      <c r="FO138" s="2"/>
      <c r="FP138" s="2"/>
      <c r="FQ138" s="2"/>
      <c r="FR138" s="2"/>
      <c r="FS138" s="2"/>
      <c r="FT138" s="2"/>
      <c r="FU138" s="2"/>
      <c r="FV138" s="2"/>
      <c r="FW138" s="2"/>
      <c r="FX138" s="2"/>
      <c r="FY138" s="2"/>
      <c r="FZ138" s="2"/>
      <c r="GA138" s="2"/>
      <c r="GB138" s="2"/>
      <c r="GC138" s="2"/>
      <c r="GD138" s="2"/>
      <c r="GE138" s="2"/>
      <c r="GF138" s="2"/>
      <c r="GG138" s="2"/>
      <c r="GH138" s="2"/>
      <c r="GI138" s="2"/>
      <c r="GJ138" s="2"/>
      <c r="GK138" s="2"/>
      <c r="GL138" s="2"/>
      <c r="GM138" s="2"/>
      <c r="GN138" s="2"/>
      <c r="GO138" s="2"/>
      <c r="GP138" s="2"/>
      <c r="GQ138" s="2"/>
      <c r="GR138" s="2"/>
      <c r="GS138" s="2"/>
      <c r="GT138" s="2"/>
      <c r="GU138" s="2"/>
      <c r="GV138" s="2"/>
      <c r="GW138" s="2"/>
      <c r="GX138" s="2"/>
      <c r="GY138" s="2"/>
      <c r="GZ138" s="2"/>
      <c r="HA138" s="2"/>
      <c r="HB138" s="2"/>
      <c r="HC138" s="2"/>
      <c r="HD138" s="2"/>
      <c r="HE138" s="2"/>
      <c r="HF138" s="2"/>
      <c r="HG138" s="2"/>
      <c r="HH138" s="2"/>
      <c r="HI138" s="2"/>
      <c r="HJ138" s="2"/>
      <c r="HK138" s="2"/>
      <c r="HL138" s="2"/>
      <c r="HM138" s="2"/>
      <c r="HN138" s="2"/>
      <c r="HO138" s="2"/>
      <c r="HP138" s="2"/>
      <c r="HQ138" s="2"/>
      <c r="HR138" s="2"/>
      <c r="HS138" s="2"/>
      <c r="HT138" s="2"/>
      <c r="HU138" s="2"/>
      <c r="HV138" s="2"/>
      <c r="HW138" s="2"/>
      <c r="HX138" s="2"/>
      <c r="HY138" s="2"/>
      <c r="HZ138" s="2"/>
      <c r="IA138" s="2"/>
      <c r="IB138" s="2"/>
      <c r="IC138" s="2"/>
      <c r="ID138" s="2"/>
      <c r="IE138" s="2"/>
      <c r="IF138" s="2"/>
      <c r="IG138" s="2"/>
      <c r="IH138" s="2"/>
      <c r="II138" s="2"/>
      <c r="IJ138" s="2"/>
      <c r="IK138" s="2"/>
      <c r="IL138" s="2"/>
      <c r="IM138" s="2"/>
      <c r="IN138" s="2"/>
      <c r="IO138" s="2"/>
      <c r="IP138" s="2"/>
      <c r="IQ138" s="2"/>
      <c r="IR138" s="2"/>
      <c r="IS138" s="2"/>
      <c r="IT138" s="2"/>
      <c r="IU138" s="2"/>
      <c r="IV138" s="2"/>
      <c r="IW138" s="2"/>
      <c r="IX138" s="2"/>
      <c r="IY138" s="2"/>
      <c r="IZ138" s="2"/>
      <c r="JA138" s="2"/>
      <c r="JB138" s="2"/>
      <c r="JC138" s="2"/>
      <c r="JD138" s="2"/>
      <c r="JE138" s="2"/>
      <c r="JF138" s="2"/>
      <c r="JG138" s="2"/>
      <c r="JH138" s="2"/>
      <c r="JI138" s="2"/>
      <c r="JJ138" s="2"/>
      <c r="JK138" s="2"/>
      <c r="JL138" s="2"/>
      <c r="JM138" s="2"/>
      <c r="JN138" s="2"/>
      <c r="JO138" s="2"/>
      <c r="JP138" s="2"/>
      <c r="JQ138" s="2"/>
      <c r="JR138" s="2"/>
      <c r="JS138" s="2"/>
      <c r="JT138" s="2"/>
      <c r="JU138" s="2"/>
      <c r="JV138" s="2"/>
      <c r="JW138" s="2"/>
      <c r="JX138" s="2"/>
      <c r="JY138" s="2"/>
      <c r="JZ138" s="2"/>
      <c r="KA138" s="2"/>
      <c r="KB138" s="2"/>
      <c r="KC138" s="2"/>
      <c r="KD138" s="2"/>
      <c r="KE138" s="2"/>
      <c r="KF138" s="2"/>
      <c r="KG138" s="2"/>
      <c r="KH138" s="2"/>
      <c r="KI138" s="2"/>
      <c r="KJ138" s="2"/>
      <c r="KK138" s="2"/>
      <c r="KL138" s="2"/>
      <c r="KM138" s="2"/>
      <c r="KN138" s="2"/>
      <c r="KO138" s="2"/>
      <c r="KP138" s="2"/>
      <c r="KQ138" s="2"/>
      <c r="KR138" s="2"/>
      <c r="KS138" s="2"/>
      <c r="KT138" s="2"/>
      <c r="KU138" s="2"/>
      <c r="KV138" s="2"/>
      <c r="KW138" s="2"/>
      <c r="KX138" s="2"/>
      <c r="KY138" s="2"/>
      <c r="KZ138" s="2"/>
      <c r="LA138" s="2"/>
      <c r="LB138" s="2"/>
      <c r="LC138" s="2"/>
      <c r="LD138" s="2"/>
      <c r="LE138" s="2"/>
      <c r="LF138" s="2"/>
      <c r="LG138" s="2"/>
      <c r="LH138" s="2"/>
      <c r="LI138" s="2"/>
      <c r="LJ138" s="2"/>
      <c r="LK138" s="2"/>
      <c r="LL138" s="2"/>
      <c r="LM138" s="2"/>
      <c r="LN138" s="2"/>
      <c r="LO138" s="2"/>
      <c r="LP138" s="2"/>
      <c r="LQ138" s="2"/>
      <c r="LR138" s="2"/>
      <c r="LS138" s="2"/>
      <c r="LT138" s="2"/>
      <c r="LU138" s="2"/>
      <c r="LV138" s="2"/>
      <c r="LW138" s="2"/>
      <c r="LX138" s="2"/>
      <c r="LY138" s="2"/>
      <c r="LZ138" s="2"/>
      <c r="MA138" s="2"/>
      <c r="MB138" s="2"/>
      <c r="MC138" s="2"/>
      <c r="MD138" s="2"/>
      <c r="ME138" s="2"/>
      <c r="MF138" s="2"/>
      <c r="MG138" s="2"/>
      <c r="MH138" s="2"/>
      <c r="MI138" s="2"/>
      <c r="MJ138" s="2"/>
      <c r="MK138" s="2"/>
      <c r="ML138" s="2"/>
      <c r="MM138" s="2"/>
      <c r="MN138" s="2"/>
      <c r="MO138" s="2"/>
      <c r="MP138" s="2"/>
      <c r="MQ138" s="2"/>
      <c r="MR138" s="2"/>
      <c r="MS138" s="2"/>
      <c r="MT138" s="2"/>
      <c r="MU138" s="2"/>
      <c r="MV138" s="2"/>
      <c r="MW138" s="2"/>
      <c r="MX138" s="2"/>
      <c r="MY138" s="2"/>
      <c r="MZ138" s="2"/>
      <c r="NA138" s="2"/>
      <c r="NB138" s="2"/>
      <c r="NC138" s="2"/>
      <c r="ND138" s="2"/>
      <c r="NE138" s="2"/>
      <c r="NF138" s="2"/>
      <c r="NG138" s="2"/>
      <c r="NH138" s="2"/>
      <c r="NI138" s="2"/>
      <c r="NJ138" s="2"/>
      <c r="NK138" s="2"/>
      <c r="NL138" s="2"/>
      <c r="NM138" s="2"/>
      <c r="NN138" s="2"/>
      <c r="NO138" s="2"/>
      <c r="NP138" s="2"/>
      <c r="NQ138" s="2"/>
      <c r="NR138" s="2"/>
      <c r="NS138" s="2"/>
      <c r="NT138" s="2"/>
      <c r="NU138" s="2"/>
      <c r="NV138" s="2"/>
      <c r="NW138" s="2"/>
      <c r="NX138" s="2"/>
      <c r="NY138" s="2"/>
      <c r="NZ138" s="2"/>
      <c r="OA138" s="2"/>
      <c r="OB138" s="2"/>
      <c r="OC138" s="2"/>
      <c r="OD138" s="2"/>
      <c r="OE138" s="2"/>
      <c r="OF138" s="2"/>
      <c r="OG138" s="2"/>
      <c r="OH138" s="2"/>
      <c r="OI138" s="2"/>
      <c r="OJ138" s="2"/>
      <c r="OK138" s="2"/>
      <c r="OL138" s="2"/>
      <c r="OM138" s="2"/>
      <c r="ON138" s="2"/>
      <c r="OO138" s="2"/>
      <c r="OP138" s="2"/>
      <c r="OQ138" s="2"/>
      <c r="OR138" s="2"/>
      <c r="OS138" s="2"/>
      <c r="OT138" s="2"/>
      <c r="OU138" s="2"/>
      <c r="OV138" s="2"/>
      <c r="OW138" s="2"/>
      <c r="OX138" s="2"/>
      <c r="OY138" s="2"/>
      <c r="OZ138" s="2"/>
      <c r="PA138" s="2"/>
      <c r="PB138" s="2"/>
      <c r="PC138" s="2"/>
      <c r="PD138" s="2"/>
      <c r="PE138" s="2"/>
      <c r="PF138" s="2"/>
      <c r="PG138" s="2"/>
      <c r="PH138" s="2"/>
      <c r="PI138" s="2"/>
      <c r="PJ138" s="2"/>
      <c r="PK138" s="2"/>
      <c r="PL138" s="2"/>
      <c r="PM138" s="2"/>
      <c r="PN138" s="2"/>
      <c r="PO138" s="2"/>
      <c r="PP138" s="2"/>
      <c r="PQ138" s="2"/>
      <c r="PR138" s="2"/>
      <c r="PS138" s="2"/>
      <c r="PT138" s="2"/>
      <c r="PU138" s="2"/>
      <c r="PV138" s="2"/>
      <c r="PW138" s="2"/>
      <c r="PX138" s="2"/>
      <c r="PY138" s="2"/>
      <c r="PZ138" s="2"/>
      <c r="QA138" s="2"/>
      <c r="QB138" s="2"/>
      <c r="QC138" s="2"/>
      <c r="QD138" s="2"/>
      <c r="QE138" s="2"/>
      <c r="QF138" s="2"/>
      <c r="QG138" s="2"/>
      <c r="QH138" s="2"/>
      <c r="QI138" s="2"/>
      <c r="QJ138" s="2"/>
      <c r="QK138" s="2"/>
      <c r="QL138" s="2"/>
      <c r="QM138" s="2"/>
      <c r="QN138" s="2"/>
      <c r="QO138" s="2"/>
      <c r="QP138" s="2"/>
      <c r="QQ138" s="2"/>
      <c r="QR138" s="2"/>
      <c r="QS138" s="2"/>
      <c r="QT138" s="2"/>
      <c r="QU138" s="2"/>
      <c r="QV138" s="2"/>
      <c r="QW138" s="2"/>
      <c r="QX138" s="2"/>
      <c r="QY138" s="2"/>
      <c r="QZ138" s="2"/>
      <c r="RA138" s="2"/>
      <c r="RB138" s="2"/>
      <c r="RC138" s="2"/>
      <c r="RD138" s="2"/>
      <c r="RE138" s="2"/>
      <c r="RF138" s="2"/>
      <c r="RG138" s="2"/>
      <c r="RH138" s="2"/>
      <c r="RI138" s="2"/>
      <c r="RJ138" s="2"/>
      <c r="RK138" s="2"/>
      <c r="RL138" s="2"/>
      <c r="RM138" s="2"/>
      <c r="RN138" s="2"/>
      <c r="RO138" s="2"/>
      <c r="RP138" s="2"/>
      <c r="RQ138" s="2"/>
      <c r="RR138" s="2"/>
      <c r="RS138" s="2"/>
      <c r="RT138" s="2"/>
      <c r="RU138" s="2"/>
      <c r="RV138" s="2"/>
      <c r="RW138" s="2"/>
      <c r="RX138" s="2"/>
      <c r="RY138" s="2"/>
      <c r="RZ138" s="2"/>
      <c r="SA138" s="2"/>
      <c r="SB138" s="2"/>
      <c r="SC138" s="2"/>
      <c r="SD138" s="2"/>
      <c r="SE138" s="2"/>
      <c r="SF138" s="2"/>
      <c r="SG138" s="2"/>
      <c r="SH138" s="2"/>
      <c r="SI138" s="2"/>
      <c r="SJ138" s="2"/>
      <c r="SK138" s="2"/>
      <c r="SL138" s="2"/>
      <c r="SM138" s="2"/>
      <c r="SN138" s="2"/>
      <c r="SO138" s="2"/>
      <c r="SP138" s="2"/>
      <c r="SQ138" s="2"/>
      <c r="SR138" s="2"/>
      <c r="SS138" s="2"/>
      <c r="ST138" s="2"/>
      <c r="SU138" s="2"/>
      <c r="SV138" s="2"/>
      <c r="SW138" s="2"/>
      <c r="SX138" s="2"/>
    </row>
    <row r="139" spans="33:518" x14ac:dyDescent="0.25"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  <c r="FK139" s="2"/>
      <c r="FL139" s="2"/>
      <c r="FM139" s="2"/>
      <c r="FN139" s="2"/>
      <c r="FO139" s="2"/>
      <c r="FP139" s="2"/>
      <c r="FQ139" s="2"/>
      <c r="FR139" s="2"/>
      <c r="FS139" s="2"/>
      <c r="FT139" s="2"/>
      <c r="FU139" s="2"/>
      <c r="FV139" s="2"/>
      <c r="FW139" s="2"/>
      <c r="FX139" s="2"/>
      <c r="FY139" s="2"/>
      <c r="FZ139" s="2"/>
      <c r="GA139" s="2"/>
      <c r="GB139" s="2"/>
      <c r="GC139" s="2"/>
      <c r="GD139" s="2"/>
      <c r="GE139" s="2"/>
      <c r="GF139" s="2"/>
      <c r="GG139" s="2"/>
      <c r="GH139" s="2"/>
      <c r="GI139" s="2"/>
      <c r="GJ139" s="2"/>
      <c r="GK139" s="2"/>
      <c r="GL139" s="2"/>
      <c r="GM139" s="2"/>
      <c r="GN139" s="2"/>
      <c r="GO139" s="2"/>
      <c r="GP139" s="2"/>
      <c r="GQ139" s="2"/>
      <c r="GR139" s="2"/>
      <c r="GS139" s="2"/>
      <c r="GT139" s="2"/>
      <c r="GU139" s="2"/>
      <c r="GV139" s="2"/>
      <c r="GW139" s="2"/>
      <c r="GX139" s="2"/>
      <c r="GY139" s="2"/>
      <c r="GZ139" s="2"/>
      <c r="HA139" s="2"/>
      <c r="HB139" s="2"/>
      <c r="HC139" s="2"/>
      <c r="HD139" s="2"/>
      <c r="HE139" s="2"/>
      <c r="HF139" s="2"/>
      <c r="HG139" s="2"/>
      <c r="HH139" s="2"/>
      <c r="HI139" s="2"/>
      <c r="HJ139" s="2"/>
      <c r="HK139" s="2"/>
      <c r="HL139" s="2"/>
      <c r="HM139" s="2"/>
      <c r="HN139" s="2"/>
      <c r="HO139" s="2"/>
      <c r="HP139" s="2"/>
      <c r="HQ139" s="2"/>
      <c r="HR139" s="2"/>
      <c r="HS139" s="2"/>
      <c r="HT139" s="2"/>
      <c r="HU139" s="2"/>
      <c r="HV139" s="2"/>
      <c r="HW139" s="2"/>
      <c r="HX139" s="2"/>
      <c r="HY139" s="2"/>
      <c r="HZ139" s="2"/>
      <c r="IA139" s="2"/>
      <c r="IB139" s="2"/>
      <c r="IC139" s="2"/>
      <c r="ID139" s="2"/>
      <c r="IE139" s="2"/>
      <c r="IF139" s="2"/>
      <c r="IG139" s="2"/>
      <c r="IH139" s="2"/>
      <c r="II139" s="2"/>
      <c r="IJ139" s="2"/>
      <c r="IK139" s="2"/>
      <c r="IL139" s="2"/>
      <c r="IM139" s="2"/>
      <c r="IN139" s="2"/>
      <c r="IO139" s="2"/>
      <c r="IP139" s="2"/>
      <c r="IQ139" s="2"/>
      <c r="IR139" s="2"/>
      <c r="IS139" s="2"/>
      <c r="IT139" s="2"/>
      <c r="IU139" s="2"/>
      <c r="IV139" s="2"/>
      <c r="IW139" s="2"/>
      <c r="IX139" s="2"/>
      <c r="IY139" s="2"/>
      <c r="IZ139" s="2"/>
      <c r="JA139" s="2"/>
      <c r="JB139" s="2"/>
      <c r="JC139" s="2"/>
      <c r="JD139" s="2"/>
      <c r="JE139" s="2"/>
      <c r="JF139" s="2"/>
      <c r="JG139" s="2"/>
      <c r="JH139" s="2"/>
      <c r="JI139" s="2"/>
      <c r="JJ139" s="2"/>
      <c r="JK139" s="2"/>
      <c r="JL139" s="2"/>
      <c r="JM139" s="2"/>
      <c r="JN139" s="2"/>
      <c r="JO139" s="2"/>
      <c r="JP139" s="2"/>
      <c r="JQ139" s="2"/>
      <c r="JR139" s="2"/>
      <c r="JS139" s="2"/>
      <c r="JT139" s="2"/>
      <c r="JU139" s="2"/>
      <c r="JV139" s="2"/>
      <c r="JW139" s="2"/>
      <c r="JX139" s="2"/>
      <c r="JY139" s="2"/>
      <c r="JZ139" s="2"/>
      <c r="KA139" s="2"/>
      <c r="KB139" s="2"/>
      <c r="KC139" s="2"/>
      <c r="KD139" s="2"/>
      <c r="KE139" s="2"/>
      <c r="KF139" s="2"/>
      <c r="KG139" s="2"/>
      <c r="KH139" s="2"/>
      <c r="KI139" s="2"/>
      <c r="KJ139" s="2"/>
      <c r="KK139" s="2"/>
      <c r="KL139" s="2"/>
      <c r="KM139" s="2"/>
      <c r="KN139" s="2"/>
      <c r="KO139" s="2"/>
      <c r="KP139" s="2"/>
      <c r="KQ139" s="2"/>
      <c r="KR139" s="2"/>
      <c r="KS139" s="2"/>
      <c r="KT139" s="2"/>
      <c r="KU139" s="2"/>
      <c r="KV139" s="2"/>
      <c r="KW139" s="2"/>
      <c r="KX139" s="2"/>
      <c r="KY139" s="2"/>
      <c r="KZ139" s="2"/>
      <c r="LA139" s="2"/>
      <c r="LB139" s="2"/>
      <c r="LC139" s="2"/>
      <c r="LD139" s="2"/>
      <c r="LE139" s="2"/>
      <c r="LF139" s="2"/>
      <c r="LG139" s="2"/>
      <c r="LH139" s="2"/>
      <c r="LI139" s="2"/>
      <c r="LJ139" s="2"/>
      <c r="LK139" s="2"/>
      <c r="LL139" s="2"/>
      <c r="LM139" s="2"/>
      <c r="LN139" s="2"/>
      <c r="LO139" s="2"/>
      <c r="LP139" s="2"/>
      <c r="LQ139" s="2"/>
      <c r="LR139" s="2"/>
      <c r="LS139" s="2"/>
      <c r="LT139" s="2"/>
      <c r="LU139" s="2"/>
      <c r="LV139" s="2"/>
      <c r="LW139" s="2"/>
      <c r="LX139" s="2"/>
      <c r="LY139" s="2"/>
      <c r="LZ139" s="2"/>
      <c r="MA139" s="2"/>
      <c r="MB139" s="2"/>
      <c r="MC139" s="2"/>
      <c r="MD139" s="2"/>
      <c r="ME139" s="2"/>
      <c r="MF139" s="2"/>
      <c r="MG139" s="2"/>
      <c r="MH139" s="2"/>
      <c r="MI139" s="2"/>
      <c r="MJ139" s="2"/>
      <c r="MK139" s="2"/>
      <c r="ML139" s="2"/>
      <c r="MM139" s="2"/>
      <c r="MN139" s="2"/>
      <c r="MO139" s="2"/>
      <c r="MP139" s="2"/>
      <c r="MQ139" s="2"/>
      <c r="MR139" s="2"/>
      <c r="MS139" s="2"/>
      <c r="MT139" s="2"/>
      <c r="MU139" s="2"/>
      <c r="MV139" s="2"/>
      <c r="MW139" s="2"/>
      <c r="MX139" s="2"/>
      <c r="MY139" s="2"/>
      <c r="MZ139" s="2"/>
      <c r="NA139" s="2"/>
      <c r="NB139" s="2"/>
      <c r="NC139" s="2"/>
      <c r="ND139" s="2"/>
      <c r="NE139" s="2"/>
      <c r="NF139" s="2"/>
      <c r="NG139" s="2"/>
      <c r="NH139" s="2"/>
      <c r="NI139" s="2"/>
      <c r="NJ139" s="2"/>
      <c r="NK139" s="2"/>
      <c r="NL139" s="2"/>
      <c r="NM139" s="2"/>
      <c r="NN139" s="2"/>
      <c r="NO139" s="2"/>
      <c r="NP139" s="2"/>
      <c r="NQ139" s="2"/>
      <c r="NR139" s="2"/>
      <c r="NS139" s="2"/>
      <c r="NT139" s="2"/>
      <c r="NU139" s="2"/>
      <c r="NV139" s="2"/>
      <c r="NW139" s="2"/>
      <c r="NX139" s="2"/>
      <c r="NY139" s="2"/>
      <c r="NZ139" s="2"/>
      <c r="OA139" s="2"/>
      <c r="OB139" s="2"/>
      <c r="OC139" s="2"/>
      <c r="OD139" s="2"/>
      <c r="OE139" s="2"/>
      <c r="OF139" s="2"/>
      <c r="OG139" s="2"/>
      <c r="OH139" s="2"/>
      <c r="OI139" s="2"/>
      <c r="OJ139" s="2"/>
      <c r="OK139" s="2"/>
      <c r="OL139" s="2"/>
      <c r="OM139" s="2"/>
      <c r="ON139" s="2"/>
      <c r="OO139" s="2"/>
      <c r="OP139" s="2"/>
      <c r="OQ139" s="2"/>
      <c r="OR139" s="2"/>
      <c r="OS139" s="2"/>
      <c r="OT139" s="2"/>
      <c r="OU139" s="2"/>
      <c r="OV139" s="2"/>
      <c r="OW139" s="2"/>
      <c r="OX139" s="2"/>
      <c r="OY139" s="2"/>
      <c r="OZ139" s="2"/>
      <c r="PA139" s="2"/>
      <c r="PB139" s="2"/>
      <c r="PC139" s="2"/>
      <c r="PD139" s="2"/>
      <c r="PE139" s="2"/>
      <c r="PF139" s="2"/>
      <c r="PG139" s="2"/>
      <c r="PH139" s="2"/>
      <c r="PI139" s="2"/>
      <c r="PJ139" s="2"/>
      <c r="PK139" s="2"/>
      <c r="PL139" s="2"/>
      <c r="PM139" s="2"/>
      <c r="PN139" s="2"/>
      <c r="PO139" s="2"/>
      <c r="PP139" s="2"/>
      <c r="PQ139" s="2"/>
      <c r="PR139" s="2"/>
      <c r="PS139" s="2"/>
      <c r="PT139" s="2"/>
      <c r="PU139" s="2"/>
      <c r="PV139" s="2"/>
      <c r="PW139" s="2"/>
      <c r="PX139" s="2"/>
      <c r="PY139" s="2"/>
      <c r="PZ139" s="2"/>
      <c r="QA139" s="2"/>
      <c r="QB139" s="2"/>
      <c r="QC139" s="2"/>
      <c r="QD139" s="2"/>
      <c r="QE139" s="2"/>
      <c r="QF139" s="2"/>
      <c r="QG139" s="2"/>
      <c r="QH139" s="2"/>
      <c r="QI139" s="2"/>
      <c r="QJ139" s="2"/>
      <c r="QK139" s="2"/>
      <c r="QL139" s="2"/>
      <c r="QM139" s="2"/>
      <c r="QN139" s="2"/>
      <c r="QO139" s="2"/>
      <c r="QP139" s="2"/>
      <c r="QQ139" s="2"/>
      <c r="QR139" s="2"/>
      <c r="QS139" s="2"/>
      <c r="QT139" s="2"/>
      <c r="QU139" s="2"/>
      <c r="QV139" s="2"/>
      <c r="QW139" s="2"/>
      <c r="QX139" s="2"/>
      <c r="QY139" s="2"/>
      <c r="QZ139" s="2"/>
      <c r="RA139" s="2"/>
      <c r="RB139" s="2"/>
      <c r="RC139" s="2"/>
      <c r="RD139" s="2"/>
      <c r="RE139" s="2"/>
      <c r="RF139" s="2"/>
      <c r="RG139" s="2"/>
      <c r="RH139" s="2"/>
      <c r="RI139" s="2"/>
      <c r="RJ139" s="2"/>
      <c r="RK139" s="2"/>
      <c r="RL139" s="2"/>
      <c r="RM139" s="2"/>
      <c r="RN139" s="2"/>
      <c r="RO139" s="2"/>
      <c r="RP139" s="2"/>
      <c r="RQ139" s="2"/>
      <c r="RR139" s="2"/>
      <c r="RS139" s="2"/>
      <c r="RT139" s="2"/>
      <c r="RU139" s="2"/>
      <c r="RV139" s="2"/>
      <c r="RW139" s="2"/>
      <c r="RX139" s="2"/>
      <c r="RY139" s="2"/>
      <c r="RZ139" s="2"/>
      <c r="SA139" s="2"/>
      <c r="SB139" s="2"/>
      <c r="SC139" s="2"/>
      <c r="SD139" s="2"/>
      <c r="SE139" s="2"/>
      <c r="SF139" s="2"/>
      <c r="SG139" s="2"/>
      <c r="SH139" s="2"/>
      <c r="SI139" s="2"/>
      <c r="SJ139" s="2"/>
      <c r="SK139" s="2"/>
      <c r="SL139" s="2"/>
      <c r="SM139" s="2"/>
      <c r="SN139" s="2"/>
      <c r="SO139" s="2"/>
      <c r="SP139" s="2"/>
      <c r="SQ139" s="2"/>
      <c r="SR139" s="2"/>
      <c r="SS139" s="2"/>
      <c r="ST139" s="2"/>
      <c r="SU139" s="2"/>
      <c r="SV139" s="2"/>
      <c r="SW139" s="2"/>
      <c r="SX139" s="2"/>
    </row>
    <row r="140" spans="33:518" x14ac:dyDescent="0.25"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  <c r="FK140" s="2"/>
      <c r="FL140" s="2"/>
      <c r="FM140" s="2"/>
      <c r="FN140" s="2"/>
      <c r="FO140" s="2"/>
      <c r="FP140" s="2"/>
      <c r="FQ140" s="2"/>
      <c r="FR140" s="2"/>
      <c r="FS140" s="2"/>
      <c r="FT140" s="2"/>
      <c r="FU140" s="2"/>
      <c r="FV140" s="2"/>
      <c r="FW140" s="2"/>
      <c r="FX140" s="2"/>
      <c r="FY140" s="2"/>
      <c r="FZ140" s="2"/>
      <c r="GA140" s="2"/>
      <c r="GB140" s="2"/>
      <c r="GC140" s="2"/>
      <c r="GD140" s="2"/>
      <c r="GE140" s="2"/>
      <c r="GF140" s="2"/>
      <c r="GG140" s="2"/>
      <c r="GH140" s="2"/>
      <c r="GI140" s="2"/>
      <c r="GJ140" s="2"/>
      <c r="GK140" s="2"/>
      <c r="GL140" s="2"/>
      <c r="GM140" s="2"/>
      <c r="GN140" s="2"/>
      <c r="GO140" s="2"/>
      <c r="GP140" s="2"/>
      <c r="GQ140" s="2"/>
      <c r="GR140" s="2"/>
      <c r="GS140" s="2"/>
      <c r="GT140" s="2"/>
      <c r="GU140" s="2"/>
      <c r="GV140" s="2"/>
      <c r="GW140" s="2"/>
      <c r="GX140" s="2"/>
      <c r="GY140" s="2"/>
      <c r="GZ140" s="2"/>
      <c r="HA140" s="2"/>
      <c r="HB140" s="2"/>
      <c r="HC140" s="2"/>
      <c r="HD140" s="2"/>
      <c r="HE140" s="2"/>
      <c r="HF140" s="2"/>
      <c r="HG140" s="2"/>
      <c r="HH140" s="2"/>
      <c r="HI140" s="2"/>
      <c r="HJ140" s="2"/>
      <c r="HK140" s="2"/>
      <c r="HL140" s="2"/>
      <c r="HM140" s="2"/>
      <c r="HN140" s="2"/>
      <c r="HO140" s="2"/>
      <c r="HP140" s="2"/>
      <c r="HQ140" s="2"/>
      <c r="HR140" s="2"/>
      <c r="HS140" s="2"/>
      <c r="HT140" s="2"/>
      <c r="HU140" s="2"/>
      <c r="HV140" s="2"/>
      <c r="HW140" s="2"/>
      <c r="HX140" s="2"/>
      <c r="HY140" s="2"/>
      <c r="HZ140" s="2"/>
      <c r="IA140" s="2"/>
      <c r="IB140" s="2"/>
      <c r="IC140" s="2"/>
      <c r="ID140" s="2"/>
      <c r="IE140" s="2"/>
      <c r="IF140" s="2"/>
      <c r="IG140" s="2"/>
      <c r="IH140" s="2"/>
      <c r="II140" s="2"/>
      <c r="IJ140" s="2"/>
      <c r="IK140" s="2"/>
      <c r="IL140" s="2"/>
      <c r="IM140" s="2"/>
      <c r="IN140" s="2"/>
      <c r="IO140" s="2"/>
      <c r="IP140" s="2"/>
      <c r="IQ140" s="2"/>
      <c r="IR140" s="2"/>
      <c r="IS140" s="2"/>
      <c r="IT140" s="2"/>
      <c r="IU140" s="2"/>
      <c r="IV140" s="2"/>
      <c r="IW140" s="2"/>
      <c r="IX140" s="2"/>
      <c r="IY140" s="2"/>
      <c r="IZ140" s="2"/>
      <c r="JA140" s="2"/>
      <c r="JB140" s="2"/>
      <c r="JC140" s="2"/>
      <c r="JD140" s="2"/>
      <c r="JE140" s="2"/>
      <c r="JF140" s="2"/>
      <c r="JG140" s="2"/>
      <c r="JH140" s="2"/>
      <c r="JI140" s="2"/>
      <c r="JJ140" s="2"/>
      <c r="JK140" s="2"/>
      <c r="JL140" s="2"/>
      <c r="JM140" s="2"/>
      <c r="JN140" s="2"/>
      <c r="JO140" s="2"/>
      <c r="JP140" s="2"/>
      <c r="JQ140" s="2"/>
      <c r="JR140" s="2"/>
      <c r="JS140" s="2"/>
      <c r="JT140" s="2"/>
      <c r="JU140" s="2"/>
      <c r="JV140" s="2"/>
      <c r="JW140" s="2"/>
      <c r="JX140" s="2"/>
      <c r="JY140" s="2"/>
      <c r="JZ140" s="2"/>
      <c r="KA140" s="2"/>
      <c r="KB140" s="2"/>
      <c r="KC140" s="2"/>
      <c r="KD140" s="2"/>
      <c r="KE140" s="2"/>
      <c r="KF140" s="2"/>
      <c r="KG140" s="2"/>
      <c r="KH140" s="2"/>
      <c r="KI140" s="2"/>
      <c r="KJ140" s="2"/>
      <c r="KK140" s="2"/>
      <c r="KL140" s="2"/>
      <c r="KM140" s="2"/>
      <c r="KN140" s="2"/>
      <c r="KO140" s="2"/>
      <c r="KP140" s="2"/>
      <c r="KQ140" s="2"/>
      <c r="KR140" s="2"/>
      <c r="KS140" s="2"/>
      <c r="KT140" s="2"/>
      <c r="KU140" s="2"/>
      <c r="KV140" s="2"/>
      <c r="KW140" s="2"/>
      <c r="KX140" s="2"/>
      <c r="KY140" s="2"/>
      <c r="KZ140" s="2"/>
      <c r="LA140" s="2"/>
      <c r="LB140" s="2"/>
      <c r="LC140" s="2"/>
      <c r="LD140" s="2"/>
      <c r="LE140" s="2"/>
      <c r="LF140" s="2"/>
      <c r="LG140" s="2"/>
      <c r="LH140" s="2"/>
      <c r="LI140" s="2"/>
      <c r="LJ140" s="2"/>
      <c r="LK140" s="2"/>
      <c r="LL140" s="2"/>
      <c r="LM140" s="2"/>
      <c r="LN140" s="2"/>
      <c r="LO140" s="2"/>
      <c r="LP140" s="2"/>
      <c r="LQ140" s="2"/>
      <c r="LR140" s="2"/>
      <c r="LS140" s="2"/>
      <c r="LT140" s="2"/>
      <c r="LU140" s="2"/>
      <c r="LV140" s="2"/>
      <c r="LW140" s="2"/>
      <c r="LX140" s="2"/>
      <c r="LY140" s="2"/>
      <c r="LZ140" s="2"/>
      <c r="MA140" s="2"/>
      <c r="MB140" s="2"/>
      <c r="MC140" s="2"/>
      <c r="MD140" s="2"/>
      <c r="ME140" s="2"/>
      <c r="MF140" s="2"/>
      <c r="MG140" s="2"/>
      <c r="MH140" s="2"/>
      <c r="MI140" s="2"/>
      <c r="MJ140" s="2"/>
      <c r="MK140" s="2"/>
      <c r="ML140" s="2"/>
      <c r="MM140" s="2"/>
      <c r="MN140" s="2"/>
      <c r="MO140" s="2"/>
      <c r="MP140" s="2"/>
      <c r="MQ140" s="2"/>
      <c r="MR140" s="2"/>
      <c r="MS140" s="2"/>
      <c r="MT140" s="2"/>
      <c r="MU140" s="2"/>
      <c r="MV140" s="2"/>
      <c r="MW140" s="2"/>
      <c r="MX140" s="2"/>
      <c r="MY140" s="2"/>
      <c r="MZ140" s="2"/>
      <c r="NA140" s="2"/>
      <c r="NB140" s="2"/>
      <c r="NC140" s="2"/>
      <c r="ND140" s="2"/>
      <c r="NE140" s="2"/>
      <c r="NF140" s="2"/>
      <c r="NG140" s="2"/>
      <c r="NH140" s="2"/>
      <c r="NI140" s="2"/>
      <c r="NJ140" s="2"/>
      <c r="NK140" s="2"/>
      <c r="NL140" s="2"/>
      <c r="NM140" s="2"/>
      <c r="NN140" s="2"/>
      <c r="NO140" s="2"/>
      <c r="NP140" s="2"/>
      <c r="NQ140" s="2"/>
      <c r="NR140" s="2"/>
      <c r="NS140" s="2"/>
      <c r="NT140" s="2"/>
      <c r="NU140" s="2"/>
      <c r="NV140" s="2"/>
      <c r="NW140" s="2"/>
      <c r="NX140" s="2"/>
      <c r="NY140" s="2"/>
      <c r="NZ140" s="2"/>
      <c r="OA140" s="2"/>
      <c r="OB140" s="2"/>
      <c r="OC140" s="2"/>
      <c r="OD140" s="2"/>
      <c r="OE140" s="2"/>
      <c r="OF140" s="2"/>
      <c r="OG140" s="2"/>
      <c r="OH140" s="2"/>
      <c r="OI140" s="2"/>
      <c r="OJ140" s="2"/>
      <c r="OK140" s="2"/>
      <c r="OL140" s="2"/>
      <c r="OM140" s="2"/>
      <c r="ON140" s="2"/>
      <c r="OO140" s="2"/>
      <c r="OP140" s="2"/>
      <c r="OQ140" s="2"/>
      <c r="OR140" s="2"/>
      <c r="OS140" s="2"/>
      <c r="OT140" s="2"/>
      <c r="OU140" s="2"/>
      <c r="OV140" s="2"/>
      <c r="OW140" s="2"/>
      <c r="OX140" s="2"/>
      <c r="OY140" s="2"/>
      <c r="OZ140" s="2"/>
      <c r="PA140" s="2"/>
      <c r="PB140" s="2"/>
      <c r="PC140" s="2"/>
      <c r="PD140" s="2"/>
      <c r="PE140" s="2"/>
      <c r="PF140" s="2"/>
      <c r="PG140" s="2"/>
      <c r="PH140" s="2"/>
      <c r="PI140" s="2"/>
      <c r="PJ140" s="2"/>
      <c r="PK140" s="2"/>
      <c r="PL140" s="2"/>
      <c r="PM140" s="2"/>
      <c r="PN140" s="2"/>
      <c r="PO140" s="2"/>
      <c r="PP140" s="2"/>
      <c r="PQ140" s="2"/>
      <c r="PR140" s="2"/>
      <c r="PS140" s="2"/>
      <c r="PT140" s="2"/>
      <c r="PU140" s="2"/>
      <c r="PV140" s="2"/>
      <c r="PW140" s="2"/>
      <c r="PX140" s="2"/>
      <c r="PY140" s="2"/>
      <c r="PZ140" s="2"/>
      <c r="QA140" s="2"/>
      <c r="QB140" s="2"/>
      <c r="QC140" s="2"/>
      <c r="QD140" s="2"/>
      <c r="QE140" s="2"/>
      <c r="QF140" s="2"/>
      <c r="QG140" s="2"/>
      <c r="QH140" s="2"/>
      <c r="QI140" s="2"/>
      <c r="QJ140" s="2"/>
      <c r="QK140" s="2"/>
      <c r="QL140" s="2"/>
      <c r="QM140" s="2"/>
      <c r="QN140" s="2"/>
      <c r="QO140" s="2"/>
      <c r="QP140" s="2"/>
      <c r="QQ140" s="2"/>
      <c r="QR140" s="2"/>
      <c r="QS140" s="2"/>
      <c r="QT140" s="2"/>
      <c r="QU140" s="2"/>
      <c r="QV140" s="2"/>
      <c r="QW140" s="2"/>
      <c r="QX140" s="2"/>
      <c r="QY140" s="2"/>
      <c r="QZ140" s="2"/>
      <c r="RA140" s="2"/>
      <c r="RB140" s="2"/>
      <c r="RC140" s="2"/>
      <c r="RD140" s="2"/>
      <c r="RE140" s="2"/>
      <c r="RF140" s="2"/>
      <c r="RG140" s="2"/>
      <c r="RH140" s="2"/>
      <c r="RI140" s="2"/>
      <c r="RJ140" s="2"/>
      <c r="RK140" s="2"/>
      <c r="RL140" s="2"/>
      <c r="RM140" s="2"/>
      <c r="RN140" s="2"/>
      <c r="RO140" s="2"/>
      <c r="RP140" s="2"/>
      <c r="RQ140" s="2"/>
      <c r="RR140" s="2"/>
      <c r="RS140" s="2"/>
      <c r="RT140" s="2"/>
      <c r="RU140" s="2"/>
      <c r="RV140" s="2"/>
      <c r="RW140" s="2"/>
      <c r="RX140" s="2"/>
      <c r="RY140" s="2"/>
      <c r="RZ140" s="2"/>
      <c r="SA140" s="2"/>
      <c r="SB140" s="2"/>
      <c r="SC140" s="2"/>
      <c r="SD140" s="2"/>
      <c r="SE140" s="2"/>
      <c r="SF140" s="2"/>
      <c r="SG140" s="2"/>
      <c r="SH140" s="2"/>
      <c r="SI140" s="2"/>
      <c r="SJ140" s="2"/>
      <c r="SK140" s="2"/>
      <c r="SL140" s="2"/>
      <c r="SM140" s="2"/>
      <c r="SN140" s="2"/>
      <c r="SO140" s="2"/>
      <c r="SP140" s="2"/>
      <c r="SQ140" s="2"/>
      <c r="SR140" s="2"/>
      <c r="SS140" s="2"/>
      <c r="ST140" s="2"/>
      <c r="SU140" s="2"/>
      <c r="SV140" s="2"/>
      <c r="SW140" s="2"/>
      <c r="SX140" s="2"/>
    </row>
    <row r="141" spans="33:518" x14ac:dyDescent="0.25"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  <c r="RA141" s="2"/>
      <c r="RB141" s="2"/>
      <c r="RC141" s="2"/>
      <c r="RD141" s="2"/>
      <c r="RE141" s="2"/>
      <c r="RF141" s="2"/>
      <c r="RG141" s="2"/>
      <c r="RH141" s="2"/>
      <c r="RI141" s="2"/>
      <c r="RJ141" s="2"/>
      <c r="RK141" s="2"/>
      <c r="RL141" s="2"/>
      <c r="RM141" s="2"/>
      <c r="RN141" s="2"/>
      <c r="RO141" s="2"/>
      <c r="RP141" s="2"/>
      <c r="RQ141" s="2"/>
      <c r="RR141" s="2"/>
      <c r="RS141" s="2"/>
      <c r="RT141" s="2"/>
      <c r="RU141" s="2"/>
      <c r="RV141" s="2"/>
      <c r="RW141" s="2"/>
      <c r="RX141" s="2"/>
      <c r="RY141" s="2"/>
      <c r="RZ141" s="2"/>
      <c r="SA141" s="2"/>
      <c r="SB141" s="2"/>
      <c r="SC141" s="2"/>
      <c r="SD141" s="2"/>
      <c r="SE141" s="2"/>
      <c r="SF141" s="2"/>
      <c r="SG141" s="2"/>
      <c r="SH141" s="2"/>
      <c r="SI141" s="2"/>
      <c r="SJ141" s="2"/>
      <c r="SK141" s="2"/>
      <c r="SL141" s="2"/>
      <c r="SM141" s="2"/>
      <c r="SN141" s="2"/>
      <c r="SO141" s="2"/>
      <c r="SP141" s="2"/>
      <c r="SQ141" s="2"/>
      <c r="SR141" s="2"/>
      <c r="SS141" s="2"/>
      <c r="ST141" s="2"/>
      <c r="SU141" s="2"/>
      <c r="SV141" s="2"/>
      <c r="SW141" s="2"/>
      <c r="SX141" s="2"/>
    </row>
    <row r="142" spans="33:518" x14ac:dyDescent="0.25"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  <c r="RA142" s="2"/>
      <c r="RB142" s="2"/>
      <c r="RC142" s="2"/>
      <c r="RD142" s="2"/>
      <c r="RE142" s="2"/>
      <c r="RF142" s="2"/>
      <c r="RG142" s="2"/>
      <c r="RH142" s="2"/>
      <c r="RI142" s="2"/>
      <c r="RJ142" s="2"/>
      <c r="RK142" s="2"/>
      <c r="RL142" s="2"/>
      <c r="RM142" s="2"/>
      <c r="RN142" s="2"/>
      <c r="RO142" s="2"/>
      <c r="RP142" s="2"/>
      <c r="RQ142" s="2"/>
      <c r="RR142" s="2"/>
      <c r="RS142" s="2"/>
      <c r="RT142" s="2"/>
      <c r="RU142" s="2"/>
      <c r="RV142" s="2"/>
      <c r="RW142" s="2"/>
      <c r="RX142" s="2"/>
      <c r="RY142" s="2"/>
      <c r="RZ142" s="2"/>
      <c r="SA142" s="2"/>
      <c r="SB142" s="2"/>
      <c r="SC142" s="2"/>
      <c r="SD142" s="2"/>
      <c r="SE142" s="2"/>
      <c r="SF142" s="2"/>
      <c r="SG142" s="2"/>
      <c r="SH142" s="2"/>
      <c r="SI142" s="2"/>
      <c r="SJ142" s="2"/>
      <c r="SK142" s="2"/>
      <c r="SL142" s="2"/>
      <c r="SM142" s="2"/>
      <c r="SN142" s="2"/>
      <c r="SO142" s="2"/>
      <c r="SP142" s="2"/>
      <c r="SQ142" s="2"/>
      <c r="SR142" s="2"/>
      <c r="SS142" s="2"/>
      <c r="ST142" s="2"/>
      <c r="SU142" s="2"/>
      <c r="SV142" s="2"/>
      <c r="SW142" s="2"/>
      <c r="SX142" s="2"/>
    </row>
    <row r="143" spans="33:518" x14ac:dyDescent="0.25"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  <c r="FK143" s="2"/>
      <c r="FL143" s="2"/>
      <c r="FM143" s="2"/>
      <c r="FN143" s="2"/>
      <c r="FO143" s="2"/>
      <c r="FP143" s="2"/>
      <c r="FQ143" s="2"/>
      <c r="FR143" s="2"/>
      <c r="FS143" s="2"/>
      <c r="FT143" s="2"/>
      <c r="FU143" s="2"/>
      <c r="FV143" s="2"/>
      <c r="FW143" s="2"/>
      <c r="FX143" s="2"/>
      <c r="FY143" s="2"/>
      <c r="FZ143" s="2"/>
      <c r="GA143" s="2"/>
      <c r="GB143" s="2"/>
      <c r="GC143" s="2"/>
      <c r="GD143" s="2"/>
      <c r="GE143" s="2"/>
      <c r="GF143" s="2"/>
      <c r="GG143" s="2"/>
      <c r="GH143" s="2"/>
      <c r="GI143" s="2"/>
      <c r="GJ143" s="2"/>
      <c r="GK143" s="2"/>
      <c r="GL143" s="2"/>
      <c r="GM143" s="2"/>
      <c r="GN143" s="2"/>
      <c r="GO143" s="2"/>
      <c r="GP143" s="2"/>
      <c r="GQ143" s="2"/>
      <c r="GR143" s="2"/>
      <c r="GS143" s="2"/>
      <c r="GT143" s="2"/>
      <c r="GU143" s="2"/>
      <c r="GV143" s="2"/>
      <c r="GW143" s="2"/>
      <c r="GX143" s="2"/>
      <c r="GY143" s="2"/>
      <c r="GZ143" s="2"/>
      <c r="HA143" s="2"/>
      <c r="HB143" s="2"/>
      <c r="HC143" s="2"/>
      <c r="HD143" s="2"/>
      <c r="HE143" s="2"/>
      <c r="HF143" s="2"/>
      <c r="HG143" s="2"/>
      <c r="HH143" s="2"/>
      <c r="HI143" s="2"/>
      <c r="HJ143" s="2"/>
      <c r="HK143" s="2"/>
      <c r="HL143" s="2"/>
      <c r="HM143" s="2"/>
      <c r="HN143" s="2"/>
      <c r="HO143" s="2"/>
      <c r="HP143" s="2"/>
      <c r="HQ143" s="2"/>
      <c r="HR143" s="2"/>
      <c r="HS143" s="2"/>
      <c r="HT143" s="2"/>
      <c r="HU143" s="2"/>
      <c r="HV143" s="2"/>
      <c r="HW143" s="2"/>
      <c r="HX143" s="2"/>
      <c r="HY143" s="2"/>
      <c r="HZ143" s="2"/>
      <c r="IA143" s="2"/>
      <c r="IB143" s="2"/>
      <c r="IC143" s="2"/>
      <c r="ID143" s="2"/>
      <c r="IE143" s="2"/>
      <c r="IF143" s="2"/>
      <c r="IG143" s="2"/>
      <c r="IH143" s="2"/>
      <c r="II143" s="2"/>
      <c r="IJ143" s="2"/>
      <c r="IK143" s="2"/>
      <c r="IL143" s="2"/>
      <c r="IM143" s="2"/>
      <c r="IN143" s="2"/>
      <c r="IO143" s="2"/>
      <c r="IP143" s="2"/>
      <c r="IQ143" s="2"/>
      <c r="IR143" s="2"/>
      <c r="IS143" s="2"/>
      <c r="IT143" s="2"/>
      <c r="IU143" s="2"/>
      <c r="IV143" s="2"/>
      <c r="IW143" s="2"/>
      <c r="IX143" s="2"/>
      <c r="IY143" s="2"/>
      <c r="IZ143" s="2"/>
      <c r="JA143" s="2"/>
      <c r="JB143" s="2"/>
      <c r="JC143" s="2"/>
      <c r="JD143" s="2"/>
      <c r="JE143" s="2"/>
      <c r="JF143" s="2"/>
      <c r="JG143" s="2"/>
      <c r="JH143" s="2"/>
      <c r="JI143" s="2"/>
      <c r="JJ143" s="2"/>
      <c r="JK143" s="2"/>
      <c r="JL143" s="2"/>
      <c r="JM143" s="2"/>
      <c r="JN143" s="2"/>
      <c r="JO143" s="2"/>
      <c r="JP143" s="2"/>
      <c r="JQ143" s="2"/>
      <c r="JR143" s="2"/>
      <c r="JS143" s="2"/>
      <c r="JT143" s="2"/>
      <c r="JU143" s="2"/>
      <c r="JV143" s="2"/>
      <c r="JW143" s="2"/>
      <c r="JX143" s="2"/>
      <c r="JY143" s="2"/>
      <c r="JZ143" s="2"/>
      <c r="KA143" s="2"/>
      <c r="KB143" s="2"/>
      <c r="KC143" s="2"/>
      <c r="KD143" s="2"/>
      <c r="KE143" s="2"/>
      <c r="KF143" s="2"/>
      <c r="KG143" s="2"/>
      <c r="KH143" s="2"/>
      <c r="KI143" s="2"/>
      <c r="KJ143" s="2"/>
      <c r="KK143" s="2"/>
      <c r="KL143" s="2"/>
      <c r="KM143" s="2"/>
      <c r="KN143" s="2"/>
      <c r="KO143" s="2"/>
      <c r="KP143" s="2"/>
      <c r="KQ143" s="2"/>
      <c r="KR143" s="2"/>
      <c r="KS143" s="2"/>
      <c r="KT143" s="2"/>
      <c r="KU143" s="2"/>
      <c r="KV143" s="2"/>
      <c r="KW143" s="2"/>
      <c r="KX143" s="2"/>
      <c r="KY143" s="2"/>
      <c r="KZ143" s="2"/>
      <c r="LA143" s="2"/>
      <c r="LB143" s="2"/>
      <c r="LC143" s="2"/>
      <c r="LD143" s="2"/>
      <c r="LE143" s="2"/>
      <c r="LF143" s="2"/>
      <c r="LG143" s="2"/>
      <c r="LH143" s="2"/>
      <c r="LI143" s="2"/>
      <c r="LJ143" s="2"/>
      <c r="LK143" s="2"/>
      <c r="LL143" s="2"/>
      <c r="LM143" s="2"/>
      <c r="LN143" s="2"/>
      <c r="LO143" s="2"/>
      <c r="LP143" s="2"/>
      <c r="LQ143" s="2"/>
      <c r="LR143" s="2"/>
      <c r="LS143" s="2"/>
      <c r="LT143" s="2"/>
      <c r="LU143" s="2"/>
      <c r="LV143" s="2"/>
      <c r="LW143" s="2"/>
      <c r="LX143" s="2"/>
      <c r="LY143" s="2"/>
      <c r="LZ143" s="2"/>
      <c r="MA143" s="2"/>
      <c r="MB143" s="2"/>
      <c r="MC143" s="2"/>
      <c r="MD143" s="2"/>
      <c r="ME143" s="2"/>
      <c r="MF143" s="2"/>
      <c r="MG143" s="2"/>
      <c r="MH143" s="2"/>
      <c r="MI143" s="2"/>
      <c r="MJ143" s="2"/>
      <c r="MK143" s="2"/>
      <c r="ML143" s="2"/>
      <c r="MM143" s="2"/>
      <c r="MN143" s="2"/>
      <c r="MO143" s="2"/>
      <c r="MP143" s="2"/>
      <c r="MQ143" s="2"/>
      <c r="MR143" s="2"/>
      <c r="MS143" s="2"/>
      <c r="MT143" s="2"/>
      <c r="MU143" s="2"/>
      <c r="MV143" s="2"/>
      <c r="MW143" s="2"/>
      <c r="MX143" s="2"/>
      <c r="MY143" s="2"/>
      <c r="MZ143" s="2"/>
      <c r="NA143" s="2"/>
      <c r="NB143" s="2"/>
      <c r="NC143" s="2"/>
      <c r="ND143" s="2"/>
      <c r="NE143" s="2"/>
      <c r="NF143" s="2"/>
      <c r="NG143" s="2"/>
      <c r="NH143" s="2"/>
      <c r="NI143" s="2"/>
      <c r="NJ143" s="2"/>
      <c r="NK143" s="2"/>
      <c r="NL143" s="2"/>
      <c r="NM143" s="2"/>
      <c r="NN143" s="2"/>
      <c r="NO143" s="2"/>
      <c r="NP143" s="2"/>
      <c r="NQ143" s="2"/>
      <c r="NR143" s="2"/>
      <c r="NS143" s="2"/>
      <c r="NT143" s="2"/>
      <c r="NU143" s="2"/>
      <c r="NV143" s="2"/>
      <c r="NW143" s="2"/>
      <c r="NX143" s="2"/>
      <c r="NY143" s="2"/>
      <c r="NZ143" s="2"/>
      <c r="OA143" s="2"/>
      <c r="OB143" s="2"/>
      <c r="OC143" s="2"/>
      <c r="OD143" s="2"/>
      <c r="OE143" s="2"/>
      <c r="OF143" s="2"/>
      <c r="OG143" s="2"/>
      <c r="OH143" s="2"/>
      <c r="OI143" s="2"/>
      <c r="OJ143" s="2"/>
      <c r="OK143" s="2"/>
      <c r="OL143" s="2"/>
      <c r="OM143" s="2"/>
      <c r="ON143" s="2"/>
      <c r="OO143" s="2"/>
      <c r="OP143" s="2"/>
      <c r="OQ143" s="2"/>
      <c r="OR143" s="2"/>
      <c r="OS143" s="2"/>
      <c r="OT143" s="2"/>
      <c r="OU143" s="2"/>
      <c r="OV143" s="2"/>
      <c r="OW143" s="2"/>
      <c r="OX143" s="2"/>
      <c r="OY143" s="2"/>
      <c r="OZ143" s="2"/>
      <c r="PA143" s="2"/>
      <c r="PB143" s="2"/>
      <c r="PC143" s="2"/>
      <c r="PD143" s="2"/>
      <c r="PE143" s="2"/>
      <c r="PF143" s="2"/>
      <c r="PG143" s="2"/>
      <c r="PH143" s="2"/>
      <c r="PI143" s="2"/>
      <c r="PJ143" s="2"/>
      <c r="PK143" s="2"/>
      <c r="PL143" s="2"/>
      <c r="PM143" s="2"/>
      <c r="PN143" s="2"/>
      <c r="PO143" s="2"/>
      <c r="PP143" s="2"/>
      <c r="PQ143" s="2"/>
      <c r="PR143" s="2"/>
      <c r="PS143" s="2"/>
      <c r="PT143" s="2"/>
      <c r="PU143" s="2"/>
      <c r="PV143" s="2"/>
      <c r="PW143" s="2"/>
      <c r="PX143" s="2"/>
      <c r="PY143" s="2"/>
      <c r="PZ143" s="2"/>
      <c r="QA143" s="2"/>
      <c r="QB143" s="2"/>
      <c r="QC143" s="2"/>
      <c r="QD143" s="2"/>
      <c r="QE143" s="2"/>
      <c r="QF143" s="2"/>
      <c r="QG143" s="2"/>
      <c r="QH143" s="2"/>
      <c r="QI143" s="2"/>
      <c r="QJ143" s="2"/>
      <c r="QK143" s="2"/>
      <c r="QL143" s="2"/>
      <c r="QM143" s="2"/>
      <c r="QN143" s="2"/>
      <c r="QO143" s="2"/>
      <c r="QP143" s="2"/>
      <c r="QQ143" s="2"/>
      <c r="QR143" s="2"/>
      <c r="QS143" s="2"/>
      <c r="QT143" s="2"/>
      <c r="QU143" s="2"/>
      <c r="QV143" s="2"/>
      <c r="QW143" s="2"/>
      <c r="QX143" s="2"/>
      <c r="QY143" s="2"/>
      <c r="QZ143" s="2"/>
      <c r="RA143" s="2"/>
      <c r="RB143" s="2"/>
      <c r="RC143" s="2"/>
      <c r="RD143" s="2"/>
      <c r="RE143" s="2"/>
      <c r="RF143" s="2"/>
      <c r="RG143" s="2"/>
      <c r="RH143" s="2"/>
      <c r="RI143" s="2"/>
      <c r="RJ143" s="2"/>
      <c r="RK143" s="2"/>
      <c r="RL143" s="2"/>
      <c r="RM143" s="2"/>
      <c r="RN143" s="2"/>
      <c r="RO143" s="2"/>
      <c r="RP143" s="2"/>
      <c r="RQ143" s="2"/>
      <c r="RR143" s="2"/>
      <c r="RS143" s="2"/>
      <c r="RT143" s="2"/>
      <c r="RU143" s="2"/>
      <c r="RV143" s="2"/>
      <c r="RW143" s="2"/>
      <c r="RX143" s="2"/>
      <c r="RY143" s="2"/>
      <c r="RZ143" s="2"/>
      <c r="SA143" s="2"/>
      <c r="SB143" s="2"/>
      <c r="SC143" s="2"/>
      <c r="SD143" s="2"/>
      <c r="SE143" s="2"/>
      <c r="SF143" s="2"/>
      <c r="SG143" s="2"/>
      <c r="SH143" s="2"/>
      <c r="SI143" s="2"/>
      <c r="SJ143" s="2"/>
      <c r="SK143" s="2"/>
      <c r="SL143" s="2"/>
      <c r="SM143" s="2"/>
      <c r="SN143" s="2"/>
      <c r="SO143" s="2"/>
      <c r="SP143" s="2"/>
      <c r="SQ143" s="2"/>
      <c r="SR143" s="2"/>
      <c r="SS143" s="2"/>
      <c r="ST143" s="2"/>
      <c r="SU143" s="2"/>
      <c r="SV143" s="2"/>
      <c r="SW143" s="2"/>
      <c r="SX143" s="2"/>
    </row>
    <row r="144" spans="33:518" x14ac:dyDescent="0.25"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  <c r="FK144" s="2"/>
      <c r="FL144" s="2"/>
      <c r="FM144" s="2"/>
      <c r="FN144" s="2"/>
      <c r="FO144" s="2"/>
      <c r="FP144" s="2"/>
      <c r="FQ144" s="2"/>
      <c r="FR144" s="2"/>
      <c r="FS144" s="2"/>
      <c r="FT144" s="2"/>
      <c r="FU144" s="2"/>
      <c r="FV144" s="2"/>
      <c r="FW144" s="2"/>
      <c r="FX144" s="2"/>
      <c r="FY144" s="2"/>
      <c r="FZ144" s="2"/>
      <c r="GA144" s="2"/>
      <c r="GB144" s="2"/>
      <c r="GC144" s="2"/>
      <c r="GD144" s="2"/>
      <c r="GE144" s="2"/>
      <c r="GF144" s="2"/>
      <c r="GG144" s="2"/>
      <c r="GH144" s="2"/>
      <c r="GI144" s="2"/>
      <c r="GJ144" s="2"/>
      <c r="GK144" s="2"/>
      <c r="GL144" s="2"/>
      <c r="GM144" s="2"/>
      <c r="GN144" s="2"/>
      <c r="GO144" s="2"/>
      <c r="GP144" s="2"/>
      <c r="GQ144" s="2"/>
      <c r="GR144" s="2"/>
      <c r="GS144" s="2"/>
      <c r="GT144" s="2"/>
      <c r="GU144" s="2"/>
      <c r="GV144" s="2"/>
      <c r="GW144" s="2"/>
      <c r="GX144" s="2"/>
      <c r="GY144" s="2"/>
      <c r="GZ144" s="2"/>
      <c r="HA144" s="2"/>
      <c r="HB144" s="2"/>
      <c r="HC144" s="2"/>
      <c r="HD144" s="2"/>
      <c r="HE144" s="2"/>
      <c r="HF144" s="2"/>
      <c r="HG144" s="2"/>
      <c r="HH144" s="2"/>
      <c r="HI144" s="2"/>
      <c r="HJ144" s="2"/>
      <c r="HK144" s="2"/>
      <c r="HL144" s="2"/>
      <c r="HM144" s="2"/>
      <c r="HN144" s="2"/>
      <c r="HO144" s="2"/>
      <c r="HP144" s="2"/>
      <c r="HQ144" s="2"/>
      <c r="HR144" s="2"/>
      <c r="HS144" s="2"/>
      <c r="HT144" s="2"/>
      <c r="HU144" s="2"/>
      <c r="HV144" s="2"/>
      <c r="HW144" s="2"/>
      <c r="HX144" s="2"/>
      <c r="HY144" s="2"/>
      <c r="HZ144" s="2"/>
      <c r="IA144" s="2"/>
      <c r="IB144" s="2"/>
      <c r="IC144" s="2"/>
      <c r="ID144" s="2"/>
      <c r="IE144" s="2"/>
      <c r="IF144" s="2"/>
      <c r="IG144" s="2"/>
      <c r="IH144" s="2"/>
      <c r="II144" s="2"/>
      <c r="IJ144" s="2"/>
      <c r="IK144" s="2"/>
      <c r="IL144" s="2"/>
      <c r="IM144" s="2"/>
      <c r="IN144" s="2"/>
      <c r="IO144" s="2"/>
      <c r="IP144" s="2"/>
      <c r="IQ144" s="2"/>
      <c r="IR144" s="2"/>
      <c r="IS144" s="2"/>
      <c r="IT144" s="2"/>
      <c r="IU144" s="2"/>
      <c r="IV144" s="2"/>
      <c r="IW144" s="2"/>
      <c r="IX144" s="2"/>
      <c r="IY144" s="2"/>
      <c r="IZ144" s="2"/>
      <c r="JA144" s="2"/>
      <c r="JB144" s="2"/>
      <c r="JC144" s="2"/>
      <c r="JD144" s="2"/>
      <c r="JE144" s="2"/>
      <c r="JF144" s="2"/>
      <c r="JG144" s="2"/>
      <c r="JH144" s="2"/>
      <c r="JI144" s="2"/>
      <c r="JJ144" s="2"/>
      <c r="JK144" s="2"/>
      <c r="JL144" s="2"/>
      <c r="JM144" s="2"/>
      <c r="JN144" s="2"/>
      <c r="JO144" s="2"/>
      <c r="JP144" s="2"/>
      <c r="JQ144" s="2"/>
      <c r="JR144" s="2"/>
      <c r="JS144" s="2"/>
      <c r="JT144" s="2"/>
      <c r="JU144" s="2"/>
      <c r="JV144" s="2"/>
      <c r="JW144" s="2"/>
      <c r="JX144" s="2"/>
      <c r="JY144" s="2"/>
      <c r="JZ144" s="2"/>
      <c r="KA144" s="2"/>
      <c r="KB144" s="2"/>
      <c r="KC144" s="2"/>
      <c r="KD144" s="2"/>
      <c r="KE144" s="2"/>
      <c r="KF144" s="2"/>
      <c r="KG144" s="2"/>
      <c r="KH144" s="2"/>
      <c r="KI144" s="2"/>
      <c r="KJ144" s="2"/>
      <c r="KK144" s="2"/>
      <c r="KL144" s="2"/>
      <c r="KM144" s="2"/>
      <c r="KN144" s="2"/>
      <c r="KO144" s="2"/>
      <c r="KP144" s="2"/>
      <c r="KQ144" s="2"/>
      <c r="KR144" s="2"/>
      <c r="KS144" s="2"/>
      <c r="KT144" s="2"/>
      <c r="KU144" s="2"/>
      <c r="KV144" s="2"/>
      <c r="KW144" s="2"/>
      <c r="KX144" s="2"/>
      <c r="KY144" s="2"/>
      <c r="KZ144" s="2"/>
      <c r="LA144" s="2"/>
      <c r="LB144" s="2"/>
      <c r="LC144" s="2"/>
      <c r="LD144" s="2"/>
      <c r="LE144" s="2"/>
      <c r="LF144" s="2"/>
      <c r="LG144" s="2"/>
      <c r="LH144" s="2"/>
      <c r="LI144" s="2"/>
      <c r="LJ144" s="2"/>
      <c r="LK144" s="2"/>
      <c r="LL144" s="2"/>
      <c r="LM144" s="2"/>
      <c r="LN144" s="2"/>
      <c r="LO144" s="2"/>
      <c r="LP144" s="2"/>
      <c r="LQ144" s="2"/>
      <c r="LR144" s="2"/>
      <c r="LS144" s="2"/>
      <c r="LT144" s="2"/>
      <c r="LU144" s="2"/>
      <c r="LV144" s="2"/>
      <c r="LW144" s="2"/>
      <c r="LX144" s="2"/>
      <c r="LY144" s="2"/>
      <c r="LZ144" s="2"/>
      <c r="MA144" s="2"/>
      <c r="MB144" s="2"/>
      <c r="MC144" s="2"/>
      <c r="MD144" s="2"/>
      <c r="ME144" s="2"/>
      <c r="MF144" s="2"/>
      <c r="MG144" s="2"/>
      <c r="MH144" s="2"/>
      <c r="MI144" s="2"/>
      <c r="MJ144" s="2"/>
      <c r="MK144" s="2"/>
      <c r="ML144" s="2"/>
      <c r="MM144" s="2"/>
      <c r="MN144" s="2"/>
      <c r="MO144" s="2"/>
      <c r="MP144" s="2"/>
      <c r="MQ144" s="2"/>
      <c r="MR144" s="2"/>
      <c r="MS144" s="2"/>
      <c r="MT144" s="2"/>
      <c r="MU144" s="2"/>
      <c r="MV144" s="2"/>
      <c r="MW144" s="2"/>
      <c r="MX144" s="2"/>
      <c r="MY144" s="2"/>
      <c r="MZ144" s="2"/>
      <c r="NA144" s="2"/>
      <c r="NB144" s="2"/>
      <c r="NC144" s="2"/>
      <c r="ND144" s="2"/>
      <c r="NE144" s="2"/>
      <c r="NF144" s="2"/>
      <c r="NG144" s="2"/>
      <c r="NH144" s="2"/>
      <c r="NI144" s="2"/>
      <c r="NJ144" s="2"/>
      <c r="NK144" s="2"/>
      <c r="NL144" s="2"/>
      <c r="NM144" s="2"/>
      <c r="NN144" s="2"/>
      <c r="NO144" s="2"/>
      <c r="NP144" s="2"/>
      <c r="NQ144" s="2"/>
      <c r="NR144" s="2"/>
      <c r="NS144" s="2"/>
      <c r="NT144" s="2"/>
      <c r="NU144" s="2"/>
      <c r="NV144" s="2"/>
      <c r="NW144" s="2"/>
      <c r="NX144" s="2"/>
      <c r="NY144" s="2"/>
      <c r="NZ144" s="2"/>
      <c r="OA144" s="2"/>
      <c r="OB144" s="2"/>
      <c r="OC144" s="2"/>
      <c r="OD144" s="2"/>
      <c r="OE144" s="2"/>
      <c r="OF144" s="2"/>
      <c r="OG144" s="2"/>
      <c r="OH144" s="2"/>
      <c r="OI144" s="2"/>
      <c r="OJ144" s="2"/>
      <c r="OK144" s="2"/>
      <c r="OL144" s="2"/>
      <c r="OM144" s="2"/>
      <c r="ON144" s="2"/>
      <c r="OO144" s="2"/>
      <c r="OP144" s="2"/>
      <c r="OQ144" s="2"/>
      <c r="OR144" s="2"/>
      <c r="OS144" s="2"/>
      <c r="OT144" s="2"/>
      <c r="OU144" s="2"/>
      <c r="OV144" s="2"/>
      <c r="OW144" s="2"/>
      <c r="OX144" s="2"/>
      <c r="OY144" s="2"/>
      <c r="OZ144" s="2"/>
      <c r="PA144" s="2"/>
      <c r="PB144" s="2"/>
      <c r="PC144" s="2"/>
      <c r="PD144" s="2"/>
      <c r="PE144" s="2"/>
      <c r="PF144" s="2"/>
      <c r="PG144" s="2"/>
      <c r="PH144" s="2"/>
      <c r="PI144" s="2"/>
      <c r="PJ144" s="2"/>
      <c r="PK144" s="2"/>
      <c r="PL144" s="2"/>
      <c r="PM144" s="2"/>
      <c r="PN144" s="2"/>
      <c r="PO144" s="2"/>
      <c r="PP144" s="2"/>
      <c r="PQ144" s="2"/>
      <c r="PR144" s="2"/>
      <c r="PS144" s="2"/>
      <c r="PT144" s="2"/>
      <c r="PU144" s="2"/>
      <c r="PV144" s="2"/>
      <c r="PW144" s="2"/>
      <c r="PX144" s="2"/>
      <c r="PY144" s="2"/>
      <c r="PZ144" s="2"/>
      <c r="QA144" s="2"/>
      <c r="QB144" s="2"/>
      <c r="QC144" s="2"/>
      <c r="QD144" s="2"/>
      <c r="QE144" s="2"/>
      <c r="QF144" s="2"/>
      <c r="QG144" s="2"/>
      <c r="QH144" s="2"/>
      <c r="QI144" s="2"/>
      <c r="QJ144" s="2"/>
      <c r="QK144" s="2"/>
      <c r="QL144" s="2"/>
      <c r="QM144" s="2"/>
      <c r="QN144" s="2"/>
      <c r="QO144" s="2"/>
      <c r="QP144" s="2"/>
      <c r="QQ144" s="2"/>
      <c r="QR144" s="2"/>
      <c r="QS144" s="2"/>
      <c r="QT144" s="2"/>
      <c r="QU144" s="2"/>
      <c r="QV144" s="2"/>
      <c r="QW144" s="2"/>
      <c r="QX144" s="2"/>
      <c r="QY144" s="2"/>
      <c r="QZ144" s="2"/>
      <c r="RA144" s="2"/>
      <c r="RB144" s="2"/>
      <c r="RC144" s="2"/>
      <c r="RD144" s="2"/>
      <c r="RE144" s="2"/>
      <c r="RF144" s="2"/>
      <c r="RG144" s="2"/>
      <c r="RH144" s="2"/>
      <c r="RI144" s="2"/>
      <c r="RJ144" s="2"/>
      <c r="RK144" s="2"/>
      <c r="RL144" s="2"/>
      <c r="RM144" s="2"/>
      <c r="RN144" s="2"/>
      <c r="RO144" s="2"/>
      <c r="RP144" s="2"/>
      <c r="RQ144" s="2"/>
      <c r="RR144" s="2"/>
      <c r="RS144" s="2"/>
      <c r="RT144" s="2"/>
      <c r="RU144" s="2"/>
      <c r="RV144" s="2"/>
      <c r="RW144" s="2"/>
      <c r="RX144" s="2"/>
      <c r="RY144" s="2"/>
      <c r="RZ144" s="2"/>
      <c r="SA144" s="2"/>
      <c r="SB144" s="2"/>
      <c r="SC144" s="2"/>
      <c r="SD144" s="2"/>
      <c r="SE144" s="2"/>
      <c r="SF144" s="2"/>
      <c r="SG144" s="2"/>
      <c r="SH144" s="2"/>
      <c r="SI144" s="2"/>
      <c r="SJ144" s="2"/>
      <c r="SK144" s="2"/>
      <c r="SL144" s="2"/>
      <c r="SM144" s="2"/>
      <c r="SN144" s="2"/>
      <c r="SO144" s="2"/>
      <c r="SP144" s="2"/>
      <c r="SQ144" s="2"/>
      <c r="SR144" s="2"/>
      <c r="SS144" s="2"/>
      <c r="ST144" s="2"/>
      <c r="SU144" s="2"/>
      <c r="SV144" s="2"/>
      <c r="SW144" s="2"/>
      <c r="SX144" s="2"/>
    </row>
    <row r="145" spans="33:518" x14ac:dyDescent="0.25"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  <c r="FK145" s="2"/>
      <c r="FL145" s="2"/>
      <c r="FM145" s="2"/>
      <c r="FN145" s="2"/>
      <c r="FO145" s="2"/>
      <c r="FP145" s="2"/>
      <c r="FQ145" s="2"/>
      <c r="FR145" s="2"/>
      <c r="FS145" s="2"/>
      <c r="FT145" s="2"/>
      <c r="FU145" s="2"/>
      <c r="FV145" s="2"/>
      <c r="FW145" s="2"/>
      <c r="FX145" s="2"/>
      <c r="FY145" s="2"/>
      <c r="FZ145" s="2"/>
      <c r="GA145" s="2"/>
      <c r="GB145" s="2"/>
      <c r="GC145" s="2"/>
      <c r="GD145" s="2"/>
      <c r="GE145" s="2"/>
      <c r="GF145" s="2"/>
      <c r="GG145" s="2"/>
      <c r="GH145" s="2"/>
      <c r="GI145" s="2"/>
      <c r="GJ145" s="2"/>
      <c r="GK145" s="2"/>
      <c r="GL145" s="2"/>
      <c r="GM145" s="2"/>
      <c r="GN145" s="2"/>
      <c r="GO145" s="2"/>
      <c r="GP145" s="2"/>
      <c r="GQ145" s="2"/>
      <c r="GR145" s="2"/>
      <c r="GS145" s="2"/>
      <c r="GT145" s="2"/>
      <c r="GU145" s="2"/>
      <c r="GV145" s="2"/>
      <c r="GW145" s="2"/>
      <c r="GX145" s="2"/>
      <c r="GY145" s="2"/>
      <c r="GZ145" s="2"/>
      <c r="HA145" s="2"/>
      <c r="HB145" s="2"/>
      <c r="HC145" s="2"/>
      <c r="HD145" s="2"/>
      <c r="HE145" s="2"/>
      <c r="HF145" s="2"/>
      <c r="HG145" s="2"/>
      <c r="HH145" s="2"/>
      <c r="HI145" s="2"/>
      <c r="HJ145" s="2"/>
      <c r="HK145" s="2"/>
      <c r="HL145" s="2"/>
      <c r="HM145" s="2"/>
      <c r="HN145" s="2"/>
      <c r="HO145" s="2"/>
      <c r="HP145" s="2"/>
      <c r="HQ145" s="2"/>
      <c r="HR145" s="2"/>
      <c r="HS145" s="2"/>
      <c r="HT145" s="2"/>
      <c r="HU145" s="2"/>
      <c r="HV145" s="2"/>
      <c r="HW145" s="2"/>
      <c r="HX145" s="2"/>
      <c r="HY145" s="2"/>
      <c r="HZ145" s="2"/>
      <c r="IA145" s="2"/>
      <c r="IB145" s="2"/>
      <c r="IC145" s="2"/>
      <c r="ID145" s="2"/>
      <c r="IE145" s="2"/>
      <c r="IF145" s="2"/>
      <c r="IG145" s="2"/>
      <c r="IH145" s="2"/>
      <c r="II145" s="2"/>
      <c r="IJ145" s="2"/>
      <c r="IK145" s="2"/>
      <c r="IL145" s="2"/>
      <c r="IM145" s="2"/>
      <c r="IN145" s="2"/>
      <c r="IO145" s="2"/>
      <c r="IP145" s="2"/>
      <c r="IQ145" s="2"/>
      <c r="IR145" s="2"/>
      <c r="IS145" s="2"/>
      <c r="IT145" s="2"/>
      <c r="IU145" s="2"/>
      <c r="IV145" s="2"/>
      <c r="IW145" s="2"/>
      <c r="IX145" s="2"/>
      <c r="IY145" s="2"/>
      <c r="IZ145" s="2"/>
      <c r="JA145" s="2"/>
      <c r="JB145" s="2"/>
      <c r="JC145" s="2"/>
      <c r="JD145" s="2"/>
      <c r="JE145" s="2"/>
      <c r="JF145" s="2"/>
      <c r="JG145" s="2"/>
      <c r="JH145" s="2"/>
      <c r="JI145" s="2"/>
      <c r="JJ145" s="2"/>
      <c r="JK145" s="2"/>
      <c r="JL145" s="2"/>
      <c r="JM145" s="2"/>
      <c r="JN145" s="2"/>
      <c r="JO145" s="2"/>
      <c r="JP145" s="2"/>
      <c r="JQ145" s="2"/>
      <c r="JR145" s="2"/>
      <c r="JS145" s="2"/>
      <c r="JT145" s="2"/>
      <c r="JU145" s="2"/>
      <c r="JV145" s="2"/>
      <c r="JW145" s="2"/>
      <c r="JX145" s="2"/>
      <c r="JY145" s="2"/>
      <c r="JZ145" s="2"/>
      <c r="KA145" s="2"/>
      <c r="KB145" s="2"/>
      <c r="KC145" s="2"/>
      <c r="KD145" s="2"/>
      <c r="KE145" s="2"/>
      <c r="KF145" s="2"/>
      <c r="KG145" s="2"/>
      <c r="KH145" s="2"/>
      <c r="KI145" s="2"/>
      <c r="KJ145" s="2"/>
      <c r="KK145" s="2"/>
      <c r="KL145" s="2"/>
      <c r="KM145" s="2"/>
      <c r="KN145" s="2"/>
      <c r="KO145" s="2"/>
      <c r="KP145" s="2"/>
      <c r="KQ145" s="2"/>
      <c r="KR145" s="2"/>
      <c r="KS145" s="2"/>
      <c r="KT145" s="2"/>
      <c r="KU145" s="2"/>
      <c r="KV145" s="2"/>
      <c r="KW145" s="2"/>
      <c r="KX145" s="2"/>
      <c r="KY145" s="2"/>
      <c r="KZ145" s="2"/>
      <c r="LA145" s="2"/>
      <c r="LB145" s="2"/>
      <c r="LC145" s="2"/>
      <c r="LD145" s="2"/>
      <c r="LE145" s="2"/>
      <c r="LF145" s="2"/>
      <c r="LG145" s="2"/>
      <c r="LH145" s="2"/>
      <c r="LI145" s="2"/>
      <c r="LJ145" s="2"/>
      <c r="LK145" s="2"/>
      <c r="LL145" s="2"/>
      <c r="LM145" s="2"/>
      <c r="LN145" s="2"/>
      <c r="LO145" s="2"/>
      <c r="LP145" s="2"/>
      <c r="LQ145" s="2"/>
      <c r="LR145" s="2"/>
      <c r="LS145" s="2"/>
      <c r="LT145" s="2"/>
      <c r="LU145" s="2"/>
      <c r="LV145" s="2"/>
      <c r="LW145" s="2"/>
      <c r="LX145" s="2"/>
      <c r="LY145" s="2"/>
      <c r="LZ145" s="2"/>
      <c r="MA145" s="2"/>
      <c r="MB145" s="2"/>
      <c r="MC145" s="2"/>
      <c r="MD145" s="2"/>
      <c r="ME145" s="2"/>
      <c r="MF145" s="2"/>
      <c r="MG145" s="2"/>
      <c r="MH145" s="2"/>
      <c r="MI145" s="2"/>
      <c r="MJ145" s="2"/>
      <c r="MK145" s="2"/>
      <c r="ML145" s="2"/>
      <c r="MM145" s="2"/>
      <c r="MN145" s="2"/>
      <c r="MO145" s="2"/>
      <c r="MP145" s="2"/>
      <c r="MQ145" s="2"/>
      <c r="MR145" s="2"/>
      <c r="MS145" s="2"/>
      <c r="MT145" s="2"/>
      <c r="MU145" s="2"/>
      <c r="MV145" s="2"/>
      <c r="MW145" s="2"/>
      <c r="MX145" s="2"/>
      <c r="MY145" s="2"/>
      <c r="MZ145" s="2"/>
      <c r="NA145" s="2"/>
      <c r="NB145" s="2"/>
      <c r="NC145" s="2"/>
      <c r="ND145" s="2"/>
      <c r="NE145" s="2"/>
      <c r="NF145" s="2"/>
      <c r="NG145" s="2"/>
      <c r="NH145" s="2"/>
      <c r="NI145" s="2"/>
      <c r="NJ145" s="2"/>
      <c r="NK145" s="2"/>
      <c r="NL145" s="2"/>
      <c r="NM145" s="2"/>
      <c r="NN145" s="2"/>
      <c r="NO145" s="2"/>
      <c r="NP145" s="2"/>
      <c r="NQ145" s="2"/>
      <c r="NR145" s="2"/>
      <c r="NS145" s="2"/>
      <c r="NT145" s="2"/>
      <c r="NU145" s="2"/>
      <c r="NV145" s="2"/>
      <c r="NW145" s="2"/>
      <c r="NX145" s="2"/>
      <c r="NY145" s="2"/>
      <c r="NZ145" s="2"/>
      <c r="OA145" s="2"/>
      <c r="OB145" s="2"/>
      <c r="OC145" s="2"/>
      <c r="OD145" s="2"/>
      <c r="OE145" s="2"/>
      <c r="OF145" s="2"/>
      <c r="OG145" s="2"/>
      <c r="OH145" s="2"/>
      <c r="OI145" s="2"/>
      <c r="OJ145" s="2"/>
      <c r="OK145" s="2"/>
      <c r="OL145" s="2"/>
      <c r="OM145" s="2"/>
      <c r="ON145" s="2"/>
      <c r="OO145" s="2"/>
      <c r="OP145" s="2"/>
      <c r="OQ145" s="2"/>
      <c r="OR145" s="2"/>
      <c r="OS145" s="2"/>
      <c r="OT145" s="2"/>
      <c r="OU145" s="2"/>
      <c r="OV145" s="2"/>
      <c r="OW145" s="2"/>
      <c r="OX145" s="2"/>
      <c r="OY145" s="2"/>
      <c r="OZ145" s="2"/>
      <c r="PA145" s="2"/>
      <c r="PB145" s="2"/>
      <c r="PC145" s="2"/>
      <c r="PD145" s="2"/>
      <c r="PE145" s="2"/>
      <c r="PF145" s="2"/>
      <c r="PG145" s="2"/>
      <c r="PH145" s="2"/>
      <c r="PI145" s="2"/>
      <c r="PJ145" s="2"/>
      <c r="PK145" s="2"/>
      <c r="PL145" s="2"/>
      <c r="PM145" s="2"/>
      <c r="PN145" s="2"/>
      <c r="PO145" s="2"/>
      <c r="PP145" s="2"/>
      <c r="PQ145" s="2"/>
      <c r="PR145" s="2"/>
      <c r="PS145" s="2"/>
      <c r="PT145" s="2"/>
      <c r="PU145" s="2"/>
      <c r="PV145" s="2"/>
      <c r="PW145" s="2"/>
      <c r="PX145" s="2"/>
      <c r="PY145" s="2"/>
      <c r="PZ145" s="2"/>
      <c r="QA145" s="2"/>
      <c r="QB145" s="2"/>
      <c r="QC145" s="2"/>
      <c r="QD145" s="2"/>
      <c r="QE145" s="2"/>
      <c r="QF145" s="2"/>
      <c r="QG145" s="2"/>
      <c r="QH145" s="2"/>
      <c r="QI145" s="2"/>
      <c r="QJ145" s="2"/>
      <c r="QK145" s="2"/>
      <c r="QL145" s="2"/>
      <c r="QM145" s="2"/>
      <c r="QN145" s="2"/>
      <c r="QO145" s="2"/>
      <c r="QP145" s="2"/>
      <c r="QQ145" s="2"/>
      <c r="QR145" s="2"/>
      <c r="QS145" s="2"/>
      <c r="QT145" s="2"/>
      <c r="QU145" s="2"/>
      <c r="QV145" s="2"/>
      <c r="QW145" s="2"/>
      <c r="QX145" s="2"/>
      <c r="QY145" s="2"/>
      <c r="QZ145" s="2"/>
      <c r="RA145" s="2"/>
      <c r="RB145" s="2"/>
      <c r="RC145" s="2"/>
      <c r="RD145" s="2"/>
      <c r="RE145" s="2"/>
      <c r="RF145" s="2"/>
      <c r="RG145" s="2"/>
      <c r="RH145" s="2"/>
      <c r="RI145" s="2"/>
      <c r="RJ145" s="2"/>
      <c r="RK145" s="2"/>
      <c r="RL145" s="2"/>
      <c r="RM145" s="2"/>
      <c r="RN145" s="2"/>
      <c r="RO145" s="2"/>
      <c r="RP145" s="2"/>
      <c r="RQ145" s="2"/>
      <c r="RR145" s="2"/>
      <c r="RS145" s="2"/>
      <c r="RT145" s="2"/>
      <c r="RU145" s="2"/>
      <c r="RV145" s="2"/>
      <c r="RW145" s="2"/>
      <c r="RX145" s="2"/>
      <c r="RY145" s="2"/>
      <c r="RZ145" s="2"/>
      <c r="SA145" s="2"/>
      <c r="SB145" s="2"/>
      <c r="SC145" s="2"/>
      <c r="SD145" s="2"/>
      <c r="SE145" s="2"/>
      <c r="SF145" s="2"/>
      <c r="SG145" s="2"/>
      <c r="SH145" s="2"/>
      <c r="SI145" s="2"/>
      <c r="SJ145" s="2"/>
      <c r="SK145" s="2"/>
      <c r="SL145" s="2"/>
      <c r="SM145" s="2"/>
      <c r="SN145" s="2"/>
      <c r="SO145" s="2"/>
      <c r="SP145" s="2"/>
      <c r="SQ145" s="2"/>
      <c r="SR145" s="2"/>
      <c r="SS145" s="2"/>
      <c r="ST145" s="2"/>
      <c r="SU145" s="2"/>
      <c r="SV145" s="2"/>
      <c r="SW145" s="2"/>
      <c r="SX145" s="2"/>
    </row>
    <row r="146" spans="33:518" x14ac:dyDescent="0.25"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  <c r="FK146" s="2"/>
      <c r="FL146" s="2"/>
      <c r="FM146" s="2"/>
      <c r="FN146" s="2"/>
      <c r="FO146" s="2"/>
      <c r="FP146" s="2"/>
      <c r="FQ146" s="2"/>
      <c r="FR146" s="2"/>
      <c r="FS146" s="2"/>
      <c r="FT146" s="2"/>
      <c r="FU146" s="2"/>
      <c r="FV146" s="2"/>
      <c r="FW146" s="2"/>
      <c r="FX146" s="2"/>
      <c r="FY146" s="2"/>
      <c r="FZ146" s="2"/>
      <c r="GA146" s="2"/>
      <c r="GB146" s="2"/>
      <c r="GC146" s="2"/>
      <c r="GD146" s="2"/>
      <c r="GE146" s="2"/>
      <c r="GF146" s="2"/>
      <c r="GG146" s="2"/>
      <c r="GH146" s="2"/>
      <c r="GI146" s="2"/>
      <c r="GJ146" s="2"/>
      <c r="GK146" s="2"/>
      <c r="GL146" s="2"/>
      <c r="GM146" s="2"/>
      <c r="GN146" s="2"/>
      <c r="GO146" s="2"/>
      <c r="GP146" s="2"/>
      <c r="GQ146" s="2"/>
      <c r="GR146" s="2"/>
      <c r="GS146" s="2"/>
      <c r="GT146" s="2"/>
      <c r="GU146" s="2"/>
      <c r="GV146" s="2"/>
      <c r="GW146" s="2"/>
      <c r="GX146" s="2"/>
      <c r="GY146" s="2"/>
      <c r="GZ146" s="2"/>
      <c r="HA146" s="2"/>
      <c r="HB146" s="2"/>
      <c r="HC146" s="2"/>
      <c r="HD146" s="2"/>
      <c r="HE146" s="2"/>
      <c r="HF146" s="2"/>
      <c r="HG146" s="2"/>
      <c r="HH146" s="2"/>
      <c r="HI146" s="2"/>
      <c r="HJ146" s="2"/>
      <c r="HK146" s="2"/>
      <c r="HL146" s="2"/>
      <c r="HM146" s="2"/>
      <c r="HN146" s="2"/>
      <c r="HO146" s="2"/>
      <c r="HP146" s="2"/>
      <c r="HQ146" s="2"/>
      <c r="HR146" s="2"/>
      <c r="HS146" s="2"/>
      <c r="HT146" s="2"/>
      <c r="HU146" s="2"/>
      <c r="HV146" s="2"/>
      <c r="HW146" s="2"/>
      <c r="HX146" s="2"/>
      <c r="HY146" s="2"/>
      <c r="HZ146" s="2"/>
      <c r="IA146" s="2"/>
      <c r="IB146" s="2"/>
      <c r="IC146" s="2"/>
      <c r="ID146" s="2"/>
      <c r="IE146" s="2"/>
      <c r="IF146" s="2"/>
      <c r="IG146" s="2"/>
      <c r="IH146" s="2"/>
      <c r="II146" s="2"/>
      <c r="IJ146" s="2"/>
      <c r="IK146" s="2"/>
      <c r="IL146" s="2"/>
      <c r="IM146" s="2"/>
      <c r="IN146" s="2"/>
      <c r="IO146" s="2"/>
      <c r="IP146" s="2"/>
      <c r="IQ146" s="2"/>
      <c r="IR146" s="2"/>
      <c r="IS146" s="2"/>
      <c r="IT146" s="2"/>
      <c r="IU146" s="2"/>
      <c r="IV146" s="2"/>
      <c r="IW146" s="2"/>
      <c r="IX146" s="2"/>
      <c r="IY146" s="2"/>
      <c r="IZ146" s="2"/>
      <c r="JA146" s="2"/>
      <c r="JB146" s="2"/>
      <c r="JC146" s="2"/>
      <c r="JD146" s="2"/>
      <c r="JE146" s="2"/>
      <c r="JF146" s="2"/>
      <c r="JG146" s="2"/>
      <c r="JH146" s="2"/>
      <c r="JI146" s="2"/>
      <c r="JJ146" s="2"/>
      <c r="JK146" s="2"/>
      <c r="JL146" s="2"/>
      <c r="JM146" s="2"/>
      <c r="JN146" s="2"/>
      <c r="JO146" s="2"/>
      <c r="JP146" s="2"/>
      <c r="JQ146" s="2"/>
      <c r="JR146" s="2"/>
      <c r="JS146" s="2"/>
      <c r="JT146" s="2"/>
      <c r="JU146" s="2"/>
      <c r="JV146" s="2"/>
      <c r="JW146" s="2"/>
      <c r="JX146" s="2"/>
      <c r="JY146" s="2"/>
      <c r="JZ146" s="2"/>
      <c r="KA146" s="2"/>
      <c r="KB146" s="2"/>
      <c r="KC146" s="2"/>
      <c r="KD146" s="2"/>
      <c r="KE146" s="2"/>
      <c r="KF146" s="2"/>
      <c r="KG146" s="2"/>
      <c r="KH146" s="2"/>
      <c r="KI146" s="2"/>
      <c r="KJ146" s="2"/>
      <c r="KK146" s="2"/>
      <c r="KL146" s="2"/>
      <c r="KM146" s="2"/>
      <c r="KN146" s="2"/>
      <c r="KO146" s="2"/>
      <c r="KP146" s="2"/>
      <c r="KQ146" s="2"/>
      <c r="KR146" s="2"/>
      <c r="KS146" s="2"/>
      <c r="KT146" s="2"/>
      <c r="KU146" s="2"/>
      <c r="KV146" s="2"/>
      <c r="KW146" s="2"/>
      <c r="KX146" s="2"/>
      <c r="KY146" s="2"/>
      <c r="KZ146" s="2"/>
      <c r="LA146" s="2"/>
      <c r="LB146" s="2"/>
      <c r="LC146" s="2"/>
      <c r="LD146" s="2"/>
      <c r="LE146" s="2"/>
      <c r="LF146" s="2"/>
      <c r="LG146" s="2"/>
      <c r="LH146" s="2"/>
      <c r="LI146" s="2"/>
      <c r="LJ146" s="2"/>
      <c r="LK146" s="2"/>
      <c r="LL146" s="2"/>
      <c r="LM146" s="2"/>
      <c r="LN146" s="2"/>
      <c r="LO146" s="2"/>
      <c r="LP146" s="2"/>
      <c r="LQ146" s="2"/>
      <c r="LR146" s="2"/>
      <c r="LS146" s="2"/>
      <c r="LT146" s="2"/>
      <c r="LU146" s="2"/>
      <c r="LV146" s="2"/>
      <c r="LW146" s="2"/>
      <c r="LX146" s="2"/>
      <c r="LY146" s="2"/>
      <c r="LZ146" s="2"/>
      <c r="MA146" s="2"/>
      <c r="MB146" s="2"/>
      <c r="MC146" s="2"/>
      <c r="MD146" s="2"/>
      <c r="ME146" s="2"/>
      <c r="MF146" s="2"/>
      <c r="MG146" s="2"/>
      <c r="MH146" s="2"/>
      <c r="MI146" s="2"/>
      <c r="MJ146" s="2"/>
      <c r="MK146" s="2"/>
      <c r="ML146" s="2"/>
      <c r="MM146" s="2"/>
      <c r="MN146" s="2"/>
      <c r="MO146" s="2"/>
      <c r="MP146" s="2"/>
      <c r="MQ146" s="2"/>
      <c r="MR146" s="2"/>
      <c r="MS146" s="2"/>
      <c r="MT146" s="2"/>
      <c r="MU146" s="2"/>
      <c r="MV146" s="2"/>
      <c r="MW146" s="2"/>
      <c r="MX146" s="2"/>
      <c r="MY146" s="2"/>
      <c r="MZ146" s="2"/>
      <c r="NA146" s="2"/>
      <c r="NB146" s="2"/>
      <c r="NC146" s="2"/>
      <c r="ND146" s="2"/>
      <c r="NE146" s="2"/>
      <c r="NF146" s="2"/>
      <c r="NG146" s="2"/>
      <c r="NH146" s="2"/>
      <c r="NI146" s="2"/>
      <c r="NJ146" s="2"/>
      <c r="NK146" s="2"/>
      <c r="NL146" s="2"/>
      <c r="NM146" s="2"/>
      <c r="NN146" s="2"/>
      <c r="NO146" s="2"/>
      <c r="NP146" s="2"/>
      <c r="NQ146" s="2"/>
      <c r="NR146" s="2"/>
      <c r="NS146" s="2"/>
      <c r="NT146" s="2"/>
      <c r="NU146" s="2"/>
      <c r="NV146" s="2"/>
      <c r="NW146" s="2"/>
      <c r="NX146" s="2"/>
      <c r="NY146" s="2"/>
      <c r="NZ146" s="2"/>
      <c r="OA146" s="2"/>
      <c r="OB146" s="2"/>
      <c r="OC146" s="2"/>
      <c r="OD146" s="2"/>
      <c r="OE146" s="2"/>
      <c r="OF146" s="2"/>
      <c r="OG146" s="2"/>
      <c r="OH146" s="2"/>
      <c r="OI146" s="2"/>
      <c r="OJ146" s="2"/>
      <c r="OK146" s="2"/>
      <c r="OL146" s="2"/>
      <c r="OM146" s="2"/>
      <c r="ON146" s="2"/>
      <c r="OO146" s="2"/>
      <c r="OP146" s="2"/>
      <c r="OQ146" s="2"/>
      <c r="OR146" s="2"/>
      <c r="OS146" s="2"/>
      <c r="OT146" s="2"/>
      <c r="OU146" s="2"/>
      <c r="OV146" s="2"/>
      <c r="OW146" s="2"/>
      <c r="OX146" s="2"/>
      <c r="OY146" s="2"/>
      <c r="OZ146" s="2"/>
      <c r="PA146" s="2"/>
      <c r="PB146" s="2"/>
      <c r="PC146" s="2"/>
      <c r="PD146" s="2"/>
      <c r="PE146" s="2"/>
      <c r="PF146" s="2"/>
      <c r="PG146" s="2"/>
      <c r="PH146" s="2"/>
      <c r="PI146" s="2"/>
      <c r="PJ146" s="2"/>
      <c r="PK146" s="2"/>
      <c r="PL146" s="2"/>
      <c r="PM146" s="2"/>
      <c r="PN146" s="2"/>
      <c r="PO146" s="2"/>
      <c r="PP146" s="2"/>
      <c r="PQ146" s="2"/>
      <c r="PR146" s="2"/>
      <c r="PS146" s="2"/>
      <c r="PT146" s="2"/>
      <c r="PU146" s="2"/>
      <c r="PV146" s="2"/>
      <c r="PW146" s="2"/>
      <c r="PX146" s="2"/>
      <c r="PY146" s="2"/>
      <c r="PZ146" s="2"/>
      <c r="QA146" s="2"/>
      <c r="QB146" s="2"/>
      <c r="QC146" s="2"/>
      <c r="QD146" s="2"/>
      <c r="QE146" s="2"/>
      <c r="QF146" s="2"/>
      <c r="QG146" s="2"/>
      <c r="QH146" s="2"/>
      <c r="QI146" s="2"/>
      <c r="QJ146" s="2"/>
      <c r="QK146" s="2"/>
      <c r="QL146" s="2"/>
      <c r="QM146" s="2"/>
      <c r="QN146" s="2"/>
      <c r="QO146" s="2"/>
      <c r="QP146" s="2"/>
      <c r="QQ146" s="2"/>
      <c r="QR146" s="2"/>
      <c r="QS146" s="2"/>
      <c r="QT146" s="2"/>
      <c r="QU146" s="2"/>
      <c r="QV146" s="2"/>
      <c r="QW146" s="2"/>
      <c r="QX146" s="2"/>
      <c r="QY146" s="2"/>
      <c r="QZ146" s="2"/>
      <c r="RA146" s="2"/>
      <c r="RB146" s="2"/>
      <c r="RC146" s="2"/>
      <c r="RD146" s="2"/>
      <c r="RE146" s="2"/>
      <c r="RF146" s="2"/>
      <c r="RG146" s="2"/>
      <c r="RH146" s="2"/>
      <c r="RI146" s="2"/>
      <c r="RJ146" s="2"/>
      <c r="RK146" s="2"/>
      <c r="RL146" s="2"/>
      <c r="RM146" s="2"/>
      <c r="RN146" s="2"/>
      <c r="RO146" s="2"/>
      <c r="RP146" s="2"/>
      <c r="RQ146" s="2"/>
      <c r="RR146" s="2"/>
      <c r="RS146" s="2"/>
      <c r="RT146" s="2"/>
      <c r="RU146" s="2"/>
      <c r="RV146" s="2"/>
      <c r="RW146" s="2"/>
      <c r="RX146" s="2"/>
      <c r="RY146" s="2"/>
      <c r="RZ146" s="2"/>
      <c r="SA146" s="2"/>
      <c r="SB146" s="2"/>
      <c r="SC146" s="2"/>
      <c r="SD146" s="2"/>
      <c r="SE146" s="2"/>
      <c r="SF146" s="2"/>
      <c r="SG146" s="2"/>
      <c r="SH146" s="2"/>
      <c r="SI146" s="2"/>
      <c r="SJ146" s="2"/>
      <c r="SK146" s="2"/>
      <c r="SL146" s="2"/>
      <c r="SM146" s="2"/>
      <c r="SN146" s="2"/>
      <c r="SO146" s="2"/>
      <c r="SP146" s="2"/>
      <c r="SQ146" s="2"/>
      <c r="SR146" s="2"/>
      <c r="SS146" s="2"/>
      <c r="ST146" s="2"/>
      <c r="SU146" s="2"/>
      <c r="SV146" s="2"/>
      <c r="SW146" s="2"/>
      <c r="SX146" s="2"/>
    </row>
    <row r="147" spans="33:518" x14ac:dyDescent="0.25"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  <c r="FK147" s="2"/>
      <c r="FL147" s="2"/>
      <c r="FM147" s="2"/>
      <c r="FN147" s="2"/>
      <c r="FO147" s="2"/>
      <c r="FP147" s="2"/>
      <c r="FQ147" s="2"/>
      <c r="FR147" s="2"/>
      <c r="FS147" s="2"/>
      <c r="FT147" s="2"/>
      <c r="FU147" s="2"/>
      <c r="FV147" s="2"/>
      <c r="FW147" s="2"/>
      <c r="FX147" s="2"/>
      <c r="FY147" s="2"/>
      <c r="FZ147" s="2"/>
      <c r="GA147" s="2"/>
      <c r="GB147" s="2"/>
      <c r="GC147" s="2"/>
      <c r="GD147" s="2"/>
      <c r="GE147" s="2"/>
      <c r="GF147" s="2"/>
      <c r="GG147" s="2"/>
      <c r="GH147" s="2"/>
      <c r="GI147" s="2"/>
      <c r="GJ147" s="2"/>
      <c r="GK147" s="2"/>
      <c r="GL147" s="2"/>
      <c r="GM147" s="2"/>
      <c r="GN147" s="2"/>
      <c r="GO147" s="2"/>
      <c r="GP147" s="2"/>
      <c r="GQ147" s="2"/>
      <c r="GR147" s="2"/>
      <c r="GS147" s="2"/>
      <c r="GT147" s="2"/>
      <c r="GU147" s="2"/>
      <c r="GV147" s="2"/>
      <c r="GW147" s="2"/>
      <c r="GX147" s="2"/>
      <c r="GY147" s="2"/>
      <c r="GZ147" s="2"/>
      <c r="HA147" s="2"/>
      <c r="HB147" s="2"/>
      <c r="HC147" s="2"/>
      <c r="HD147" s="2"/>
      <c r="HE147" s="2"/>
      <c r="HF147" s="2"/>
      <c r="HG147" s="2"/>
      <c r="HH147" s="2"/>
      <c r="HI147" s="2"/>
      <c r="HJ147" s="2"/>
      <c r="HK147" s="2"/>
      <c r="HL147" s="2"/>
      <c r="HM147" s="2"/>
      <c r="HN147" s="2"/>
      <c r="HO147" s="2"/>
      <c r="HP147" s="2"/>
      <c r="HQ147" s="2"/>
      <c r="HR147" s="2"/>
      <c r="HS147" s="2"/>
      <c r="HT147" s="2"/>
      <c r="HU147" s="2"/>
      <c r="HV147" s="2"/>
      <c r="HW147" s="2"/>
      <c r="HX147" s="2"/>
      <c r="HY147" s="2"/>
      <c r="HZ147" s="2"/>
      <c r="IA147" s="2"/>
      <c r="IB147" s="2"/>
      <c r="IC147" s="2"/>
      <c r="ID147" s="2"/>
      <c r="IE147" s="2"/>
      <c r="IF147" s="2"/>
      <c r="IG147" s="2"/>
      <c r="IH147" s="2"/>
      <c r="II147" s="2"/>
      <c r="IJ147" s="2"/>
      <c r="IK147" s="2"/>
      <c r="IL147" s="2"/>
      <c r="IM147" s="2"/>
      <c r="IN147" s="2"/>
      <c r="IO147" s="2"/>
      <c r="IP147" s="2"/>
      <c r="IQ147" s="2"/>
      <c r="IR147" s="2"/>
      <c r="IS147" s="2"/>
      <c r="IT147" s="2"/>
      <c r="IU147" s="2"/>
      <c r="IV147" s="2"/>
      <c r="IW147" s="2"/>
      <c r="IX147" s="2"/>
      <c r="IY147" s="2"/>
      <c r="IZ147" s="2"/>
      <c r="JA147" s="2"/>
      <c r="JB147" s="2"/>
      <c r="JC147" s="2"/>
      <c r="JD147" s="2"/>
      <c r="JE147" s="2"/>
      <c r="JF147" s="2"/>
      <c r="JG147" s="2"/>
      <c r="JH147" s="2"/>
      <c r="JI147" s="2"/>
      <c r="JJ147" s="2"/>
      <c r="JK147" s="2"/>
      <c r="JL147" s="2"/>
      <c r="JM147" s="2"/>
      <c r="JN147" s="2"/>
      <c r="JO147" s="2"/>
      <c r="JP147" s="2"/>
      <c r="JQ147" s="2"/>
      <c r="JR147" s="2"/>
      <c r="JS147" s="2"/>
      <c r="JT147" s="2"/>
      <c r="JU147" s="2"/>
      <c r="JV147" s="2"/>
      <c r="JW147" s="2"/>
      <c r="JX147" s="2"/>
      <c r="JY147" s="2"/>
      <c r="JZ147" s="2"/>
      <c r="KA147" s="2"/>
      <c r="KB147" s="2"/>
      <c r="KC147" s="2"/>
      <c r="KD147" s="2"/>
      <c r="KE147" s="2"/>
      <c r="KF147" s="2"/>
      <c r="KG147" s="2"/>
      <c r="KH147" s="2"/>
      <c r="KI147" s="2"/>
      <c r="KJ147" s="2"/>
      <c r="KK147" s="2"/>
      <c r="KL147" s="2"/>
      <c r="KM147" s="2"/>
      <c r="KN147" s="2"/>
      <c r="KO147" s="2"/>
      <c r="KP147" s="2"/>
      <c r="KQ147" s="2"/>
      <c r="KR147" s="2"/>
      <c r="KS147" s="2"/>
      <c r="KT147" s="2"/>
      <c r="KU147" s="2"/>
      <c r="KV147" s="2"/>
      <c r="KW147" s="2"/>
      <c r="KX147" s="2"/>
      <c r="KY147" s="2"/>
      <c r="KZ147" s="2"/>
      <c r="LA147" s="2"/>
      <c r="LB147" s="2"/>
      <c r="LC147" s="2"/>
      <c r="LD147" s="2"/>
      <c r="LE147" s="2"/>
      <c r="LF147" s="2"/>
      <c r="LG147" s="2"/>
      <c r="LH147" s="2"/>
      <c r="LI147" s="2"/>
      <c r="LJ147" s="2"/>
      <c r="LK147" s="2"/>
      <c r="LL147" s="2"/>
      <c r="LM147" s="2"/>
      <c r="LN147" s="2"/>
      <c r="LO147" s="2"/>
      <c r="LP147" s="2"/>
      <c r="LQ147" s="2"/>
      <c r="LR147" s="2"/>
      <c r="LS147" s="2"/>
      <c r="LT147" s="2"/>
      <c r="LU147" s="2"/>
      <c r="LV147" s="2"/>
      <c r="LW147" s="2"/>
      <c r="LX147" s="2"/>
      <c r="LY147" s="2"/>
      <c r="LZ147" s="2"/>
      <c r="MA147" s="2"/>
      <c r="MB147" s="2"/>
      <c r="MC147" s="2"/>
      <c r="MD147" s="2"/>
      <c r="ME147" s="2"/>
      <c r="MF147" s="2"/>
      <c r="MG147" s="2"/>
      <c r="MH147" s="2"/>
      <c r="MI147" s="2"/>
      <c r="MJ147" s="2"/>
      <c r="MK147" s="2"/>
      <c r="ML147" s="2"/>
      <c r="MM147" s="2"/>
      <c r="MN147" s="2"/>
      <c r="MO147" s="2"/>
      <c r="MP147" s="2"/>
      <c r="MQ147" s="2"/>
      <c r="MR147" s="2"/>
      <c r="MS147" s="2"/>
      <c r="MT147" s="2"/>
      <c r="MU147" s="2"/>
      <c r="MV147" s="2"/>
      <c r="MW147" s="2"/>
      <c r="MX147" s="2"/>
      <c r="MY147" s="2"/>
      <c r="MZ147" s="2"/>
      <c r="NA147" s="2"/>
      <c r="NB147" s="2"/>
      <c r="NC147" s="2"/>
      <c r="ND147" s="2"/>
      <c r="NE147" s="2"/>
      <c r="NF147" s="2"/>
      <c r="NG147" s="2"/>
      <c r="NH147" s="2"/>
      <c r="NI147" s="2"/>
      <c r="NJ147" s="2"/>
      <c r="NK147" s="2"/>
      <c r="NL147" s="2"/>
      <c r="NM147" s="2"/>
      <c r="NN147" s="2"/>
      <c r="NO147" s="2"/>
      <c r="NP147" s="2"/>
      <c r="NQ147" s="2"/>
      <c r="NR147" s="2"/>
      <c r="NS147" s="2"/>
      <c r="NT147" s="2"/>
      <c r="NU147" s="2"/>
      <c r="NV147" s="2"/>
      <c r="NW147" s="2"/>
      <c r="NX147" s="2"/>
      <c r="NY147" s="2"/>
      <c r="NZ147" s="2"/>
      <c r="OA147" s="2"/>
      <c r="OB147" s="2"/>
      <c r="OC147" s="2"/>
      <c r="OD147" s="2"/>
      <c r="OE147" s="2"/>
      <c r="OF147" s="2"/>
      <c r="OG147" s="2"/>
      <c r="OH147" s="2"/>
      <c r="OI147" s="2"/>
      <c r="OJ147" s="2"/>
      <c r="OK147" s="2"/>
      <c r="OL147" s="2"/>
      <c r="OM147" s="2"/>
      <c r="ON147" s="2"/>
      <c r="OO147" s="2"/>
      <c r="OP147" s="2"/>
      <c r="OQ147" s="2"/>
      <c r="OR147" s="2"/>
      <c r="OS147" s="2"/>
      <c r="OT147" s="2"/>
      <c r="OU147" s="2"/>
      <c r="OV147" s="2"/>
      <c r="OW147" s="2"/>
      <c r="OX147" s="2"/>
      <c r="OY147" s="2"/>
      <c r="OZ147" s="2"/>
      <c r="PA147" s="2"/>
      <c r="PB147" s="2"/>
      <c r="PC147" s="2"/>
      <c r="PD147" s="2"/>
      <c r="PE147" s="2"/>
      <c r="PF147" s="2"/>
      <c r="PG147" s="2"/>
      <c r="PH147" s="2"/>
      <c r="PI147" s="2"/>
      <c r="PJ147" s="2"/>
      <c r="PK147" s="2"/>
      <c r="PL147" s="2"/>
      <c r="PM147" s="2"/>
      <c r="PN147" s="2"/>
      <c r="PO147" s="2"/>
      <c r="PP147" s="2"/>
      <c r="PQ147" s="2"/>
      <c r="PR147" s="2"/>
      <c r="PS147" s="2"/>
      <c r="PT147" s="2"/>
      <c r="PU147" s="2"/>
      <c r="PV147" s="2"/>
      <c r="PW147" s="2"/>
      <c r="PX147" s="2"/>
      <c r="PY147" s="2"/>
      <c r="PZ147" s="2"/>
      <c r="QA147" s="2"/>
      <c r="QB147" s="2"/>
      <c r="QC147" s="2"/>
      <c r="QD147" s="2"/>
      <c r="QE147" s="2"/>
      <c r="QF147" s="2"/>
      <c r="QG147" s="2"/>
      <c r="QH147" s="2"/>
      <c r="QI147" s="2"/>
      <c r="QJ147" s="2"/>
      <c r="QK147" s="2"/>
      <c r="QL147" s="2"/>
      <c r="QM147" s="2"/>
      <c r="QN147" s="2"/>
      <c r="QO147" s="2"/>
      <c r="QP147" s="2"/>
      <c r="QQ147" s="2"/>
      <c r="QR147" s="2"/>
      <c r="QS147" s="2"/>
      <c r="QT147" s="2"/>
      <c r="QU147" s="2"/>
      <c r="QV147" s="2"/>
      <c r="QW147" s="2"/>
      <c r="QX147" s="2"/>
      <c r="QY147" s="2"/>
      <c r="QZ147" s="2"/>
      <c r="RA147" s="2"/>
      <c r="RB147" s="2"/>
      <c r="RC147" s="2"/>
      <c r="RD147" s="2"/>
      <c r="RE147" s="2"/>
      <c r="RF147" s="2"/>
      <c r="RG147" s="2"/>
      <c r="RH147" s="2"/>
      <c r="RI147" s="2"/>
      <c r="RJ147" s="2"/>
      <c r="RK147" s="2"/>
      <c r="RL147" s="2"/>
      <c r="RM147" s="2"/>
      <c r="RN147" s="2"/>
      <c r="RO147" s="2"/>
      <c r="RP147" s="2"/>
      <c r="RQ147" s="2"/>
      <c r="RR147" s="2"/>
      <c r="RS147" s="2"/>
      <c r="RT147" s="2"/>
      <c r="RU147" s="2"/>
      <c r="RV147" s="2"/>
      <c r="RW147" s="2"/>
      <c r="RX147" s="2"/>
      <c r="RY147" s="2"/>
      <c r="RZ147" s="2"/>
      <c r="SA147" s="2"/>
      <c r="SB147" s="2"/>
      <c r="SC147" s="2"/>
      <c r="SD147" s="2"/>
      <c r="SE147" s="2"/>
      <c r="SF147" s="2"/>
      <c r="SG147" s="2"/>
      <c r="SH147" s="2"/>
      <c r="SI147" s="2"/>
      <c r="SJ147" s="2"/>
      <c r="SK147" s="2"/>
      <c r="SL147" s="2"/>
      <c r="SM147" s="2"/>
      <c r="SN147" s="2"/>
      <c r="SO147" s="2"/>
      <c r="SP147" s="2"/>
      <c r="SQ147" s="2"/>
      <c r="SR147" s="2"/>
      <c r="SS147" s="2"/>
      <c r="ST147" s="2"/>
      <c r="SU147" s="2"/>
      <c r="SV147" s="2"/>
      <c r="SW147" s="2"/>
      <c r="SX147" s="2"/>
    </row>
    <row r="148" spans="33:518" x14ac:dyDescent="0.25"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  <c r="FK148" s="2"/>
      <c r="FL148" s="2"/>
      <c r="FM148" s="2"/>
      <c r="FN148" s="2"/>
      <c r="FO148" s="2"/>
      <c r="FP148" s="2"/>
      <c r="FQ148" s="2"/>
      <c r="FR148" s="2"/>
      <c r="FS148" s="2"/>
      <c r="FT148" s="2"/>
      <c r="FU148" s="2"/>
      <c r="FV148" s="2"/>
      <c r="FW148" s="2"/>
      <c r="FX148" s="2"/>
      <c r="FY148" s="2"/>
      <c r="FZ148" s="2"/>
      <c r="GA148" s="2"/>
      <c r="GB148" s="2"/>
      <c r="GC148" s="2"/>
      <c r="GD148" s="2"/>
      <c r="GE148" s="2"/>
      <c r="GF148" s="2"/>
      <c r="GG148" s="2"/>
      <c r="GH148" s="2"/>
      <c r="GI148" s="2"/>
      <c r="GJ148" s="2"/>
      <c r="GK148" s="2"/>
      <c r="GL148" s="2"/>
      <c r="GM148" s="2"/>
      <c r="GN148" s="2"/>
      <c r="GO148" s="2"/>
      <c r="GP148" s="2"/>
      <c r="GQ148" s="2"/>
      <c r="GR148" s="2"/>
      <c r="GS148" s="2"/>
      <c r="GT148" s="2"/>
      <c r="GU148" s="2"/>
      <c r="GV148" s="2"/>
      <c r="GW148" s="2"/>
      <c r="GX148" s="2"/>
      <c r="GY148" s="2"/>
      <c r="GZ148" s="2"/>
      <c r="HA148" s="2"/>
      <c r="HB148" s="2"/>
      <c r="HC148" s="2"/>
      <c r="HD148" s="2"/>
      <c r="HE148" s="2"/>
      <c r="HF148" s="2"/>
      <c r="HG148" s="2"/>
      <c r="HH148" s="2"/>
      <c r="HI148" s="2"/>
      <c r="HJ148" s="2"/>
      <c r="HK148" s="2"/>
      <c r="HL148" s="2"/>
      <c r="HM148" s="2"/>
      <c r="HN148" s="2"/>
      <c r="HO148" s="2"/>
      <c r="HP148" s="2"/>
      <c r="HQ148" s="2"/>
      <c r="HR148" s="2"/>
      <c r="HS148" s="2"/>
      <c r="HT148" s="2"/>
      <c r="HU148" s="2"/>
      <c r="HV148" s="2"/>
      <c r="HW148" s="2"/>
      <c r="HX148" s="2"/>
      <c r="HY148" s="2"/>
      <c r="HZ148" s="2"/>
      <c r="IA148" s="2"/>
      <c r="IB148" s="2"/>
      <c r="IC148" s="2"/>
      <c r="ID148" s="2"/>
      <c r="IE148" s="2"/>
      <c r="IF148" s="2"/>
      <c r="IG148" s="2"/>
      <c r="IH148" s="2"/>
      <c r="II148" s="2"/>
      <c r="IJ148" s="2"/>
      <c r="IK148" s="2"/>
      <c r="IL148" s="2"/>
      <c r="IM148" s="2"/>
      <c r="IN148" s="2"/>
      <c r="IO148" s="2"/>
      <c r="IP148" s="2"/>
      <c r="IQ148" s="2"/>
      <c r="IR148" s="2"/>
      <c r="IS148" s="2"/>
      <c r="IT148" s="2"/>
      <c r="IU148" s="2"/>
      <c r="IV148" s="2"/>
      <c r="IW148" s="2"/>
      <c r="IX148" s="2"/>
      <c r="IY148" s="2"/>
      <c r="IZ148" s="2"/>
      <c r="JA148" s="2"/>
      <c r="JB148" s="2"/>
      <c r="JC148" s="2"/>
      <c r="JD148" s="2"/>
      <c r="JE148" s="2"/>
      <c r="JF148" s="2"/>
      <c r="JG148" s="2"/>
      <c r="JH148" s="2"/>
      <c r="JI148" s="2"/>
      <c r="JJ148" s="2"/>
      <c r="JK148" s="2"/>
      <c r="JL148" s="2"/>
      <c r="JM148" s="2"/>
      <c r="JN148" s="2"/>
      <c r="JO148" s="2"/>
      <c r="JP148" s="2"/>
      <c r="JQ148" s="2"/>
      <c r="JR148" s="2"/>
      <c r="JS148" s="2"/>
      <c r="JT148" s="2"/>
      <c r="JU148" s="2"/>
      <c r="JV148" s="2"/>
      <c r="JW148" s="2"/>
      <c r="JX148" s="2"/>
      <c r="JY148" s="2"/>
      <c r="JZ148" s="2"/>
      <c r="KA148" s="2"/>
      <c r="KB148" s="2"/>
      <c r="KC148" s="2"/>
      <c r="KD148" s="2"/>
      <c r="KE148" s="2"/>
      <c r="KF148" s="2"/>
      <c r="KG148" s="2"/>
      <c r="KH148" s="2"/>
      <c r="KI148" s="2"/>
      <c r="KJ148" s="2"/>
      <c r="KK148" s="2"/>
      <c r="KL148" s="2"/>
      <c r="KM148" s="2"/>
      <c r="KN148" s="2"/>
      <c r="KO148" s="2"/>
      <c r="KP148" s="2"/>
      <c r="KQ148" s="2"/>
      <c r="KR148" s="2"/>
      <c r="KS148" s="2"/>
      <c r="KT148" s="2"/>
      <c r="KU148" s="2"/>
      <c r="KV148" s="2"/>
      <c r="KW148" s="2"/>
      <c r="KX148" s="2"/>
      <c r="KY148" s="2"/>
      <c r="KZ148" s="2"/>
      <c r="LA148" s="2"/>
      <c r="LB148" s="2"/>
      <c r="LC148" s="2"/>
      <c r="LD148" s="2"/>
      <c r="LE148" s="2"/>
      <c r="LF148" s="2"/>
      <c r="LG148" s="2"/>
      <c r="LH148" s="2"/>
      <c r="LI148" s="2"/>
      <c r="LJ148" s="2"/>
      <c r="LK148" s="2"/>
      <c r="LL148" s="2"/>
      <c r="LM148" s="2"/>
      <c r="LN148" s="2"/>
      <c r="LO148" s="2"/>
      <c r="LP148" s="2"/>
      <c r="LQ148" s="2"/>
      <c r="LR148" s="2"/>
      <c r="LS148" s="2"/>
      <c r="LT148" s="2"/>
      <c r="LU148" s="2"/>
      <c r="LV148" s="2"/>
      <c r="LW148" s="2"/>
      <c r="LX148" s="2"/>
      <c r="LY148" s="2"/>
      <c r="LZ148" s="2"/>
      <c r="MA148" s="2"/>
      <c r="MB148" s="2"/>
      <c r="MC148" s="2"/>
      <c r="MD148" s="2"/>
      <c r="ME148" s="2"/>
      <c r="MF148" s="2"/>
      <c r="MG148" s="2"/>
      <c r="MH148" s="2"/>
      <c r="MI148" s="2"/>
      <c r="MJ148" s="2"/>
      <c r="MK148" s="2"/>
      <c r="ML148" s="2"/>
      <c r="MM148" s="2"/>
      <c r="MN148" s="2"/>
      <c r="MO148" s="2"/>
      <c r="MP148" s="2"/>
      <c r="MQ148" s="2"/>
      <c r="MR148" s="2"/>
      <c r="MS148" s="2"/>
      <c r="MT148" s="2"/>
      <c r="MU148" s="2"/>
      <c r="MV148" s="2"/>
      <c r="MW148" s="2"/>
      <c r="MX148" s="2"/>
      <c r="MY148" s="2"/>
      <c r="MZ148" s="2"/>
      <c r="NA148" s="2"/>
      <c r="NB148" s="2"/>
      <c r="NC148" s="2"/>
      <c r="ND148" s="2"/>
      <c r="NE148" s="2"/>
      <c r="NF148" s="2"/>
      <c r="NG148" s="2"/>
      <c r="NH148" s="2"/>
      <c r="NI148" s="2"/>
      <c r="NJ148" s="2"/>
      <c r="NK148" s="2"/>
      <c r="NL148" s="2"/>
      <c r="NM148" s="2"/>
      <c r="NN148" s="2"/>
      <c r="NO148" s="2"/>
      <c r="NP148" s="2"/>
      <c r="NQ148" s="2"/>
      <c r="NR148" s="2"/>
      <c r="NS148" s="2"/>
      <c r="NT148" s="2"/>
      <c r="NU148" s="2"/>
      <c r="NV148" s="2"/>
      <c r="NW148" s="2"/>
      <c r="NX148" s="2"/>
      <c r="NY148" s="2"/>
      <c r="NZ148" s="2"/>
      <c r="OA148" s="2"/>
      <c r="OB148" s="2"/>
      <c r="OC148" s="2"/>
      <c r="OD148" s="2"/>
      <c r="OE148" s="2"/>
      <c r="OF148" s="2"/>
      <c r="OG148" s="2"/>
      <c r="OH148" s="2"/>
      <c r="OI148" s="2"/>
      <c r="OJ148" s="2"/>
      <c r="OK148" s="2"/>
      <c r="OL148" s="2"/>
      <c r="OM148" s="2"/>
      <c r="ON148" s="2"/>
      <c r="OO148" s="2"/>
      <c r="OP148" s="2"/>
      <c r="OQ148" s="2"/>
      <c r="OR148" s="2"/>
      <c r="OS148" s="2"/>
      <c r="OT148" s="2"/>
      <c r="OU148" s="2"/>
      <c r="OV148" s="2"/>
      <c r="OW148" s="2"/>
      <c r="OX148" s="2"/>
      <c r="OY148" s="2"/>
      <c r="OZ148" s="2"/>
      <c r="PA148" s="2"/>
      <c r="PB148" s="2"/>
      <c r="PC148" s="2"/>
      <c r="PD148" s="2"/>
      <c r="PE148" s="2"/>
      <c r="PF148" s="2"/>
      <c r="PG148" s="2"/>
      <c r="PH148" s="2"/>
      <c r="PI148" s="2"/>
      <c r="PJ148" s="2"/>
      <c r="PK148" s="2"/>
      <c r="PL148" s="2"/>
      <c r="PM148" s="2"/>
      <c r="PN148" s="2"/>
      <c r="PO148" s="2"/>
      <c r="PP148" s="2"/>
      <c r="PQ148" s="2"/>
      <c r="PR148" s="2"/>
      <c r="PS148" s="2"/>
      <c r="PT148" s="2"/>
      <c r="PU148" s="2"/>
      <c r="PV148" s="2"/>
      <c r="PW148" s="2"/>
      <c r="PX148" s="2"/>
      <c r="PY148" s="2"/>
      <c r="PZ148" s="2"/>
      <c r="QA148" s="2"/>
      <c r="QB148" s="2"/>
      <c r="QC148" s="2"/>
      <c r="QD148" s="2"/>
      <c r="QE148" s="2"/>
      <c r="QF148" s="2"/>
      <c r="QG148" s="2"/>
      <c r="QH148" s="2"/>
      <c r="QI148" s="2"/>
      <c r="QJ148" s="2"/>
      <c r="QK148" s="2"/>
      <c r="QL148" s="2"/>
      <c r="QM148" s="2"/>
      <c r="QN148" s="2"/>
      <c r="QO148" s="2"/>
      <c r="QP148" s="2"/>
      <c r="QQ148" s="2"/>
      <c r="QR148" s="2"/>
      <c r="QS148" s="2"/>
      <c r="QT148" s="2"/>
      <c r="QU148" s="2"/>
      <c r="QV148" s="2"/>
      <c r="QW148" s="2"/>
      <c r="QX148" s="2"/>
      <c r="QY148" s="2"/>
      <c r="QZ148" s="2"/>
      <c r="RA148" s="2"/>
      <c r="RB148" s="2"/>
      <c r="RC148" s="2"/>
      <c r="RD148" s="2"/>
      <c r="RE148" s="2"/>
      <c r="RF148" s="2"/>
      <c r="RG148" s="2"/>
      <c r="RH148" s="2"/>
      <c r="RI148" s="2"/>
      <c r="RJ148" s="2"/>
      <c r="RK148" s="2"/>
      <c r="RL148" s="2"/>
      <c r="RM148" s="2"/>
      <c r="RN148" s="2"/>
      <c r="RO148" s="2"/>
      <c r="RP148" s="2"/>
      <c r="RQ148" s="2"/>
      <c r="RR148" s="2"/>
      <c r="RS148" s="2"/>
      <c r="RT148" s="2"/>
      <c r="RU148" s="2"/>
      <c r="RV148" s="2"/>
      <c r="RW148" s="2"/>
      <c r="RX148" s="2"/>
      <c r="RY148" s="2"/>
      <c r="RZ148" s="2"/>
      <c r="SA148" s="2"/>
      <c r="SB148" s="2"/>
      <c r="SC148" s="2"/>
      <c r="SD148" s="2"/>
      <c r="SE148" s="2"/>
      <c r="SF148" s="2"/>
      <c r="SG148" s="2"/>
      <c r="SH148" s="2"/>
      <c r="SI148" s="2"/>
      <c r="SJ148" s="2"/>
      <c r="SK148" s="2"/>
      <c r="SL148" s="2"/>
      <c r="SM148" s="2"/>
      <c r="SN148" s="2"/>
      <c r="SO148" s="2"/>
      <c r="SP148" s="2"/>
      <c r="SQ148" s="2"/>
      <c r="SR148" s="2"/>
      <c r="SS148" s="2"/>
      <c r="ST148" s="2"/>
      <c r="SU148" s="2"/>
      <c r="SV148" s="2"/>
      <c r="SW148" s="2"/>
      <c r="SX148" s="2"/>
    </row>
    <row r="149" spans="33:518" x14ac:dyDescent="0.25"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  <c r="RA149" s="2"/>
      <c r="RB149" s="2"/>
      <c r="RC149" s="2"/>
      <c r="RD149" s="2"/>
      <c r="RE149" s="2"/>
      <c r="RF149" s="2"/>
      <c r="RG149" s="2"/>
      <c r="RH149" s="2"/>
      <c r="RI149" s="2"/>
      <c r="RJ149" s="2"/>
      <c r="RK149" s="2"/>
      <c r="RL149" s="2"/>
      <c r="RM149" s="2"/>
      <c r="RN149" s="2"/>
      <c r="RO149" s="2"/>
      <c r="RP149" s="2"/>
      <c r="RQ149" s="2"/>
      <c r="RR149" s="2"/>
      <c r="RS149" s="2"/>
      <c r="RT149" s="2"/>
      <c r="RU149" s="2"/>
      <c r="RV149" s="2"/>
      <c r="RW149" s="2"/>
      <c r="RX149" s="2"/>
      <c r="RY149" s="2"/>
      <c r="RZ149" s="2"/>
      <c r="SA149" s="2"/>
      <c r="SB149" s="2"/>
      <c r="SC149" s="2"/>
      <c r="SD149" s="2"/>
      <c r="SE149" s="2"/>
      <c r="SF149" s="2"/>
      <c r="SG149" s="2"/>
      <c r="SH149" s="2"/>
      <c r="SI149" s="2"/>
      <c r="SJ149" s="2"/>
      <c r="SK149" s="2"/>
      <c r="SL149" s="2"/>
      <c r="SM149" s="2"/>
      <c r="SN149" s="2"/>
      <c r="SO149" s="2"/>
      <c r="SP149" s="2"/>
      <c r="SQ149" s="2"/>
      <c r="SR149" s="2"/>
      <c r="SS149" s="2"/>
      <c r="ST149" s="2"/>
      <c r="SU149" s="2"/>
      <c r="SV149" s="2"/>
      <c r="SW149" s="2"/>
      <c r="SX149" s="2"/>
    </row>
    <row r="150" spans="33:518" x14ac:dyDescent="0.25"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  <c r="FK150" s="2"/>
      <c r="FL150" s="2"/>
      <c r="FM150" s="2"/>
      <c r="FN150" s="2"/>
      <c r="FO150" s="2"/>
      <c r="FP150" s="2"/>
      <c r="FQ150" s="2"/>
      <c r="FR150" s="2"/>
      <c r="FS150" s="2"/>
      <c r="FT150" s="2"/>
      <c r="FU150" s="2"/>
      <c r="FV150" s="2"/>
      <c r="FW150" s="2"/>
      <c r="FX150" s="2"/>
      <c r="FY150" s="2"/>
      <c r="FZ150" s="2"/>
      <c r="GA150" s="2"/>
      <c r="GB150" s="2"/>
      <c r="GC150" s="2"/>
      <c r="GD150" s="2"/>
      <c r="GE150" s="2"/>
      <c r="GF150" s="2"/>
      <c r="GG150" s="2"/>
      <c r="GH150" s="2"/>
      <c r="GI150" s="2"/>
      <c r="GJ150" s="2"/>
      <c r="GK150" s="2"/>
      <c r="GL150" s="2"/>
      <c r="GM150" s="2"/>
      <c r="GN150" s="2"/>
      <c r="GO150" s="2"/>
      <c r="GP150" s="2"/>
      <c r="GQ150" s="2"/>
      <c r="GR150" s="2"/>
      <c r="GS150" s="2"/>
      <c r="GT150" s="2"/>
      <c r="GU150" s="2"/>
      <c r="GV150" s="2"/>
      <c r="GW150" s="2"/>
      <c r="GX150" s="2"/>
      <c r="GY150" s="2"/>
      <c r="GZ150" s="2"/>
      <c r="HA150" s="2"/>
      <c r="HB150" s="2"/>
      <c r="HC150" s="2"/>
      <c r="HD150" s="2"/>
      <c r="HE150" s="2"/>
      <c r="HF150" s="2"/>
      <c r="HG150" s="2"/>
      <c r="HH150" s="2"/>
      <c r="HI150" s="2"/>
      <c r="HJ150" s="2"/>
      <c r="HK150" s="2"/>
      <c r="HL150" s="2"/>
      <c r="HM150" s="2"/>
      <c r="HN150" s="2"/>
      <c r="HO150" s="2"/>
      <c r="HP150" s="2"/>
      <c r="HQ150" s="2"/>
      <c r="HR150" s="2"/>
      <c r="HS150" s="2"/>
      <c r="HT150" s="2"/>
      <c r="HU150" s="2"/>
      <c r="HV150" s="2"/>
      <c r="HW150" s="2"/>
      <c r="HX150" s="2"/>
      <c r="HY150" s="2"/>
      <c r="HZ150" s="2"/>
      <c r="IA150" s="2"/>
      <c r="IB150" s="2"/>
      <c r="IC150" s="2"/>
      <c r="ID150" s="2"/>
      <c r="IE150" s="2"/>
      <c r="IF150" s="2"/>
      <c r="IG150" s="2"/>
      <c r="IH150" s="2"/>
      <c r="II150" s="2"/>
      <c r="IJ150" s="2"/>
      <c r="IK150" s="2"/>
      <c r="IL150" s="2"/>
      <c r="IM150" s="2"/>
      <c r="IN150" s="2"/>
      <c r="IO150" s="2"/>
      <c r="IP150" s="2"/>
      <c r="IQ150" s="2"/>
      <c r="IR150" s="2"/>
      <c r="IS150" s="2"/>
      <c r="IT150" s="2"/>
      <c r="IU150" s="2"/>
      <c r="IV150" s="2"/>
      <c r="IW150" s="2"/>
      <c r="IX150" s="2"/>
      <c r="IY150" s="2"/>
      <c r="IZ150" s="2"/>
      <c r="JA150" s="2"/>
      <c r="JB150" s="2"/>
      <c r="JC150" s="2"/>
      <c r="JD150" s="2"/>
      <c r="JE150" s="2"/>
      <c r="JF150" s="2"/>
      <c r="JG150" s="2"/>
      <c r="JH150" s="2"/>
      <c r="JI150" s="2"/>
      <c r="JJ150" s="2"/>
      <c r="JK150" s="2"/>
      <c r="JL150" s="2"/>
      <c r="JM150" s="2"/>
      <c r="JN150" s="2"/>
      <c r="JO150" s="2"/>
      <c r="JP150" s="2"/>
      <c r="JQ150" s="2"/>
      <c r="JR150" s="2"/>
      <c r="JS150" s="2"/>
      <c r="JT150" s="2"/>
      <c r="JU150" s="2"/>
      <c r="JV150" s="2"/>
      <c r="JW150" s="2"/>
      <c r="JX150" s="2"/>
      <c r="JY150" s="2"/>
      <c r="JZ150" s="2"/>
      <c r="KA150" s="2"/>
      <c r="KB150" s="2"/>
      <c r="KC150" s="2"/>
      <c r="KD150" s="2"/>
      <c r="KE150" s="2"/>
      <c r="KF150" s="2"/>
      <c r="KG150" s="2"/>
      <c r="KH150" s="2"/>
      <c r="KI150" s="2"/>
      <c r="KJ150" s="2"/>
      <c r="KK150" s="2"/>
      <c r="KL150" s="2"/>
      <c r="KM150" s="2"/>
      <c r="KN150" s="2"/>
      <c r="KO150" s="2"/>
      <c r="KP150" s="2"/>
      <c r="KQ150" s="2"/>
      <c r="KR150" s="2"/>
      <c r="KS150" s="2"/>
      <c r="KT150" s="2"/>
      <c r="KU150" s="2"/>
      <c r="KV150" s="2"/>
      <c r="KW150" s="2"/>
      <c r="KX150" s="2"/>
      <c r="KY150" s="2"/>
      <c r="KZ150" s="2"/>
      <c r="LA150" s="2"/>
      <c r="LB150" s="2"/>
      <c r="LC150" s="2"/>
      <c r="LD150" s="2"/>
      <c r="LE150" s="2"/>
      <c r="LF150" s="2"/>
      <c r="LG150" s="2"/>
      <c r="LH150" s="2"/>
      <c r="LI150" s="2"/>
      <c r="LJ150" s="2"/>
      <c r="LK150" s="2"/>
      <c r="LL150" s="2"/>
      <c r="LM150" s="2"/>
      <c r="LN150" s="2"/>
      <c r="LO150" s="2"/>
      <c r="LP150" s="2"/>
      <c r="LQ150" s="2"/>
      <c r="LR150" s="2"/>
      <c r="LS150" s="2"/>
      <c r="LT150" s="2"/>
      <c r="LU150" s="2"/>
      <c r="LV150" s="2"/>
      <c r="LW150" s="2"/>
      <c r="LX150" s="2"/>
      <c r="LY150" s="2"/>
      <c r="LZ150" s="2"/>
      <c r="MA150" s="2"/>
      <c r="MB150" s="2"/>
      <c r="MC150" s="2"/>
      <c r="MD150" s="2"/>
      <c r="ME150" s="2"/>
      <c r="MF150" s="2"/>
      <c r="MG150" s="2"/>
      <c r="MH150" s="2"/>
      <c r="MI150" s="2"/>
      <c r="MJ150" s="2"/>
      <c r="MK150" s="2"/>
      <c r="ML150" s="2"/>
      <c r="MM150" s="2"/>
      <c r="MN150" s="2"/>
      <c r="MO150" s="2"/>
      <c r="MP150" s="2"/>
      <c r="MQ150" s="2"/>
      <c r="MR150" s="2"/>
      <c r="MS150" s="2"/>
      <c r="MT150" s="2"/>
      <c r="MU150" s="2"/>
      <c r="MV150" s="2"/>
      <c r="MW150" s="2"/>
      <c r="MX150" s="2"/>
      <c r="MY150" s="2"/>
      <c r="MZ150" s="2"/>
      <c r="NA150" s="2"/>
      <c r="NB150" s="2"/>
      <c r="NC150" s="2"/>
      <c r="ND150" s="2"/>
      <c r="NE150" s="2"/>
      <c r="NF150" s="2"/>
      <c r="NG150" s="2"/>
      <c r="NH150" s="2"/>
      <c r="NI150" s="2"/>
      <c r="NJ150" s="2"/>
      <c r="NK150" s="2"/>
      <c r="NL150" s="2"/>
      <c r="NM150" s="2"/>
      <c r="NN150" s="2"/>
      <c r="NO150" s="2"/>
      <c r="NP150" s="2"/>
      <c r="NQ150" s="2"/>
      <c r="NR150" s="2"/>
      <c r="NS150" s="2"/>
      <c r="NT150" s="2"/>
      <c r="NU150" s="2"/>
      <c r="NV150" s="2"/>
      <c r="NW150" s="2"/>
      <c r="NX150" s="2"/>
      <c r="NY150" s="2"/>
      <c r="NZ150" s="2"/>
      <c r="OA150" s="2"/>
      <c r="OB150" s="2"/>
      <c r="OC150" s="2"/>
      <c r="OD150" s="2"/>
      <c r="OE150" s="2"/>
      <c r="OF150" s="2"/>
      <c r="OG150" s="2"/>
      <c r="OH150" s="2"/>
      <c r="OI150" s="2"/>
      <c r="OJ150" s="2"/>
      <c r="OK150" s="2"/>
      <c r="OL150" s="2"/>
      <c r="OM150" s="2"/>
      <c r="ON150" s="2"/>
      <c r="OO150" s="2"/>
      <c r="OP150" s="2"/>
      <c r="OQ150" s="2"/>
      <c r="OR150" s="2"/>
      <c r="OS150" s="2"/>
      <c r="OT150" s="2"/>
      <c r="OU150" s="2"/>
      <c r="OV150" s="2"/>
      <c r="OW150" s="2"/>
      <c r="OX150" s="2"/>
      <c r="OY150" s="2"/>
      <c r="OZ150" s="2"/>
      <c r="PA150" s="2"/>
      <c r="PB150" s="2"/>
      <c r="PC150" s="2"/>
      <c r="PD150" s="2"/>
      <c r="PE150" s="2"/>
      <c r="PF150" s="2"/>
      <c r="PG150" s="2"/>
      <c r="PH150" s="2"/>
      <c r="PI150" s="2"/>
      <c r="PJ150" s="2"/>
      <c r="PK150" s="2"/>
      <c r="PL150" s="2"/>
      <c r="PM150" s="2"/>
      <c r="PN150" s="2"/>
      <c r="PO150" s="2"/>
      <c r="PP150" s="2"/>
      <c r="PQ150" s="2"/>
      <c r="PR150" s="2"/>
      <c r="PS150" s="2"/>
      <c r="PT150" s="2"/>
      <c r="PU150" s="2"/>
      <c r="PV150" s="2"/>
      <c r="PW150" s="2"/>
      <c r="PX150" s="2"/>
      <c r="PY150" s="2"/>
      <c r="PZ150" s="2"/>
      <c r="QA150" s="2"/>
      <c r="QB150" s="2"/>
      <c r="QC150" s="2"/>
      <c r="QD150" s="2"/>
      <c r="QE150" s="2"/>
      <c r="QF150" s="2"/>
      <c r="QG150" s="2"/>
      <c r="QH150" s="2"/>
      <c r="QI150" s="2"/>
      <c r="QJ150" s="2"/>
      <c r="QK150" s="2"/>
      <c r="QL150" s="2"/>
      <c r="QM150" s="2"/>
      <c r="QN150" s="2"/>
      <c r="QO150" s="2"/>
      <c r="QP150" s="2"/>
      <c r="QQ150" s="2"/>
      <c r="QR150" s="2"/>
      <c r="QS150" s="2"/>
      <c r="QT150" s="2"/>
      <c r="QU150" s="2"/>
      <c r="QV150" s="2"/>
      <c r="QW150" s="2"/>
      <c r="QX150" s="2"/>
      <c r="QY150" s="2"/>
      <c r="QZ150" s="2"/>
      <c r="RA150" s="2"/>
      <c r="RB150" s="2"/>
      <c r="RC150" s="2"/>
      <c r="RD150" s="2"/>
      <c r="RE150" s="2"/>
      <c r="RF150" s="2"/>
      <c r="RG150" s="2"/>
      <c r="RH150" s="2"/>
      <c r="RI150" s="2"/>
      <c r="RJ150" s="2"/>
      <c r="RK150" s="2"/>
      <c r="RL150" s="2"/>
      <c r="RM150" s="2"/>
      <c r="RN150" s="2"/>
      <c r="RO150" s="2"/>
      <c r="RP150" s="2"/>
      <c r="RQ150" s="2"/>
      <c r="RR150" s="2"/>
      <c r="RS150" s="2"/>
      <c r="RT150" s="2"/>
      <c r="RU150" s="2"/>
      <c r="RV150" s="2"/>
      <c r="RW150" s="2"/>
      <c r="RX150" s="2"/>
      <c r="RY150" s="2"/>
      <c r="RZ150" s="2"/>
      <c r="SA150" s="2"/>
      <c r="SB150" s="2"/>
      <c r="SC150" s="2"/>
      <c r="SD150" s="2"/>
      <c r="SE150" s="2"/>
      <c r="SF150" s="2"/>
      <c r="SG150" s="2"/>
      <c r="SH150" s="2"/>
      <c r="SI150" s="2"/>
      <c r="SJ150" s="2"/>
      <c r="SK150" s="2"/>
      <c r="SL150" s="2"/>
      <c r="SM150" s="2"/>
      <c r="SN150" s="2"/>
      <c r="SO150" s="2"/>
      <c r="SP150" s="2"/>
      <c r="SQ150" s="2"/>
      <c r="SR150" s="2"/>
      <c r="SS150" s="2"/>
      <c r="ST150" s="2"/>
      <c r="SU150" s="2"/>
      <c r="SV150" s="2"/>
      <c r="SW150" s="2"/>
      <c r="SX150" s="2"/>
    </row>
    <row r="151" spans="33:518" x14ac:dyDescent="0.25"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  <c r="FK151" s="2"/>
      <c r="FL151" s="2"/>
      <c r="FM151" s="2"/>
      <c r="FN151" s="2"/>
      <c r="FO151" s="2"/>
      <c r="FP151" s="2"/>
      <c r="FQ151" s="2"/>
      <c r="FR151" s="2"/>
      <c r="FS151" s="2"/>
      <c r="FT151" s="2"/>
      <c r="FU151" s="2"/>
      <c r="FV151" s="2"/>
      <c r="FW151" s="2"/>
      <c r="FX151" s="2"/>
      <c r="FY151" s="2"/>
      <c r="FZ151" s="2"/>
      <c r="GA151" s="2"/>
      <c r="GB151" s="2"/>
      <c r="GC151" s="2"/>
      <c r="GD151" s="2"/>
      <c r="GE151" s="2"/>
      <c r="GF151" s="2"/>
      <c r="GG151" s="2"/>
      <c r="GH151" s="2"/>
      <c r="GI151" s="2"/>
      <c r="GJ151" s="2"/>
      <c r="GK151" s="2"/>
      <c r="GL151" s="2"/>
      <c r="GM151" s="2"/>
      <c r="GN151" s="2"/>
      <c r="GO151" s="2"/>
      <c r="GP151" s="2"/>
      <c r="GQ151" s="2"/>
      <c r="GR151" s="2"/>
      <c r="GS151" s="2"/>
      <c r="GT151" s="2"/>
      <c r="GU151" s="2"/>
      <c r="GV151" s="2"/>
      <c r="GW151" s="2"/>
      <c r="GX151" s="2"/>
      <c r="GY151" s="2"/>
      <c r="GZ151" s="2"/>
      <c r="HA151" s="2"/>
      <c r="HB151" s="2"/>
      <c r="HC151" s="2"/>
      <c r="HD151" s="2"/>
      <c r="HE151" s="2"/>
      <c r="HF151" s="2"/>
      <c r="HG151" s="2"/>
      <c r="HH151" s="2"/>
      <c r="HI151" s="2"/>
      <c r="HJ151" s="2"/>
      <c r="HK151" s="2"/>
      <c r="HL151" s="2"/>
      <c r="HM151" s="2"/>
      <c r="HN151" s="2"/>
      <c r="HO151" s="2"/>
      <c r="HP151" s="2"/>
      <c r="HQ151" s="2"/>
      <c r="HR151" s="2"/>
      <c r="HS151" s="2"/>
      <c r="HT151" s="2"/>
      <c r="HU151" s="2"/>
      <c r="HV151" s="2"/>
      <c r="HW151" s="2"/>
      <c r="HX151" s="2"/>
      <c r="HY151" s="2"/>
      <c r="HZ151" s="2"/>
      <c r="IA151" s="2"/>
      <c r="IB151" s="2"/>
      <c r="IC151" s="2"/>
      <c r="ID151" s="2"/>
      <c r="IE151" s="2"/>
      <c r="IF151" s="2"/>
      <c r="IG151" s="2"/>
      <c r="IH151" s="2"/>
      <c r="II151" s="2"/>
      <c r="IJ151" s="2"/>
      <c r="IK151" s="2"/>
      <c r="IL151" s="2"/>
      <c r="IM151" s="2"/>
      <c r="IN151" s="2"/>
      <c r="IO151" s="2"/>
      <c r="IP151" s="2"/>
      <c r="IQ151" s="2"/>
      <c r="IR151" s="2"/>
      <c r="IS151" s="2"/>
      <c r="IT151" s="2"/>
      <c r="IU151" s="2"/>
      <c r="IV151" s="2"/>
      <c r="IW151" s="2"/>
      <c r="IX151" s="2"/>
      <c r="IY151" s="2"/>
      <c r="IZ151" s="2"/>
      <c r="JA151" s="2"/>
      <c r="JB151" s="2"/>
      <c r="JC151" s="2"/>
      <c r="JD151" s="2"/>
      <c r="JE151" s="2"/>
      <c r="JF151" s="2"/>
      <c r="JG151" s="2"/>
      <c r="JH151" s="2"/>
      <c r="JI151" s="2"/>
      <c r="JJ151" s="2"/>
      <c r="JK151" s="2"/>
      <c r="JL151" s="2"/>
      <c r="JM151" s="2"/>
      <c r="JN151" s="2"/>
      <c r="JO151" s="2"/>
      <c r="JP151" s="2"/>
      <c r="JQ151" s="2"/>
      <c r="JR151" s="2"/>
      <c r="JS151" s="2"/>
      <c r="JT151" s="2"/>
      <c r="JU151" s="2"/>
      <c r="JV151" s="2"/>
      <c r="JW151" s="2"/>
      <c r="JX151" s="2"/>
      <c r="JY151" s="2"/>
      <c r="JZ151" s="2"/>
      <c r="KA151" s="2"/>
      <c r="KB151" s="2"/>
      <c r="KC151" s="2"/>
      <c r="KD151" s="2"/>
      <c r="KE151" s="2"/>
      <c r="KF151" s="2"/>
      <c r="KG151" s="2"/>
      <c r="KH151" s="2"/>
      <c r="KI151" s="2"/>
      <c r="KJ151" s="2"/>
      <c r="KK151" s="2"/>
      <c r="KL151" s="2"/>
      <c r="KM151" s="2"/>
      <c r="KN151" s="2"/>
      <c r="KO151" s="2"/>
      <c r="KP151" s="2"/>
      <c r="KQ151" s="2"/>
      <c r="KR151" s="2"/>
      <c r="KS151" s="2"/>
      <c r="KT151" s="2"/>
      <c r="KU151" s="2"/>
      <c r="KV151" s="2"/>
      <c r="KW151" s="2"/>
      <c r="KX151" s="2"/>
      <c r="KY151" s="2"/>
      <c r="KZ151" s="2"/>
      <c r="LA151" s="2"/>
      <c r="LB151" s="2"/>
      <c r="LC151" s="2"/>
      <c r="LD151" s="2"/>
      <c r="LE151" s="2"/>
      <c r="LF151" s="2"/>
      <c r="LG151" s="2"/>
      <c r="LH151" s="2"/>
      <c r="LI151" s="2"/>
      <c r="LJ151" s="2"/>
      <c r="LK151" s="2"/>
      <c r="LL151" s="2"/>
      <c r="LM151" s="2"/>
      <c r="LN151" s="2"/>
      <c r="LO151" s="2"/>
      <c r="LP151" s="2"/>
      <c r="LQ151" s="2"/>
      <c r="LR151" s="2"/>
      <c r="LS151" s="2"/>
      <c r="LT151" s="2"/>
      <c r="LU151" s="2"/>
      <c r="LV151" s="2"/>
      <c r="LW151" s="2"/>
      <c r="LX151" s="2"/>
      <c r="LY151" s="2"/>
      <c r="LZ151" s="2"/>
      <c r="MA151" s="2"/>
      <c r="MB151" s="2"/>
      <c r="MC151" s="2"/>
      <c r="MD151" s="2"/>
      <c r="ME151" s="2"/>
      <c r="MF151" s="2"/>
      <c r="MG151" s="2"/>
      <c r="MH151" s="2"/>
      <c r="MI151" s="2"/>
      <c r="MJ151" s="2"/>
      <c r="MK151" s="2"/>
      <c r="ML151" s="2"/>
      <c r="MM151" s="2"/>
      <c r="MN151" s="2"/>
      <c r="MO151" s="2"/>
      <c r="MP151" s="2"/>
      <c r="MQ151" s="2"/>
      <c r="MR151" s="2"/>
      <c r="MS151" s="2"/>
      <c r="MT151" s="2"/>
      <c r="MU151" s="2"/>
      <c r="MV151" s="2"/>
      <c r="MW151" s="2"/>
      <c r="MX151" s="2"/>
      <c r="MY151" s="2"/>
      <c r="MZ151" s="2"/>
      <c r="NA151" s="2"/>
      <c r="NB151" s="2"/>
      <c r="NC151" s="2"/>
      <c r="ND151" s="2"/>
      <c r="NE151" s="2"/>
      <c r="NF151" s="2"/>
      <c r="NG151" s="2"/>
      <c r="NH151" s="2"/>
      <c r="NI151" s="2"/>
      <c r="NJ151" s="2"/>
      <c r="NK151" s="2"/>
      <c r="NL151" s="2"/>
      <c r="NM151" s="2"/>
      <c r="NN151" s="2"/>
      <c r="NO151" s="2"/>
      <c r="NP151" s="2"/>
      <c r="NQ151" s="2"/>
      <c r="NR151" s="2"/>
      <c r="NS151" s="2"/>
      <c r="NT151" s="2"/>
      <c r="NU151" s="2"/>
      <c r="NV151" s="2"/>
      <c r="NW151" s="2"/>
      <c r="NX151" s="2"/>
      <c r="NY151" s="2"/>
      <c r="NZ151" s="2"/>
      <c r="OA151" s="2"/>
      <c r="OB151" s="2"/>
      <c r="OC151" s="2"/>
      <c r="OD151" s="2"/>
      <c r="OE151" s="2"/>
      <c r="OF151" s="2"/>
      <c r="OG151" s="2"/>
      <c r="OH151" s="2"/>
      <c r="OI151" s="2"/>
      <c r="OJ151" s="2"/>
      <c r="OK151" s="2"/>
      <c r="OL151" s="2"/>
      <c r="OM151" s="2"/>
      <c r="ON151" s="2"/>
      <c r="OO151" s="2"/>
      <c r="OP151" s="2"/>
      <c r="OQ151" s="2"/>
      <c r="OR151" s="2"/>
      <c r="OS151" s="2"/>
      <c r="OT151" s="2"/>
      <c r="OU151" s="2"/>
      <c r="OV151" s="2"/>
      <c r="OW151" s="2"/>
      <c r="OX151" s="2"/>
      <c r="OY151" s="2"/>
      <c r="OZ151" s="2"/>
      <c r="PA151" s="2"/>
      <c r="PB151" s="2"/>
      <c r="PC151" s="2"/>
      <c r="PD151" s="2"/>
      <c r="PE151" s="2"/>
      <c r="PF151" s="2"/>
      <c r="PG151" s="2"/>
      <c r="PH151" s="2"/>
      <c r="PI151" s="2"/>
      <c r="PJ151" s="2"/>
      <c r="PK151" s="2"/>
      <c r="PL151" s="2"/>
      <c r="PM151" s="2"/>
      <c r="PN151" s="2"/>
      <c r="PO151" s="2"/>
      <c r="PP151" s="2"/>
      <c r="PQ151" s="2"/>
      <c r="PR151" s="2"/>
      <c r="PS151" s="2"/>
      <c r="PT151" s="2"/>
      <c r="PU151" s="2"/>
      <c r="PV151" s="2"/>
      <c r="PW151" s="2"/>
      <c r="PX151" s="2"/>
      <c r="PY151" s="2"/>
      <c r="PZ151" s="2"/>
      <c r="QA151" s="2"/>
      <c r="QB151" s="2"/>
      <c r="QC151" s="2"/>
      <c r="QD151" s="2"/>
      <c r="QE151" s="2"/>
      <c r="QF151" s="2"/>
      <c r="QG151" s="2"/>
      <c r="QH151" s="2"/>
      <c r="QI151" s="2"/>
      <c r="QJ151" s="2"/>
      <c r="QK151" s="2"/>
      <c r="QL151" s="2"/>
      <c r="QM151" s="2"/>
      <c r="QN151" s="2"/>
      <c r="QO151" s="2"/>
      <c r="QP151" s="2"/>
      <c r="QQ151" s="2"/>
      <c r="QR151" s="2"/>
      <c r="QS151" s="2"/>
      <c r="QT151" s="2"/>
      <c r="QU151" s="2"/>
      <c r="QV151" s="2"/>
      <c r="QW151" s="2"/>
      <c r="QX151" s="2"/>
      <c r="QY151" s="2"/>
      <c r="QZ151" s="2"/>
      <c r="RA151" s="2"/>
      <c r="RB151" s="2"/>
      <c r="RC151" s="2"/>
      <c r="RD151" s="2"/>
      <c r="RE151" s="2"/>
      <c r="RF151" s="2"/>
      <c r="RG151" s="2"/>
      <c r="RH151" s="2"/>
      <c r="RI151" s="2"/>
      <c r="RJ151" s="2"/>
      <c r="RK151" s="2"/>
      <c r="RL151" s="2"/>
      <c r="RM151" s="2"/>
      <c r="RN151" s="2"/>
      <c r="RO151" s="2"/>
      <c r="RP151" s="2"/>
      <c r="RQ151" s="2"/>
      <c r="RR151" s="2"/>
      <c r="RS151" s="2"/>
      <c r="RT151" s="2"/>
      <c r="RU151" s="2"/>
      <c r="RV151" s="2"/>
      <c r="RW151" s="2"/>
      <c r="RX151" s="2"/>
      <c r="RY151" s="2"/>
      <c r="RZ151" s="2"/>
      <c r="SA151" s="2"/>
      <c r="SB151" s="2"/>
      <c r="SC151" s="2"/>
      <c r="SD151" s="2"/>
      <c r="SE151" s="2"/>
      <c r="SF151" s="2"/>
      <c r="SG151" s="2"/>
      <c r="SH151" s="2"/>
      <c r="SI151" s="2"/>
      <c r="SJ151" s="2"/>
      <c r="SK151" s="2"/>
      <c r="SL151" s="2"/>
      <c r="SM151" s="2"/>
      <c r="SN151" s="2"/>
      <c r="SO151" s="2"/>
      <c r="SP151" s="2"/>
      <c r="SQ151" s="2"/>
      <c r="SR151" s="2"/>
      <c r="SS151" s="2"/>
      <c r="ST151" s="2"/>
      <c r="SU151" s="2"/>
      <c r="SV151" s="2"/>
      <c r="SW151" s="2"/>
      <c r="SX151" s="2"/>
    </row>
    <row r="152" spans="33:518" x14ac:dyDescent="0.25"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  <c r="FK152" s="2"/>
      <c r="FL152" s="2"/>
      <c r="FM152" s="2"/>
      <c r="FN152" s="2"/>
      <c r="FO152" s="2"/>
      <c r="FP152" s="2"/>
      <c r="FQ152" s="2"/>
      <c r="FR152" s="2"/>
      <c r="FS152" s="2"/>
      <c r="FT152" s="2"/>
      <c r="FU152" s="2"/>
      <c r="FV152" s="2"/>
      <c r="FW152" s="2"/>
      <c r="FX152" s="2"/>
      <c r="FY152" s="2"/>
      <c r="FZ152" s="2"/>
      <c r="GA152" s="2"/>
      <c r="GB152" s="2"/>
      <c r="GC152" s="2"/>
      <c r="GD152" s="2"/>
      <c r="GE152" s="2"/>
      <c r="GF152" s="2"/>
      <c r="GG152" s="2"/>
      <c r="GH152" s="2"/>
      <c r="GI152" s="2"/>
      <c r="GJ152" s="2"/>
      <c r="GK152" s="2"/>
      <c r="GL152" s="2"/>
      <c r="GM152" s="2"/>
      <c r="GN152" s="2"/>
      <c r="GO152" s="2"/>
      <c r="GP152" s="2"/>
      <c r="GQ152" s="2"/>
      <c r="GR152" s="2"/>
      <c r="GS152" s="2"/>
      <c r="GT152" s="2"/>
      <c r="GU152" s="2"/>
      <c r="GV152" s="2"/>
      <c r="GW152" s="2"/>
      <c r="GX152" s="2"/>
      <c r="GY152" s="2"/>
      <c r="GZ152" s="2"/>
      <c r="HA152" s="2"/>
      <c r="HB152" s="2"/>
      <c r="HC152" s="2"/>
      <c r="HD152" s="2"/>
      <c r="HE152" s="2"/>
      <c r="HF152" s="2"/>
      <c r="HG152" s="2"/>
      <c r="HH152" s="2"/>
      <c r="HI152" s="2"/>
      <c r="HJ152" s="2"/>
      <c r="HK152" s="2"/>
      <c r="HL152" s="2"/>
      <c r="HM152" s="2"/>
      <c r="HN152" s="2"/>
      <c r="HO152" s="2"/>
      <c r="HP152" s="2"/>
      <c r="HQ152" s="2"/>
      <c r="HR152" s="2"/>
      <c r="HS152" s="2"/>
      <c r="HT152" s="2"/>
      <c r="HU152" s="2"/>
      <c r="HV152" s="2"/>
      <c r="HW152" s="2"/>
      <c r="HX152" s="2"/>
      <c r="HY152" s="2"/>
      <c r="HZ152" s="2"/>
      <c r="IA152" s="2"/>
      <c r="IB152" s="2"/>
      <c r="IC152" s="2"/>
      <c r="ID152" s="2"/>
      <c r="IE152" s="2"/>
      <c r="IF152" s="2"/>
      <c r="IG152" s="2"/>
      <c r="IH152" s="2"/>
      <c r="II152" s="2"/>
      <c r="IJ152" s="2"/>
      <c r="IK152" s="2"/>
      <c r="IL152" s="2"/>
      <c r="IM152" s="2"/>
      <c r="IN152" s="2"/>
      <c r="IO152" s="2"/>
      <c r="IP152" s="2"/>
      <c r="IQ152" s="2"/>
      <c r="IR152" s="2"/>
      <c r="IS152" s="2"/>
      <c r="IT152" s="2"/>
      <c r="IU152" s="2"/>
      <c r="IV152" s="2"/>
      <c r="IW152" s="2"/>
      <c r="IX152" s="2"/>
      <c r="IY152" s="2"/>
      <c r="IZ152" s="2"/>
      <c r="JA152" s="2"/>
      <c r="JB152" s="2"/>
      <c r="JC152" s="2"/>
      <c r="JD152" s="2"/>
      <c r="JE152" s="2"/>
      <c r="JF152" s="2"/>
      <c r="JG152" s="2"/>
      <c r="JH152" s="2"/>
      <c r="JI152" s="2"/>
      <c r="JJ152" s="2"/>
      <c r="JK152" s="2"/>
      <c r="JL152" s="2"/>
      <c r="JM152" s="2"/>
      <c r="JN152" s="2"/>
      <c r="JO152" s="2"/>
      <c r="JP152" s="2"/>
      <c r="JQ152" s="2"/>
      <c r="JR152" s="2"/>
      <c r="JS152" s="2"/>
      <c r="JT152" s="2"/>
      <c r="JU152" s="2"/>
      <c r="JV152" s="2"/>
      <c r="JW152" s="2"/>
      <c r="JX152" s="2"/>
      <c r="JY152" s="2"/>
      <c r="JZ152" s="2"/>
      <c r="KA152" s="2"/>
      <c r="KB152" s="2"/>
      <c r="KC152" s="2"/>
      <c r="KD152" s="2"/>
      <c r="KE152" s="2"/>
      <c r="KF152" s="2"/>
      <c r="KG152" s="2"/>
      <c r="KH152" s="2"/>
      <c r="KI152" s="2"/>
      <c r="KJ152" s="2"/>
      <c r="KK152" s="2"/>
      <c r="KL152" s="2"/>
      <c r="KM152" s="2"/>
      <c r="KN152" s="2"/>
      <c r="KO152" s="2"/>
      <c r="KP152" s="2"/>
      <c r="KQ152" s="2"/>
      <c r="KR152" s="2"/>
      <c r="KS152" s="2"/>
      <c r="KT152" s="2"/>
      <c r="KU152" s="2"/>
      <c r="KV152" s="2"/>
      <c r="KW152" s="2"/>
      <c r="KX152" s="2"/>
      <c r="KY152" s="2"/>
      <c r="KZ152" s="2"/>
      <c r="LA152" s="2"/>
      <c r="LB152" s="2"/>
      <c r="LC152" s="2"/>
      <c r="LD152" s="2"/>
      <c r="LE152" s="2"/>
      <c r="LF152" s="2"/>
      <c r="LG152" s="2"/>
      <c r="LH152" s="2"/>
      <c r="LI152" s="2"/>
      <c r="LJ152" s="2"/>
      <c r="LK152" s="2"/>
      <c r="LL152" s="2"/>
      <c r="LM152" s="2"/>
      <c r="LN152" s="2"/>
      <c r="LO152" s="2"/>
      <c r="LP152" s="2"/>
      <c r="LQ152" s="2"/>
      <c r="LR152" s="2"/>
      <c r="LS152" s="2"/>
      <c r="LT152" s="2"/>
      <c r="LU152" s="2"/>
      <c r="LV152" s="2"/>
      <c r="LW152" s="2"/>
      <c r="LX152" s="2"/>
      <c r="LY152" s="2"/>
      <c r="LZ152" s="2"/>
      <c r="MA152" s="2"/>
      <c r="MB152" s="2"/>
      <c r="MC152" s="2"/>
      <c r="MD152" s="2"/>
      <c r="ME152" s="2"/>
      <c r="MF152" s="2"/>
      <c r="MG152" s="2"/>
      <c r="MH152" s="2"/>
      <c r="MI152" s="2"/>
      <c r="MJ152" s="2"/>
      <c r="MK152" s="2"/>
      <c r="ML152" s="2"/>
      <c r="MM152" s="2"/>
      <c r="MN152" s="2"/>
      <c r="MO152" s="2"/>
      <c r="MP152" s="2"/>
      <c r="MQ152" s="2"/>
      <c r="MR152" s="2"/>
      <c r="MS152" s="2"/>
      <c r="MT152" s="2"/>
      <c r="MU152" s="2"/>
      <c r="MV152" s="2"/>
      <c r="MW152" s="2"/>
      <c r="MX152" s="2"/>
      <c r="MY152" s="2"/>
      <c r="MZ152" s="2"/>
      <c r="NA152" s="2"/>
      <c r="NB152" s="2"/>
      <c r="NC152" s="2"/>
      <c r="ND152" s="2"/>
      <c r="NE152" s="2"/>
      <c r="NF152" s="2"/>
      <c r="NG152" s="2"/>
      <c r="NH152" s="2"/>
      <c r="NI152" s="2"/>
      <c r="NJ152" s="2"/>
      <c r="NK152" s="2"/>
      <c r="NL152" s="2"/>
      <c r="NM152" s="2"/>
      <c r="NN152" s="2"/>
      <c r="NO152" s="2"/>
      <c r="NP152" s="2"/>
      <c r="NQ152" s="2"/>
      <c r="NR152" s="2"/>
      <c r="NS152" s="2"/>
      <c r="NT152" s="2"/>
      <c r="NU152" s="2"/>
      <c r="NV152" s="2"/>
      <c r="NW152" s="2"/>
      <c r="NX152" s="2"/>
      <c r="NY152" s="2"/>
      <c r="NZ152" s="2"/>
      <c r="OA152" s="2"/>
      <c r="OB152" s="2"/>
      <c r="OC152" s="2"/>
      <c r="OD152" s="2"/>
      <c r="OE152" s="2"/>
      <c r="OF152" s="2"/>
      <c r="OG152" s="2"/>
      <c r="OH152" s="2"/>
      <c r="OI152" s="2"/>
      <c r="OJ152" s="2"/>
      <c r="OK152" s="2"/>
      <c r="OL152" s="2"/>
      <c r="OM152" s="2"/>
      <c r="ON152" s="2"/>
      <c r="OO152" s="2"/>
      <c r="OP152" s="2"/>
      <c r="OQ152" s="2"/>
      <c r="OR152" s="2"/>
      <c r="OS152" s="2"/>
      <c r="OT152" s="2"/>
      <c r="OU152" s="2"/>
      <c r="OV152" s="2"/>
      <c r="OW152" s="2"/>
      <c r="OX152" s="2"/>
      <c r="OY152" s="2"/>
      <c r="OZ152" s="2"/>
      <c r="PA152" s="2"/>
      <c r="PB152" s="2"/>
      <c r="PC152" s="2"/>
      <c r="PD152" s="2"/>
      <c r="PE152" s="2"/>
      <c r="PF152" s="2"/>
      <c r="PG152" s="2"/>
      <c r="PH152" s="2"/>
      <c r="PI152" s="2"/>
      <c r="PJ152" s="2"/>
      <c r="PK152" s="2"/>
      <c r="PL152" s="2"/>
      <c r="PM152" s="2"/>
      <c r="PN152" s="2"/>
      <c r="PO152" s="2"/>
      <c r="PP152" s="2"/>
      <c r="PQ152" s="2"/>
      <c r="PR152" s="2"/>
      <c r="PS152" s="2"/>
      <c r="PT152" s="2"/>
      <c r="PU152" s="2"/>
      <c r="PV152" s="2"/>
      <c r="PW152" s="2"/>
      <c r="PX152" s="2"/>
      <c r="PY152" s="2"/>
      <c r="PZ152" s="2"/>
      <c r="QA152" s="2"/>
      <c r="QB152" s="2"/>
      <c r="QC152" s="2"/>
      <c r="QD152" s="2"/>
      <c r="QE152" s="2"/>
      <c r="QF152" s="2"/>
      <c r="QG152" s="2"/>
      <c r="QH152" s="2"/>
      <c r="QI152" s="2"/>
      <c r="QJ152" s="2"/>
      <c r="QK152" s="2"/>
      <c r="QL152" s="2"/>
      <c r="QM152" s="2"/>
      <c r="QN152" s="2"/>
      <c r="QO152" s="2"/>
      <c r="QP152" s="2"/>
      <c r="QQ152" s="2"/>
      <c r="QR152" s="2"/>
      <c r="QS152" s="2"/>
      <c r="QT152" s="2"/>
      <c r="QU152" s="2"/>
      <c r="QV152" s="2"/>
      <c r="QW152" s="2"/>
      <c r="QX152" s="2"/>
      <c r="QY152" s="2"/>
      <c r="QZ152" s="2"/>
      <c r="RA152" s="2"/>
      <c r="RB152" s="2"/>
      <c r="RC152" s="2"/>
      <c r="RD152" s="2"/>
      <c r="RE152" s="2"/>
      <c r="RF152" s="2"/>
      <c r="RG152" s="2"/>
      <c r="RH152" s="2"/>
      <c r="RI152" s="2"/>
      <c r="RJ152" s="2"/>
      <c r="RK152" s="2"/>
      <c r="RL152" s="2"/>
      <c r="RM152" s="2"/>
      <c r="RN152" s="2"/>
      <c r="RO152" s="2"/>
      <c r="RP152" s="2"/>
      <c r="RQ152" s="2"/>
      <c r="RR152" s="2"/>
      <c r="RS152" s="2"/>
      <c r="RT152" s="2"/>
      <c r="RU152" s="2"/>
      <c r="RV152" s="2"/>
      <c r="RW152" s="2"/>
      <c r="RX152" s="2"/>
      <c r="RY152" s="2"/>
      <c r="RZ152" s="2"/>
      <c r="SA152" s="2"/>
      <c r="SB152" s="2"/>
      <c r="SC152" s="2"/>
      <c r="SD152" s="2"/>
      <c r="SE152" s="2"/>
      <c r="SF152" s="2"/>
      <c r="SG152" s="2"/>
      <c r="SH152" s="2"/>
      <c r="SI152" s="2"/>
      <c r="SJ152" s="2"/>
      <c r="SK152" s="2"/>
      <c r="SL152" s="2"/>
      <c r="SM152" s="2"/>
      <c r="SN152" s="2"/>
      <c r="SO152" s="2"/>
      <c r="SP152" s="2"/>
      <c r="SQ152" s="2"/>
      <c r="SR152" s="2"/>
      <c r="SS152" s="2"/>
      <c r="ST152" s="2"/>
      <c r="SU152" s="2"/>
      <c r="SV152" s="2"/>
      <c r="SW152" s="2"/>
      <c r="SX152" s="2"/>
    </row>
    <row r="153" spans="33:518" x14ac:dyDescent="0.25"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  <c r="FK153" s="2"/>
      <c r="FL153" s="2"/>
      <c r="FM153" s="2"/>
      <c r="FN153" s="2"/>
      <c r="FO153" s="2"/>
      <c r="FP153" s="2"/>
      <c r="FQ153" s="2"/>
      <c r="FR153" s="2"/>
      <c r="FS153" s="2"/>
      <c r="FT153" s="2"/>
      <c r="FU153" s="2"/>
      <c r="FV153" s="2"/>
      <c r="FW153" s="2"/>
      <c r="FX153" s="2"/>
      <c r="FY153" s="2"/>
      <c r="FZ153" s="2"/>
      <c r="GA153" s="2"/>
      <c r="GB153" s="2"/>
      <c r="GC153" s="2"/>
      <c r="GD153" s="2"/>
      <c r="GE153" s="2"/>
      <c r="GF153" s="2"/>
      <c r="GG153" s="2"/>
      <c r="GH153" s="2"/>
      <c r="GI153" s="2"/>
      <c r="GJ153" s="2"/>
      <c r="GK153" s="2"/>
      <c r="GL153" s="2"/>
      <c r="GM153" s="2"/>
      <c r="GN153" s="2"/>
      <c r="GO153" s="2"/>
      <c r="GP153" s="2"/>
      <c r="GQ153" s="2"/>
      <c r="GR153" s="2"/>
      <c r="GS153" s="2"/>
      <c r="GT153" s="2"/>
      <c r="GU153" s="2"/>
      <c r="GV153" s="2"/>
      <c r="GW153" s="2"/>
      <c r="GX153" s="2"/>
      <c r="GY153" s="2"/>
      <c r="GZ153" s="2"/>
      <c r="HA153" s="2"/>
      <c r="HB153" s="2"/>
      <c r="HC153" s="2"/>
      <c r="HD153" s="2"/>
      <c r="HE153" s="2"/>
      <c r="HF153" s="2"/>
      <c r="HG153" s="2"/>
      <c r="HH153" s="2"/>
      <c r="HI153" s="2"/>
      <c r="HJ153" s="2"/>
      <c r="HK153" s="2"/>
      <c r="HL153" s="2"/>
      <c r="HM153" s="2"/>
      <c r="HN153" s="2"/>
      <c r="HO153" s="2"/>
      <c r="HP153" s="2"/>
      <c r="HQ153" s="2"/>
      <c r="HR153" s="2"/>
      <c r="HS153" s="2"/>
      <c r="HT153" s="2"/>
      <c r="HU153" s="2"/>
      <c r="HV153" s="2"/>
      <c r="HW153" s="2"/>
      <c r="HX153" s="2"/>
      <c r="HY153" s="2"/>
      <c r="HZ153" s="2"/>
      <c r="IA153" s="2"/>
      <c r="IB153" s="2"/>
      <c r="IC153" s="2"/>
      <c r="ID153" s="2"/>
      <c r="IE153" s="2"/>
      <c r="IF153" s="2"/>
      <c r="IG153" s="2"/>
      <c r="IH153" s="2"/>
      <c r="II153" s="2"/>
      <c r="IJ153" s="2"/>
      <c r="IK153" s="2"/>
      <c r="IL153" s="2"/>
      <c r="IM153" s="2"/>
      <c r="IN153" s="2"/>
      <c r="IO153" s="2"/>
      <c r="IP153" s="2"/>
      <c r="IQ153" s="2"/>
      <c r="IR153" s="2"/>
      <c r="IS153" s="2"/>
      <c r="IT153" s="2"/>
      <c r="IU153" s="2"/>
      <c r="IV153" s="2"/>
      <c r="IW153" s="2"/>
      <c r="IX153" s="2"/>
      <c r="IY153" s="2"/>
      <c r="IZ153" s="2"/>
      <c r="JA153" s="2"/>
      <c r="JB153" s="2"/>
      <c r="JC153" s="2"/>
      <c r="JD153" s="2"/>
      <c r="JE153" s="2"/>
      <c r="JF153" s="2"/>
      <c r="JG153" s="2"/>
      <c r="JH153" s="2"/>
      <c r="JI153" s="2"/>
      <c r="JJ153" s="2"/>
      <c r="JK153" s="2"/>
      <c r="JL153" s="2"/>
      <c r="JM153" s="2"/>
      <c r="JN153" s="2"/>
      <c r="JO153" s="2"/>
      <c r="JP153" s="2"/>
      <c r="JQ153" s="2"/>
      <c r="JR153" s="2"/>
      <c r="JS153" s="2"/>
      <c r="JT153" s="2"/>
      <c r="JU153" s="2"/>
      <c r="JV153" s="2"/>
      <c r="JW153" s="2"/>
      <c r="JX153" s="2"/>
      <c r="JY153" s="2"/>
      <c r="JZ153" s="2"/>
      <c r="KA153" s="2"/>
      <c r="KB153" s="2"/>
      <c r="KC153" s="2"/>
      <c r="KD153" s="2"/>
      <c r="KE153" s="2"/>
      <c r="KF153" s="2"/>
      <c r="KG153" s="2"/>
      <c r="KH153" s="2"/>
      <c r="KI153" s="2"/>
      <c r="KJ153" s="2"/>
      <c r="KK153" s="2"/>
      <c r="KL153" s="2"/>
      <c r="KM153" s="2"/>
      <c r="KN153" s="2"/>
      <c r="KO153" s="2"/>
      <c r="KP153" s="2"/>
      <c r="KQ153" s="2"/>
      <c r="KR153" s="2"/>
      <c r="KS153" s="2"/>
      <c r="KT153" s="2"/>
      <c r="KU153" s="2"/>
      <c r="KV153" s="2"/>
      <c r="KW153" s="2"/>
      <c r="KX153" s="2"/>
      <c r="KY153" s="2"/>
      <c r="KZ153" s="2"/>
      <c r="LA153" s="2"/>
      <c r="LB153" s="2"/>
      <c r="LC153" s="2"/>
      <c r="LD153" s="2"/>
      <c r="LE153" s="2"/>
      <c r="LF153" s="2"/>
      <c r="LG153" s="2"/>
      <c r="LH153" s="2"/>
      <c r="LI153" s="2"/>
      <c r="LJ153" s="2"/>
      <c r="LK153" s="2"/>
      <c r="LL153" s="2"/>
      <c r="LM153" s="2"/>
      <c r="LN153" s="2"/>
      <c r="LO153" s="2"/>
      <c r="LP153" s="2"/>
      <c r="LQ153" s="2"/>
      <c r="LR153" s="2"/>
      <c r="LS153" s="2"/>
      <c r="LT153" s="2"/>
      <c r="LU153" s="2"/>
      <c r="LV153" s="2"/>
      <c r="LW153" s="2"/>
      <c r="LX153" s="2"/>
      <c r="LY153" s="2"/>
      <c r="LZ153" s="2"/>
      <c r="MA153" s="2"/>
      <c r="MB153" s="2"/>
      <c r="MC153" s="2"/>
      <c r="MD153" s="2"/>
      <c r="ME153" s="2"/>
      <c r="MF153" s="2"/>
      <c r="MG153" s="2"/>
      <c r="MH153" s="2"/>
      <c r="MI153" s="2"/>
      <c r="MJ153" s="2"/>
      <c r="MK153" s="2"/>
      <c r="ML153" s="2"/>
      <c r="MM153" s="2"/>
      <c r="MN153" s="2"/>
      <c r="MO153" s="2"/>
      <c r="MP153" s="2"/>
      <c r="MQ153" s="2"/>
      <c r="MR153" s="2"/>
      <c r="MS153" s="2"/>
      <c r="MT153" s="2"/>
      <c r="MU153" s="2"/>
      <c r="MV153" s="2"/>
      <c r="MW153" s="2"/>
      <c r="MX153" s="2"/>
      <c r="MY153" s="2"/>
      <c r="MZ153" s="2"/>
      <c r="NA153" s="2"/>
      <c r="NB153" s="2"/>
      <c r="NC153" s="2"/>
      <c r="ND153" s="2"/>
      <c r="NE153" s="2"/>
      <c r="NF153" s="2"/>
      <c r="NG153" s="2"/>
      <c r="NH153" s="2"/>
      <c r="NI153" s="2"/>
      <c r="NJ153" s="2"/>
      <c r="NK153" s="2"/>
      <c r="NL153" s="2"/>
      <c r="NM153" s="2"/>
      <c r="NN153" s="2"/>
      <c r="NO153" s="2"/>
      <c r="NP153" s="2"/>
      <c r="NQ153" s="2"/>
      <c r="NR153" s="2"/>
      <c r="NS153" s="2"/>
      <c r="NT153" s="2"/>
      <c r="NU153" s="2"/>
      <c r="NV153" s="2"/>
      <c r="NW153" s="2"/>
      <c r="NX153" s="2"/>
      <c r="NY153" s="2"/>
      <c r="NZ153" s="2"/>
      <c r="OA153" s="2"/>
      <c r="OB153" s="2"/>
      <c r="OC153" s="2"/>
      <c r="OD153" s="2"/>
      <c r="OE153" s="2"/>
      <c r="OF153" s="2"/>
      <c r="OG153" s="2"/>
      <c r="OH153" s="2"/>
      <c r="OI153" s="2"/>
      <c r="OJ153" s="2"/>
      <c r="OK153" s="2"/>
      <c r="OL153" s="2"/>
      <c r="OM153" s="2"/>
      <c r="ON153" s="2"/>
      <c r="OO153" s="2"/>
      <c r="OP153" s="2"/>
      <c r="OQ153" s="2"/>
      <c r="OR153" s="2"/>
      <c r="OS153" s="2"/>
      <c r="OT153" s="2"/>
      <c r="OU153" s="2"/>
      <c r="OV153" s="2"/>
      <c r="OW153" s="2"/>
      <c r="OX153" s="2"/>
      <c r="OY153" s="2"/>
      <c r="OZ153" s="2"/>
      <c r="PA153" s="2"/>
      <c r="PB153" s="2"/>
      <c r="PC153" s="2"/>
      <c r="PD153" s="2"/>
      <c r="PE153" s="2"/>
      <c r="PF153" s="2"/>
      <c r="PG153" s="2"/>
      <c r="PH153" s="2"/>
      <c r="PI153" s="2"/>
      <c r="PJ153" s="2"/>
      <c r="PK153" s="2"/>
      <c r="PL153" s="2"/>
      <c r="PM153" s="2"/>
      <c r="PN153" s="2"/>
      <c r="PO153" s="2"/>
      <c r="PP153" s="2"/>
      <c r="PQ153" s="2"/>
      <c r="PR153" s="2"/>
      <c r="PS153" s="2"/>
      <c r="PT153" s="2"/>
      <c r="PU153" s="2"/>
      <c r="PV153" s="2"/>
      <c r="PW153" s="2"/>
      <c r="PX153" s="2"/>
      <c r="PY153" s="2"/>
      <c r="PZ153" s="2"/>
      <c r="QA153" s="2"/>
      <c r="QB153" s="2"/>
      <c r="QC153" s="2"/>
      <c r="QD153" s="2"/>
      <c r="QE153" s="2"/>
      <c r="QF153" s="2"/>
      <c r="QG153" s="2"/>
      <c r="QH153" s="2"/>
      <c r="QI153" s="2"/>
      <c r="QJ153" s="2"/>
      <c r="QK153" s="2"/>
      <c r="QL153" s="2"/>
      <c r="QM153" s="2"/>
      <c r="QN153" s="2"/>
      <c r="QO153" s="2"/>
      <c r="QP153" s="2"/>
      <c r="QQ153" s="2"/>
      <c r="QR153" s="2"/>
      <c r="QS153" s="2"/>
      <c r="QT153" s="2"/>
      <c r="QU153" s="2"/>
      <c r="QV153" s="2"/>
      <c r="QW153" s="2"/>
      <c r="QX153" s="2"/>
      <c r="QY153" s="2"/>
      <c r="QZ153" s="2"/>
      <c r="RA153" s="2"/>
      <c r="RB153" s="2"/>
      <c r="RC153" s="2"/>
      <c r="RD153" s="2"/>
      <c r="RE153" s="2"/>
      <c r="RF153" s="2"/>
      <c r="RG153" s="2"/>
      <c r="RH153" s="2"/>
      <c r="RI153" s="2"/>
      <c r="RJ153" s="2"/>
      <c r="RK153" s="2"/>
      <c r="RL153" s="2"/>
      <c r="RM153" s="2"/>
      <c r="RN153" s="2"/>
      <c r="RO153" s="2"/>
      <c r="RP153" s="2"/>
      <c r="RQ153" s="2"/>
      <c r="RR153" s="2"/>
      <c r="RS153" s="2"/>
      <c r="RT153" s="2"/>
      <c r="RU153" s="2"/>
      <c r="RV153" s="2"/>
      <c r="RW153" s="2"/>
      <c r="RX153" s="2"/>
      <c r="RY153" s="2"/>
      <c r="RZ153" s="2"/>
      <c r="SA153" s="2"/>
      <c r="SB153" s="2"/>
      <c r="SC153" s="2"/>
      <c r="SD153" s="2"/>
      <c r="SE153" s="2"/>
      <c r="SF153" s="2"/>
      <c r="SG153" s="2"/>
      <c r="SH153" s="2"/>
      <c r="SI153" s="2"/>
      <c r="SJ153" s="2"/>
      <c r="SK153" s="2"/>
      <c r="SL153" s="2"/>
      <c r="SM153" s="2"/>
      <c r="SN153" s="2"/>
      <c r="SO153" s="2"/>
      <c r="SP153" s="2"/>
      <c r="SQ153" s="2"/>
      <c r="SR153" s="2"/>
      <c r="SS153" s="2"/>
      <c r="ST153" s="2"/>
      <c r="SU153" s="2"/>
      <c r="SV153" s="2"/>
      <c r="SW153" s="2"/>
      <c r="SX153" s="2"/>
    </row>
    <row r="154" spans="33:518" x14ac:dyDescent="0.25"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  <c r="FK154" s="2"/>
      <c r="FL154" s="2"/>
      <c r="FM154" s="2"/>
      <c r="FN154" s="2"/>
      <c r="FO154" s="2"/>
      <c r="FP154" s="2"/>
      <c r="FQ154" s="2"/>
      <c r="FR154" s="2"/>
      <c r="FS154" s="2"/>
      <c r="FT154" s="2"/>
      <c r="FU154" s="2"/>
      <c r="FV154" s="2"/>
      <c r="FW154" s="2"/>
      <c r="FX154" s="2"/>
      <c r="FY154" s="2"/>
      <c r="FZ154" s="2"/>
      <c r="GA154" s="2"/>
      <c r="GB154" s="2"/>
      <c r="GC154" s="2"/>
      <c r="GD154" s="2"/>
      <c r="GE154" s="2"/>
      <c r="GF154" s="2"/>
      <c r="GG154" s="2"/>
      <c r="GH154" s="2"/>
      <c r="GI154" s="2"/>
      <c r="GJ154" s="2"/>
      <c r="GK154" s="2"/>
      <c r="GL154" s="2"/>
      <c r="GM154" s="2"/>
      <c r="GN154" s="2"/>
      <c r="GO154" s="2"/>
      <c r="GP154" s="2"/>
      <c r="GQ154" s="2"/>
      <c r="GR154" s="2"/>
      <c r="GS154" s="2"/>
      <c r="GT154" s="2"/>
      <c r="GU154" s="2"/>
      <c r="GV154" s="2"/>
      <c r="GW154" s="2"/>
      <c r="GX154" s="2"/>
      <c r="GY154" s="2"/>
      <c r="GZ154" s="2"/>
      <c r="HA154" s="2"/>
      <c r="HB154" s="2"/>
      <c r="HC154" s="2"/>
      <c r="HD154" s="2"/>
      <c r="HE154" s="2"/>
      <c r="HF154" s="2"/>
      <c r="HG154" s="2"/>
      <c r="HH154" s="2"/>
      <c r="HI154" s="2"/>
      <c r="HJ154" s="2"/>
      <c r="HK154" s="2"/>
      <c r="HL154" s="2"/>
      <c r="HM154" s="2"/>
      <c r="HN154" s="2"/>
      <c r="HO154" s="2"/>
      <c r="HP154" s="2"/>
      <c r="HQ154" s="2"/>
      <c r="HR154" s="2"/>
      <c r="HS154" s="2"/>
      <c r="HT154" s="2"/>
      <c r="HU154" s="2"/>
      <c r="HV154" s="2"/>
      <c r="HW154" s="2"/>
      <c r="HX154" s="2"/>
      <c r="HY154" s="2"/>
      <c r="HZ154" s="2"/>
      <c r="IA154" s="2"/>
      <c r="IB154" s="2"/>
      <c r="IC154" s="2"/>
      <c r="ID154" s="2"/>
      <c r="IE154" s="2"/>
      <c r="IF154" s="2"/>
      <c r="IG154" s="2"/>
      <c r="IH154" s="2"/>
      <c r="II154" s="2"/>
      <c r="IJ154" s="2"/>
      <c r="IK154" s="2"/>
      <c r="IL154" s="2"/>
      <c r="IM154" s="2"/>
      <c r="IN154" s="2"/>
      <c r="IO154" s="2"/>
      <c r="IP154" s="2"/>
      <c r="IQ154" s="2"/>
      <c r="IR154" s="2"/>
      <c r="IS154" s="2"/>
      <c r="IT154" s="2"/>
      <c r="IU154" s="2"/>
      <c r="IV154" s="2"/>
      <c r="IW154" s="2"/>
      <c r="IX154" s="2"/>
      <c r="IY154" s="2"/>
      <c r="IZ154" s="2"/>
      <c r="JA154" s="2"/>
      <c r="JB154" s="2"/>
      <c r="JC154" s="2"/>
      <c r="JD154" s="2"/>
      <c r="JE154" s="2"/>
      <c r="JF154" s="2"/>
      <c r="JG154" s="2"/>
      <c r="JH154" s="2"/>
      <c r="JI154" s="2"/>
      <c r="JJ154" s="2"/>
      <c r="JK154" s="2"/>
      <c r="JL154" s="2"/>
      <c r="JM154" s="2"/>
      <c r="JN154" s="2"/>
      <c r="JO154" s="2"/>
      <c r="JP154" s="2"/>
      <c r="JQ154" s="2"/>
      <c r="JR154" s="2"/>
      <c r="JS154" s="2"/>
      <c r="JT154" s="2"/>
      <c r="JU154" s="2"/>
      <c r="JV154" s="2"/>
      <c r="JW154" s="2"/>
      <c r="JX154" s="2"/>
      <c r="JY154" s="2"/>
      <c r="JZ154" s="2"/>
      <c r="KA154" s="2"/>
      <c r="KB154" s="2"/>
      <c r="KC154" s="2"/>
      <c r="KD154" s="2"/>
      <c r="KE154" s="2"/>
      <c r="KF154" s="2"/>
      <c r="KG154" s="2"/>
      <c r="KH154" s="2"/>
      <c r="KI154" s="2"/>
      <c r="KJ154" s="2"/>
      <c r="KK154" s="2"/>
      <c r="KL154" s="2"/>
      <c r="KM154" s="2"/>
      <c r="KN154" s="2"/>
      <c r="KO154" s="2"/>
      <c r="KP154" s="2"/>
      <c r="KQ154" s="2"/>
      <c r="KR154" s="2"/>
      <c r="KS154" s="2"/>
      <c r="KT154" s="2"/>
      <c r="KU154" s="2"/>
      <c r="KV154" s="2"/>
      <c r="KW154" s="2"/>
      <c r="KX154" s="2"/>
      <c r="KY154" s="2"/>
      <c r="KZ154" s="2"/>
      <c r="LA154" s="2"/>
      <c r="LB154" s="2"/>
      <c r="LC154" s="2"/>
      <c r="LD154" s="2"/>
      <c r="LE154" s="2"/>
      <c r="LF154" s="2"/>
      <c r="LG154" s="2"/>
      <c r="LH154" s="2"/>
      <c r="LI154" s="2"/>
      <c r="LJ154" s="2"/>
      <c r="LK154" s="2"/>
      <c r="LL154" s="2"/>
      <c r="LM154" s="2"/>
      <c r="LN154" s="2"/>
      <c r="LO154" s="2"/>
      <c r="LP154" s="2"/>
      <c r="LQ154" s="2"/>
      <c r="LR154" s="2"/>
      <c r="LS154" s="2"/>
      <c r="LT154" s="2"/>
      <c r="LU154" s="2"/>
      <c r="LV154" s="2"/>
      <c r="LW154" s="2"/>
      <c r="LX154" s="2"/>
      <c r="LY154" s="2"/>
      <c r="LZ154" s="2"/>
      <c r="MA154" s="2"/>
      <c r="MB154" s="2"/>
      <c r="MC154" s="2"/>
      <c r="MD154" s="2"/>
      <c r="ME154" s="2"/>
      <c r="MF154" s="2"/>
      <c r="MG154" s="2"/>
      <c r="MH154" s="2"/>
      <c r="MI154" s="2"/>
      <c r="MJ154" s="2"/>
      <c r="MK154" s="2"/>
      <c r="ML154" s="2"/>
      <c r="MM154" s="2"/>
      <c r="MN154" s="2"/>
      <c r="MO154" s="2"/>
      <c r="MP154" s="2"/>
      <c r="MQ154" s="2"/>
      <c r="MR154" s="2"/>
      <c r="MS154" s="2"/>
      <c r="MT154" s="2"/>
      <c r="MU154" s="2"/>
      <c r="MV154" s="2"/>
      <c r="MW154" s="2"/>
      <c r="MX154" s="2"/>
      <c r="MY154" s="2"/>
      <c r="MZ154" s="2"/>
      <c r="NA154" s="2"/>
      <c r="NB154" s="2"/>
      <c r="NC154" s="2"/>
      <c r="ND154" s="2"/>
      <c r="NE154" s="2"/>
      <c r="NF154" s="2"/>
      <c r="NG154" s="2"/>
      <c r="NH154" s="2"/>
      <c r="NI154" s="2"/>
      <c r="NJ154" s="2"/>
      <c r="NK154" s="2"/>
      <c r="NL154" s="2"/>
      <c r="NM154" s="2"/>
      <c r="NN154" s="2"/>
      <c r="NO154" s="2"/>
      <c r="NP154" s="2"/>
      <c r="NQ154" s="2"/>
      <c r="NR154" s="2"/>
      <c r="NS154" s="2"/>
      <c r="NT154" s="2"/>
      <c r="NU154" s="2"/>
      <c r="NV154" s="2"/>
      <c r="NW154" s="2"/>
      <c r="NX154" s="2"/>
      <c r="NY154" s="2"/>
      <c r="NZ154" s="2"/>
      <c r="OA154" s="2"/>
      <c r="OB154" s="2"/>
      <c r="OC154" s="2"/>
      <c r="OD154" s="2"/>
      <c r="OE154" s="2"/>
      <c r="OF154" s="2"/>
      <c r="OG154" s="2"/>
      <c r="OH154" s="2"/>
      <c r="OI154" s="2"/>
      <c r="OJ154" s="2"/>
      <c r="OK154" s="2"/>
      <c r="OL154" s="2"/>
      <c r="OM154" s="2"/>
      <c r="ON154" s="2"/>
      <c r="OO154" s="2"/>
      <c r="OP154" s="2"/>
      <c r="OQ154" s="2"/>
      <c r="OR154" s="2"/>
      <c r="OS154" s="2"/>
      <c r="OT154" s="2"/>
      <c r="OU154" s="2"/>
      <c r="OV154" s="2"/>
      <c r="OW154" s="2"/>
      <c r="OX154" s="2"/>
      <c r="OY154" s="2"/>
      <c r="OZ154" s="2"/>
      <c r="PA154" s="2"/>
      <c r="PB154" s="2"/>
      <c r="PC154" s="2"/>
      <c r="PD154" s="2"/>
      <c r="PE154" s="2"/>
      <c r="PF154" s="2"/>
      <c r="PG154" s="2"/>
      <c r="PH154" s="2"/>
      <c r="PI154" s="2"/>
      <c r="PJ154" s="2"/>
      <c r="PK154" s="2"/>
      <c r="PL154" s="2"/>
      <c r="PM154" s="2"/>
      <c r="PN154" s="2"/>
      <c r="PO154" s="2"/>
      <c r="PP154" s="2"/>
      <c r="PQ154" s="2"/>
      <c r="PR154" s="2"/>
      <c r="PS154" s="2"/>
      <c r="PT154" s="2"/>
      <c r="PU154" s="2"/>
      <c r="PV154" s="2"/>
      <c r="PW154" s="2"/>
      <c r="PX154" s="2"/>
      <c r="PY154" s="2"/>
      <c r="PZ154" s="2"/>
      <c r="QA154" s="2"/>
      <c r="QB154" s="2"/>
      <c r="QC154" s="2"/>
      <c r="QD154" s="2"/>
      <c r="QE154" s="2"/>
      <c r="QF154" s="2"/>
      <c r="QG154" s="2"/>
      <c r="QH154" s="2"/>
      <c r="QI154" s="2"/>
      <c r="QJ154" s="2"/>
      <c r="QK154" s="2"/>
      <c r="QL154" s="2"/>
      <c r="QM154" s="2"/>
      <c r="QN154" s="2"/>
      <c r="QO154" s="2"/>
      <c r="QP154" s="2"/>
      <c r="QQ154" s="2"/>
      <c r="QR154" s="2"/>
      <c r="QS154" s="2"/>
      <c r="QT154" s="2"/>
      <c r="QU154" s="2"/>
      <c r="QV154" s="2"/>
      <c r="QW154" s="2"/>
      <c r="QX154" s="2"/>
      <c r="QY154" s="2"/>
      <c r="QZ154" s="2"/>
      <c r="RA154" s="2"/>
      <c r="RB154" s="2"/>
      <c r="RC154" s="2"/>
      <c r="RD154" s="2"/>
      <c r="RE154" s="2"/>
      <c r="RF154" s="2"/>
      <c r="RG154" s="2"/>
      <c r="RH154" s="2"/>
      <c r="RI154" s="2"/>
      <c r="RJ154" s="2"/>
      <c r="RK154" s="2"/>
      <c r="RL154" s="2"/>
      <c r="RM154" s="2"/>
      <c r="RN154" s="2"/>
      <c r="RO154" s="2"/>
      <c r="RP154" s="2"/>
      <c r="RQ154" s="2"/>
      <c r="RR154" s="2"/>
      <c r="RS154" s="2"/>
      <c r="RT154" s="2"/>
      <c r="RU154" s="2"/>
      <c r="RV154" s="2"/>
      <c r="RW154" s="2"/>
      <c r="RX154" s="2"/>
      <c r="RY154" s="2"/>
      <c r="RZ154" s="2"/>
      <c r="SA154" s="2"/>
      <c r="SB154" s="2"/>
      <c r="SC154" s="2"/>
      <c r="SD154" s="2"/>
      <c r="SE154" s="2"/>
      <c r="SF154" s="2"/>
      <c r="SG154" s="2"/>
      <c r="SH154" s="2"/>
      <c r="SI154" s="2"/>
      <c r="SJ154" s="2"/>
      <c r="SK154" s="2"/>
      <c r="SL154" s="2"/>
      <c r="SM154" s="2"/>
      <c r="SN154" s="2"/>
      <c r="SO154" s="2"/>
      <c r="SP154" s="2"/>
      <c r="SQ154" s="2"/>
      <c r="SR154" s="2"/>
      <c r="SS154" s="2"/>
      <c r="ST154" s="2"/>
      <c r="SU154" s="2"/>
      <c r="SV154" s="2"/>
      <c r="SW154" s="2"/>
      <c r="SX154" s="2"/>
    </row>
    <row r="155" spans="33:518" x14ac:dyDescent="0.25"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  <c r="FK155" s="2"/>
      <c r="FL155" s="2"/>
      <c r="FM155" s="2"/>
      <c r="FN155" s="2"/>
      <c r="FO155" s="2"/>
      <c r="FP155" s="2"/>
      <c r="FQ155" s="2"/>
      <c r="FR155" s="2"/>
      <c r="FS155" s="2"/>
      <c r="FT155" s="2"/>
      <c r="FU155" s="2"/>
      <c r="FV155" s="2"/>
      <c r="FW155" s="2"/>
      <c r="FX155" s="2"/>
      <c r="FY155" s="2"/>
      <c r="FZ155" s="2"/>
      <c r="GA155" s="2"/>
      <c r="GB155" s="2"/>
      <c r="GC155" s="2"/>
      <c r="GD155" s="2"/>
      <c r="GE155" s="2"/>
      <c r="GF155" s="2"/>
      <c r="GG155" s="2"/>
      <c r="GH155" s="2"/>
      <c r="GI155" s="2"/>
      <c r="GJ155" s="2"/>
      <c r="GK155" s="2"/>
      <c r="GL155" s="2"/>
      <c r="GM155" s="2"/>
      <c r="GN155" s="2"/>
      <c r="GO155" s="2"/>
      <c r="GP155" s="2"/>
      <c r="GQ155" s="2"/>
      <c r="GR155" s="2"/>
      <c r="GS155" s="2"/>
      <c r="GT155" s="2"/>
      <c r="GU155" s="2"/>
      <c r="GV155" s="2"/>
      <c r="GW155" s="2"/>
      <c r="GX155" s="2"/>
      <c r="GY155" s="2"/>
      <c r="GZ155" s="2"/>
      <c r="HA155" s="2"/>
      <c r="HB155" s="2"/>
      <c r="HC155" s="2"/>
      <c r="HD155" s="2"/>
      <c r="HE155" s="2"/>
      <c r="HF155" s="2"/>
      <c r="HG155" s="2"/>
      <c r="HH155" s="2"/>
      <c r="HI155" s="2"/>
      <c r="HJ155" s="2"/>
      <c r="HK155" s="2"/>
      <c r="HL155" s="2"/>
      <c r="HM155" s="2"/>
      <c r="HN155" s="2"/>
      <c r="HO155" s="2"/>
      <c r="HP155" s="2"/>
      <c r="HQ155" s="2"/>
      <c r="HR155" s="2"/>
      <c r="HS155" s="2"/>
      <c r="HT155" s="2"/>
      <c r="HU155" s="2"/>
      <c r="HV155" s="2"/>
      <c r="HW155" s="2"/>
      <c r="HX155" s="2"/>
      <c r="HY155" s="2"/>
      <c r="HZ155" s="2"/>
      <c r="IA155" s="2"/>
      <c r="IB155" s="2"/>
      <c r="IC155" s="2"/>
      <c r="ID155" s="2"/>
      <c r="IE155" s="2"/>
      <c r="IF155" s="2"/>
      <c r="IG155" s="2"/>
      <c r="IH155" s="2"/>
      <c r="II155" s="2"/>
      <c r="IJ155" s="2"/>
      <c r="IK155" s="2"/>
      <c r="IL155" s="2"/>
      <c r="IM155" s="2"/>
      <c r="IN155" s="2"/>
      <c r="IO155" s="2"/>
      <c r="IP155" s="2"/>
      <c r="IQ155" s="2"/>
      <c r="IR155" s="2"/>
      <c r="IS155" s="2"/>
      <c r="IT155" s="2"/>
      <c r="IU155" s="2"/>
      <c r="IV155" s="2"/>
      <c r="IW155" s="2"/>
      <c r="IX155" s="2"/>
      <c r="IY155" s="2"/>
      <c r="IZ155" s="2"/>
      <c r="JA155" s="2"/>
      <c r="JB155" s="2"/>
      <c r="JC155" s="2"/>
      <c r="JD155" s="2"/>
      <c r="JE155" s="2"/>
      <c r="JF155" s="2"/>
      <c r="JG155" s="2"/>
      <c r="JH155" s="2"/>
      <c r="JI155" s="2"/>
      <c r="JJ155" s="2"/>
      <c r="JK155" s="2"/>
      <c r="JL155" s="2"/>
      <c r="JM155" s="2"/>
      <c r="JN155" s="2"/>
      <c r="JO155" s="2"/>
      <c r="JP155" s="2"/>
      <c r="JQ155" s="2"/>
      <c r="JR155" s="2"/>
      <c r="JS155" s="2"/>
      <c r="JT155" s="2"/>
      <c r="JU155" s="2"/>
      <c r="JV155" s="2"/>
      <c r="JW155" s="2"/>
      <c r="JX155" s="2"/>
      <c r="JY155" s="2"/>
      <c r="JZ155" s="2"/>
      <c r="KA155" s="2"/>
      <c r="KB155" s="2"/>
      <c r="KC155" s="2"/>
      <c r="KD155" s="2"/>
      <c r="KE155" s="2"/>
      <c r="KF155" s="2"/>
      <c r="KG155" s="2"/>
      <c r="KH155" s="2"/>
      <c r="KI155" s="2"/>
      <c r="KJ155" s="2"/>
      <c r="KK155" s="2"/>
      <c r="KL155" s="2"/>
      <c r="KM155" s="2"/>
      <c r="KN155" s="2"/>
      <c r="KO155" s="2"/>
      <c r="KP155" s="2"/>
      <c r="KQ155" s="2"/>
      <c r="KR155" s="2"/>
      <c r="KS155" s="2"/>
      <c r="KT155" s="2"/>
      <c r="KU155" s="2"/>
      <c r="KV155" s="2"/>
      <c r="KW155" s="2"/>
      <c r="KX155" s="2"/>
      <c r="KY155" s="2"/>
      <c r="KZ155" s="2"/>
      <c r="LA155" s="2"/>
      <c r="LB155" s="2"/>
      <c r="LC155" s="2"/>
      <c r="LD155" s="2"/>
      <c r="LE155" s="2"/>
      <c r="LF155" s="2"/>
      <c r="LG155" s="2"/>
      <c r="LH155" s="2"/>
      <c r="LI155" s="2"/>
      <c r="LJ155" s="2"/>
      <c r="LK155" s="2"/>
      <c r="LL155" s="2"/>
      <c r="LM155" s="2"/>
      <c r="LN155" s="2"/>
      <c r="LO155" s="2"/>
      <c r="LP155" s="2"/>
      <c r="LQ155" s="2"/>
      <c r="LR155" s="2"/>
      <c r="LS155" s="2"/>
      <c r="LT155" s="2"/>
      <c r="LU155" s="2"/>
      <c r="LV155" s="2"/>
      <c r="LW155" s="2"/>
      <c r="LX155" s="2"/>
      <c r="LY155" s="2"/>
      <c r="LZ155" s="2"/>
      <c r="MA155" s="2"/>
      <c r="MB155" s="2"/>
      <c r="MC155" s="2"/>
      <c r="MD155" s="2"/>
      <c r="ME155" s="2"/>
      <c r="MF155" s="2"/>
      <c r="MG155" s="2"/>
      <c r="MH155" s="2"/>
      <c r="MI155" s="2"/>
      <c r="MJ155" s="2"/>
      <c r="MK155" s="2"/>
      <c r="ML155" s="2"/>
      <c r="MM155" s="2"/>
      <c r="MN155" s="2"/>
      <c r="MO155" s="2"/>
      <c r="MP155" s="2"/>
      <c r="MQ155" s="2"/>
      <c r="MR155" s="2"/>
      <c r="MS155" s="2"/>
      <c r="MT155" s="2"/>
      <c r="MU155" s="2"/>
      <c r="MV155" s="2"/>
      <c r="MW155" s="2"/>
      <c r="MX155" s="2"/>
      <c r="MY155" s="2"/>
      <c r="MZ155" s="2"/>
      <c r="NA155" s="2"/>
      <c r="NB155" s="2"/>
      <c r="NC155" s="2"/>
      <c r="ND155" s="2"/>
      <c r="NE155" s="2"/>
      <c r="NF155" s="2"/>
      <c r="NG155" s="2"/>
      <c r="NH155" s="2"/>
      <c r="NI155" s="2"/>
      <c r="NJ155" s="2"/>
      <c r="NK155" s="2"/>
      <c r="NL155" s="2"/>
      <c r="NM155" s="2"/>
      <c r="NN155" s="2"/>
      <c r="NO155" s="2"/>
      <c r="NP155" s="2"/>
      <c r="NQ155" s="2"/>
      <c r="NR155" s="2"/>
      <c r="NS155" s="2"/>
      <c r="NT155" s="2"/>
      <c r="NU155" s="2"/>
      <c r="NV155" s="2"/>
      <c r="NW155" s="2"/>
      <c r="NX155" s="2"/>
      <c r="NY155" s="2"/>
      <c r="NZ155" s="2"/>
      <c r="OA155" s="2"/>
      <c r="OB155" s="2"/>
      <c r="OC155" s="2"/>
      <c r="OD155" s="2"/>
      <c r="OE155" s="2"/>
      <c r="OF155" s="2"/>
      <c r="OG155" s="2"/>
      <c r="OH155" s="2"/>
      <c r="OI155" s="2"/>
      <c r="OJ155" s="2"/>
      <c r="OK155" s="2"/>
      <c r="OL155" s="2"/>
      <c r="OM155" s="2"/>
      <c r="ON155" s="2"/>
      <c r="OO155" s="2"/>
      <c r="OP155" s="2"/>
      <c r="OQ155" s="2"/>
      <c r="OR155" s="2"/>
      <c r="OS155" s="2"/>
      <c r="OT155" s="2"/>
      <c r="OU155" s="2"/>
      <c r="OV155" s="2"/>
      <c r="OW155" s="2"/>
      <c r="OX155" s="2"/>
      <c r="OY155" s="2"/>
      <c r="OZ155" s="2"/>
      <c r="PA155" s="2"/>
      <c r="PB155" s="2"/>
      <c r="PC155" s="2"/>
      <c r="PD155" s="2"/>
      <c r="PE155" s="2"/>
      <c r="PF155" s="2"/>
      <c r="PG155" s="2"/>
      <c r="PH155" s="2"/>
      <c r="PI155" s="2"/>
      <c r="PJ155" s="2"/>
      <c r="PK155" s="2"/>
      <c r="PL155" s="2"/>
      <c r="PM155" s="2"/>
      <c r="PN155" s="2"/>
      <c r="PO155" s="2"/>
      <c r="PP155" s="2"/>
      <c r="PQ155" s="2"/>
      <c r="PR155" s="2"/>
      <c r="PS155" s="2"/>
      <c r="PT155" s="2"/>
      <c r="PU155" s="2"/>
      <c r="PV155" s="2"/>
      <c r="PW155" s="2"/>
      <c r="PX155" s="2"/>
      <c r="PY155" s="2"/>
      <c r="PZ155" s="2"/>
      <c r="QA155" s="2"/>
      <c r="QB155" s="2"/>
      <c r="QC155" s="2"/>
      <c r="QD155" s="2"/>
      <c r="QE155" s="2"/>
      <c r="QF155" s="2"/>
      <c r="QG155" s="2"/>
      <c r="QH155" s="2"/>
      <c r="QI155" s="2"/>
      <c r="QJ155" s="2"/>
      <c r="QK155" s="2"/>
      <c r="QL155" s="2"/>
      <c r="QM155" s="2"/>
      <c r="QN155" s="2"/>
      <c r="QO155" s="2"/>
      <c r="QP155" s="2"/>
      <c r="QQ155" s="2"/>
      <c r="QR155" s="2"/>
      <c r="QS155" s="2"/>
      <c r="QT155" s="2"/>
      <c r="QU155" s="2"/>
      <c r="QV155" s="2"/>
      <c r="QW155" s="2"/>
      <c r="QX155" s="2"/>
      <c r="QY155" s="2"/>
      <c r="QZ155" s="2"/>
      <c r="RA155" s="2"/>
      <c r="RB155" s="2"/>
      <c r="RC155" s="2"/>
      <c r="RD155" s="2"/>
      <c r="RE155" s="2"/>
      <c r="RF155" s="2"/>
      <c r="RG155" s="2"/>
      <c r="RH155" s="2"/>
      <c r="RI155" s="2"/>
      <c r="RJ155" s="2"/>
      <c r="RK155" s="2"/>
      <c r="RL155" s="2"/>
      <c r="RM155" s="2"/>
      <c r="RN155" s="2"/>
      <c r="RO155" s="2"/>
      <c r="RP155" s="2"/>
      <c r="RQ155" s="2"/>
      <c r="RR155" s="2"/>
      <c r="RS155" s="2"/>
      <c r="RT155" s="2"/>
      <c r="RU155" s="2"/>
      <c r="RV155" s="2"/>
      <c r="RW155" s="2"/>
      <c r="RX155" s="2"/>
      <c r="RY155" s="2"/>
      <c r="RZ155" s="2"/>
      <c r="SA155" s="2"/>
      <c r="SB155" s="2"/>
      <c r="SC155" s="2"/>
      <c r="SD155" s="2"/>
      <c r="SE155" s="2"/>
      <c r="SF155" s="2"/>
      <c r="SG155" s="2"/>
      <c r="SH155" s="2"/>
      <c r="SI155" s="2"/>
      <c r="SJ155" s="2"/>
      <c r="SK155" s="2"/>
      <c r="SL155" s="2"/>
      <c r="SM155" s="2"/>
      <c r="SN155" s="2"/>
      <c r="SO155" s="2"/>
      <c r="SP155" s="2"/>
      <c r="SQ155" s="2"/>
      <c r="SR155" s="2"/>
      <c r="SS155" s="2"/>
      <c r="ST155" s="2"/>
      <c r="SU155" s="2"/>
      <c r="SV155" s="2"/>
      <c r="SW155" s="2"/>
      <c r="SX155" s="2"/>
    </row>
    <row r="156" spans="33:518" x14ac:dyDescent="0.25"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  <c r="FK156" s="2"/>
      <c r="FL156" s="2"/>
      <c r="FM156" s="2"/>
      <c r="FN156" s="2"/>
      <c r="FO156" s="2"/>
      <c r="FP156" s="2"/>
      <c r="FQ156" s="2"/>
      <c r="FR156" s="2"/>
      <c r="FS156" s="2"/>
      <c r="FT156" s="2"/>
      <c r="FU156" s="2"/>
      <c r="FV156" s="2"/>
      <c r="FW156" s="2"/>
      <c r="FX156" s="2"/>
      <c r="FY156" s="2"/>
      <c r="FZ156" s="2"/>
      <c r="GA156" s="2"/>
      <c r="GB156" s="2"/>
      <c r="GC156" s="2"/>
      <c r="GD156" s="2"/>
      <c r="GE156" s="2"/>
      <c r="GF156" s="2"/>
      <c r="GG156" s="2"/>
      <c r="GH156" s="2"/>
      <c r="GI156" s="2"/>
      <c r="GJ156" s="2"/>
      <c r="GK156" s="2"/>
      <c r="GL156" s="2"/>
      <c r="GM156" s="2"/>
      <c r="GN156" s="2"/>
      <c r="GO156" s="2"/>
      <c r="GP156" s="2"/>
      <c r="GQ156" s="2"/>
      <c r="GR156" s="2"/>
      <c r="GS156" s="2"/>
      <c r="GT156" s="2"/>
      <c r="GU156" s="2"/>
      <c r="GV156" s="2"/>
      <c r="GW156" s="2"/>
      <c r="GX156" s="2"/>
      <c r="GY156" s="2"/>
      <c r="GZ156" s="2"/>
      <c r="HA156" s="2"/>
      <c r="HB156" s="2"/>
      <c r="HC156" s="2"/>
      <c r="HD156" s="2"/>
      <c r="HE156" s="2"/>
      <c r="HF156" s="2"/>
      <c r="HG156" s="2"/>
      <c r="HH156" s="2"/>
      <c r="HI156" s="2"/>
      <c r="HJ156" s="2"/>
      <c r="HK156" s="2"/>
      <c r="HL156" s="2"/>
      <c r="HM156" s="2"/>
      <c r="HN156" s="2"/>
      <c r="HO156" s="2"/>
      <c r="HP156" s="2"/>
      <c r="HQ156" s="2"/>
      <c r="HR156" s="2"/>
      <c r="HS156" s="2"/>
      <c r="HT156" s="2"/>
      <c r="HU156" s="2"/>
      <c r="HV156" s="2"/>
      <c r="HW156" s="2"/>
      <c r="HX156" s="2"/>
      <c r="HY156" s="2"/>
      <c r="HZ156" s="2"/>
      <c r="IA156" s="2"/>
      <c r="IB156" s="2"/>
      <c r="IC156" s="2"/>
      <c r="ID156" s="2"/>
      <c r="IE156" s="2"/>
      <c r="IF156" s="2"/>
      <c r="IG156" s="2"/>
      <c r="IH156" s="2"/>
      <c r="II156" s="2"/>
      <c r="IJ156" s="2"/>
      <c r="IK156" s="2"/>
      <c r="IL156" s="2"/>
      <c r="IM156" s="2"/>
      <c r="IN156" s="2"/>
      <c r="IO156" s="2"/>
      <c r="IP156" s="2"/>
      <c r="IQ156" s="2"/>
      <c r="IR156" s="2"/>
      <c r="IS156" s="2"/>
      <c r="IT156" s="2"/>
      <c r="IU156" s="2"/>
      <c r="IV156" s="2"/>
      <c r="IW156" s="2"/>
      <c r="IX156" s="2"/>
      <c r="IY156" s="2"/>
      <c r="IZ156" s="2"/>
      <c r="JA156" s="2"/>
      <c r="JB156" s="2"/>
      <c r="JC156" s="2"/>
      <c r="JD156" s="2"/>
      <c r="JE156" s="2"/>
      <c r="JF156" s="2"/>
      <c r="JG156" s="2"/>
      <c r="JH156" s="2"/>
      <c r="JI156" s="2"/>
      <c r="JJ156" s="2"/>
      <c r="JK156" s="2"/>
      <c r="JL156" s="2"/>
      <c r="JM156" s="2"/>
      <c r="JN156" s="2"/>
      <c r="JO156" s="2"/>
      <c r="JP156" s="2"/>
      <c r="JQ156" s="2"/>
      <c r="JR156" s="2"/>
      <c r="JS156" s="2"/>
      <c r="JT156" s="2"/>
      <c r="JU156" s="2"/>
      <c r="JV156" s="2"/>
      <c r="JW156" s="2"/>
      <c r="JX156" s="2"/>
      <c r="JY156" s="2"/>
      <c r="JZ156" s="2"/>
      <c r="KA156" s="2"/>
      <c r="KB156" s="2"/>
      <c r="KC156" s="2"/>
      <c r="KD156" s="2"/>
      <c r="KE156" s="2"/>
      <c r="KF156" s="2"/>
      <c r="KG156" s="2"/>
      <c r="KH156" s="2"/>
      <c r="KI156" s="2"/>
      <c r="KJ156" s="2"/>
      <c r="KK156" s="2"/>
      <c r="KL156" s="2"/>
      <c r="KM156" s="2"/>
      <c r="KN156" s="2"/>
      <c r="KO156" s="2"/>
      <c r="KP156" s="2"/>
      <c r="KQ156" s="2"/>
      <c r="KR156" s="2"/>
      <c r="KS156" s="2"/>
      <c r="KT156" s="2"/>
      <c r="KU156" s="2"/>
      <c r="KV156" s="2"/>
      <c r="KW156" s="2"/>
      <c r="KX156" s="2"/>
      <c r="KY156" s="2"/>
      <c r="KZ156" s="2"/>
      <c r="LA156" s="2"/>
      <c r="LB156" s="2"/>
      <c r="LC156" s="2"/>
      <c r="LD156" s="2"/>
      <c r="LE156" s="2"/>
      <c r="LF156" s="2"/>
      <c r="LG156" s="2"/>
      <c r="LH156" s="2"/>
      <c r="LI156" s="2"/>
      <c r="LJ156" s="2"/>
      <c r="LK156" s="2"/>
      <c r="LL156" s="2"/>
      <c r="LM156" s="2"/>
      <c r="LN156" s="2"/>
      <c r="LO156" s="2"/>
      <c r="LP156" s="2"/>
      <c r="LQ156" s="2"/>
      <c r="LR156" s="2"/>
      <c r="LS156" s="2"/>
      <c r="LT156" s="2"/>
      <c r="LU156" s="2"/>
      <c r="LV156" s="2"/>
      <c r="LW156" s="2"/>
      <c r="LX156" s="2"/>
      <c r="LY156" s="2"/>
      <c r="LZ156" s="2"/>
      <c r="MA156" s="2"/>
      <c r="MB156" s="2"/>
      <c r="MC156" s="2"/>
      <c r="MD156" s="2"/>
      <c r="ME156" s="2"/>
      <c r="MF156" s="2"/>
      <c r="MG156" s="2"/>
      <c r="MH156" s="2"/>
      <c r="MI156" s="2"/>
      <c r="MJ156" s="2"/>
      <c r="MK156" s="2"/>
      <c r="ML156" s="2"/>
      <c r="MM156" s="2"/>
      <c r="MN156" s="2"/>
      <c r="MO156" s="2"/>
      <c r="MP156" s="2"/>
      <c r="MQ156" s="2"/>
      <c r="MR156" s="2"/>
      <c r="MS156" s="2"/>
      <c r="MT156" s="2"/>
      <c r="MU156" s="2"/>
      <c r="MV156" s="2"/>
      <c r="MW156" s="2"/>
      <c r="MX156" s="2"/>
      <c r="MY156" s="2"/>
      <c r="MZ156" s="2"/>
      <c r="NA156" s="2"/>
      <c r="NB156" s="2"/>
      <c r="NC156" s="2"/>
      <c r="ND156" s="2"/>
      <c r="NE156" s="2"/>
      <c r="NF156" s="2"/>
      <c r="NG156" s="2"/>
      <c r="NH156" s="2"/>
      <c r="NI156" s="2"/>
      <c r="NJ156" s="2"/>
      <c r="NK156" s="2"/>
      <c r="NL156" s="2"/>
      <c r="NM156" s="2"/>
      <c r="NN156" s="2"/>
      <c r="NO156" s="2"/>
      <c r="NP156" s="2"/>
      <c r="NQ156" s="2"/>
      <c r="NR156" s="2"/>
      <c r="NS156" s="2"/>
      <c r="NT156" s="2"/>
      <c r="NU156" s="2"/>
      <c r="NV156" s="2"/>
      <c r="NW156" s="2"/>
      <c r="NX156" s="2"/>
      <c r="NY156" s="2"/>
      <c r="NZ156" s="2"/>
      <c r="OA156" s="2"/>
      <c r="OB156" s="2"/>
      <c r="OC156" s="2"/>
      <c r="OD156" s="2"/>
      <c r="OE156" s="2"/>
      <c r="OF156" s="2"/>
      <c r="OG156" s="2"/>
      <c r="OH156" s="2"/>
      <c r="OI156" s="2"/>
      <c r="OJ156" s="2"/>
      <c r="OK156" s="2"/>
      <c r="OL156" s="2"/>
      <c r="OM156" s="2"/>
      <c r="ON156" s="2"/>
      <c r="OO156" s="2"/>
      <c r="OP156" s="2"/>
      <c r="OQ156" s="2"/>
      <c r="OR156" s="2"/>
      <c r="OS156" s="2"/>
      <c r="OT156" s="2"/>
      <c r="OU156" s="2"/>
      <c r="OV156" s="2"/>
      <c r="OW156" s="2"/>
      <c r="OX156" s="2"/>
      <c r="OY156" s="2"/>
      <c r="OZ156" s="2"/>
      <c r="PA156" s="2"/>
      <c r="PB156" s="2"/>
      <c r="PC156" s="2"/>
      <c r="PD156" s="2"/>
      <c r="PE156" s="2"/>
      <c r="PF156" s="2"/>
      <c r="PG156" s="2"/>
      <c r="PH156" s="2"/>
      <c r="PI156" s="2"/>
      <c r="PJ156" s="2"/>
      <c r="PK156" s="2"/>
      <c r="PL156" s="2"/>
      <c r="PM156" s="2"/>
      <c r="PN156" s="2"/>
      <c r="PO156" s="2"/>
      <c r="PP156" s="2"/>
      <c r="PQ156" s="2"/>
      <c r="PR156" s="2"/>
      <c r="PS156" s="2"/>
      <c r="PT156" s="2"/>
      <c r="PU156" s="2"/>
      <c r="PV156" s="2"/>
      <c r="PW156" s="2"/>
      <c r="PX156" s="2"/>
      <c r="PY156" s="2"/>
      <c r="PZ156" s="2"/>
      <c r="QA156" s="2"/>
      <c r="QB156" s="2"/>
      <c r="QC156" s="2"/>
      <c r="QD156" s="2"/>
      <c r="QE156" s="2"/>
      <c r="QF156" s="2"/>
      <c r="QG156" s="2"/>
      <c r="QH156" s="2"/>
      <c r="QI156" s="2"/>
      <c r="QJ156" s="2"/>
      <c r="QK156" s="2"/>
      <c r="QL156" s="2"/>
      <c r="QM156" s="2"/>
      <c r="QN156" s="2"/>
      <c r="QO156" s="2"/>
      <c r="QP156" s="2"/>
      <c r="QQ156" s="2"/>
      <c r="QR156" s="2"/>
      <c r="QS156" s="2"/>
      <c r="QT156" s="2"/>
      <c r="QU156" s="2"/>
      <c r="QV156" s="2"/>
      <c r="QW156" s="2"/>
      <c r="QX156" s="2"/>
      <c r="QY156" s="2"/>
      <c r="QZ156" s="2"/>
      <c r="RA156" s="2"/>
      <c r="RB156" s="2"/>
      <c r="RC156" s="2"/>
      <c r="RD156" s="2"/>
      <c r="RE156" s="2"/>
      <c r="RF156" s="2"/>
      <c r="RG156" s="2"/>
      <c r="RH156" s="2"/>
      <c r="RI156" s="2"/>
      <c r="RJ156" s="2"/>
      <c r="RK156" s="2"/>
      <c r="RL156" s="2"/>
      <c r="RM156" s="2"/>
      <c r="RN156" s="2"/>
      <c r="RO156" s="2"/>
      <c r="RP156" s="2"/>
      <c r="RQ156" s="2"/>
      <c r="RR156" s="2"/>
      <c r="RS156" s="2"/>
      <c r="RT156" s="2"/>
      <c r="RU156" s="2"/>
      <c r="RV156" s="2"/>
      <c r="RW156" s="2"/>
      <c r="RX156" s="2"/>
      <c r="RY156" s="2"/>
      <c r="RZ156" s="2"/>
      <c r="SA156" s="2"/>
      <c r="SB156" s="2"/>
      <c r="SC156" s="2"/>
      <c r="SD156" s="2"/>
      <c r="SE156" s="2"/>
      <c r="SF156" s="2"/>
      <c r="SG156" s="2"/>
      <c r="SH156" s="2"/>
      <c r="SI156" s="2"/>
      <c r="SJ156" s="2"/>
      <c r="SK156" s="2"/>
      <c r="SL156" s="2"/>
      <c r="SM156" s="2"/>
      <c r="SN156" s="2"/>
      <c r="SO156" s="2"/>
      <c r="SP156" s="2"/>
      <c r="SQ156" s="2"/>
      <c r="SR156" s="2"/>
      <c r="SS156" s="2"/>
      <c r="ST156" s="2"/>
      <c r="SU156" s="2"/>
      <c r="SV156" s="2"/>
      <c r="SW156" s="2"/>
      <c r="SX156" s="2"/>
    </row>
    <row r="157" spans="33:518" x14ac:dyDescent="0.25"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  <c r="FK157" s="2"/>
      <c r="FL157" s="2"/>
      <c r="FM157" s="2"/>
      <c r="FN157" s="2"/>
      <c r="FO157" s="2"/>
      <c r="FP157" s="2"/>
      <c r="FQ157" s="2"/>
      <c r="FR157" s="2"/>
      <c r="FS157" s="2"/>
      <c r="FT157" s="2"/>
      <c r="FU157" s="2"/>
      <c r="FV157" s="2"/>
      <c r="FW157" s="2"/>
      <c r="FX157" s="2"/>
      <c r="FY157" s="2"/>
      <c r="FZ157" s="2"/>
      <c r="GA157" s="2"/>
      <c r="GB157" s="2"/>
      <c r="GC157" s="2"/>
      <c r="GD157" s="2"/>
      <c r="GE157" s="2"/>
      <c r="GF157" s="2"/>
      <c r="GG157" s="2"/>
      <c r="GH157" s="2"/>
      <c r="GI157" s="2"/>
      <c r="GJ157" s="2"/>
      <c r="GK157" s="2"/>
      <c r="GL157" s="2"/>
      <c r="GM157" s="2"/>
      <c r="GN157" s="2"/>
      <c r="GO157" s="2"/>
      <c r="GP157" s="2"/>
      <c r="GQ157" s="2"/>
      <c r="GR157" s="2"/>
      <c r="GS157" s="2"/>
      <c r="GT157" s="2"/>
      <c r="GU157" s="2"/>
      <c r="GV157" s="2"/>
      <c r="GW157" s="2"/>
      <c r="GX157" s="2"/>
      <c r="GY157" s="2"/>
      <c r="GZ157" s="2"/>
      <c r="HA157" s="2"/>
      <c r="HB157" s="2"/>
      <c r="HC157" s="2"/>
      <c r="HD157" s="2"/>
      <c r="HE157" s="2"/>
      <c r="HF157" s="2"/>
      <c r="HG157" s="2"/>
      <c r="HH157" s="2"/>
      <c r="HI157" s="2"/>
      <c r="HJ157" s="2"/>
      <c r="HK157" s="2"/>
      <c r="HL157" s="2"/>
      <c r="HM157" s="2"/>
      <c r="HN157" s="2"/>
      <c r="HO157" s="2"/>
      <c r="HP157" s="2"/>
      <c r="HQ157" s="2"/>
      <c r="HR157" s="2"/>
      <c r="HS157" s="2"/>
      <c r="HT157" s="2"/>
      <c r="HU157" s="2"/>
      <c r="HV157" s="2"/>
      <c r="HW157" s="2"/>
      <c r="HX157" s="2"/>
      <c r="HY157" s="2"/>
      <c r="HZ157" s="2"/>
      <c r="IA157" s="2"/>
      <c r="IB157" s="2"/>
      <c r="IC157" s="2"/>
      <c r="ID157" s="2"/>
      <c r="IE157" s="2"/>
      <c r="IF157" s="2"/>
      <c r="IG157" s="2"/>
      <c r="IH157" s="2"/>
      <c r="II157" s="2"/>
      <c r="IJ157" s="2"/>
      <c r="IK157" s="2"/>
      <c r="IL157" s="2"/>
      <c r="IM157" s="2"/>
      <c r="IN157" s="2"/>
      <c r="IO157" s="2"/>
      <c r="IP157" s="2"/>
      <c r="IQ157" s="2"/>
      <c r="IR157" s="2"/>
      <c r="IS157" s="2"/>
      <c r="IT157" s="2"/>
      <c r="IU157" s="2"/>
      <c r="IV157" s="2"/>
      <c r="IW157" s="2"/>
      <c r="IX157" s="2"/>
      <c r="IY157" s="2"/>
      <c r="IZ157" s="2"/>
      <c r="JA157" s="2"/>
      <c r="JB157" s="2"/>
      <c r="JC157" s="2"/>
      <c r="JD157" s="2"/>
      <c r="JE157" s="2"/>
      <c r="JF157" s="2"/>
      <c r="JG157" s="2"/>
      <c r="JH157" s="2"/>
      <c r="JI157" s="2"/>
      <c r="JJ157" s="2"/>
      <c r="JK157" s="2"/>
      <c r="JL157" s="2"/>
      <c r="JM157" s="2"/>
      <c r="JN157" s="2"/>
      <c r="JO157" s="2"/>
      <c r="JP157" s="2"/>
      <c r="JQ157" s="2"/>
      <c r="JR157" s="2"/>
      <c r="JS157" s="2"/>
      <c r="JT157" s="2"/>
      <c r="JU157" s="2"/>
      <c r="JV157" s="2"/>
      <c r="JW157" s="2"/>
      <c r="JX157" s="2"/>
      <c r="JY157" s="2"/>
      <c r="JZ157" s="2"/>
      <c r="KA157" s="2"/>
      <c r="KB157" s="2"/>
      <c r="KC157" s="2"/>
      <c r="KD157" s="2"/>
      <c r="KE157" s="2"/>
      <c r="KF157" s="2"/>
      <c r="KG157" s="2"/>
      <c r="KH157" s="2"/>
      <c r="KI157" s="2"/>
      <c r="KJ157" s="2"/>
      <c r="KK157" s="2"/>
      <c r="KL157" s="2"/>
      <c r="KM157" s="2"/>
      <c r="KN157" s="2"/>
      <c r="KO157" s="2"/>
      <c r="KP157" s="2"/>
      <c r="KQ157" s="2"/>
      <c r="KR157" s="2"/>
      <c r="KS157" s="2"/>
      <c r="KT157" s="2"/>
      <c r="KU157" s="2"/>
      <c r="KV157" s="2"/>
      <c r="KW157" s="2"/>
      <c r="KX157" s="2"/>
      <c r="KY157" s="2"/>
      <c r="KZ157" s="2"/>
      <c r="LA157" s="2"/>
      <c r="LB157" s="2"/>
      <c r="LC157" s="2"/>
      <c r="LD157" s="2"/>
      <c r="LE157" s="2"/>
      <c r="LF157" s="2"/>
      <c r="LG157" s="2"/>
      <c r="LH157" s="2"/>
      <c r="LI157" s="2"/>
      <c r="LJ157" s="2"/>
      <c r="LK157" s="2"/>
      <c r="LL157" s="2"/>
      <c r="LM157" s="2"/>
      <c r="LN157" s="2"/>
      <c r="LO157" s="2"/>
      <c r="LP157" s="2"/>
      <c r="LQ157" s="2"/>
      <c r="LR157" s="2"/>
      <c r="LS157" s="2"/>
      <c r="LT157" s="2"/>
      <c r="LU157" s="2"/>
      <c r="LV157" s="2"/>
      <c r="LW157" s="2"/>
      <c r="LX157" s="2"/>
      <c r="LY157" s="2"/>
      <c r="LZ157" s="2"/>
      <c r="MA157" s="2"/>
      <c r="MB157" s="2"/>
      <c r="MC157" s="2"/>
      <c r="MD157" s="2"/>
      <c r="ME157" s="2"/>
      <c r="MF157" s="2"/>
      <c r="MG157" s="2"/>
      <c r="MH157" s="2"/>
      <c r="MI157" s="2"/>
      <c r="MJ157" s="2"/>
      <c r="MK157" s="2"/>
      <c r="ML157" s="2"/>
      <c r="MM157" s="2"/>
      <c r="MN157" s="2"/>
      <c r="MO157" s="2"/>
      <c r="MP157" s="2"/>
      <c r="MQ157" s="2"/>
      <c r="MR157" s="2"/>
      <c r="MS157" s="2"/>
      <c r="MT157" s="2"/>
      <c r="MU157" s="2"/>
      <c r="MV157" s="2"/>
      <c r="MW157" s="2"/>
      <c r="MX157" s="2"/>
      <c r="MY157" s="2"/>
      <c r="MZ157" s="2"/>
      <c r="NA157" s="2"/>
      <c r="NB157" s="2"/>
      <c r="NC157" s="2"/>
      <c r="ND157" s="2"/>
      <c r="NE157" s="2"/>
      <c r="NF157" s="2"/>
      <c r="NG157" s="2"/>
      <c r="NH157" s="2"/>
      <c r="NI157" s="2"/>
      <c r="NJ157" s="2"/>
      <c r="NK157" s="2"/>
      <c r="NL157" s="2"/>
      <c r="NM157" s="2"/>
      <c r="NN157" s="2"/>
      <c r="NO157" s="2"/>
      <c r="NP157" s="2"/>
      <c r="NQ157" s="2"/>
      <c r="NR157" s="2"/>
      <c r="NS157" s="2"/>
      <c r="NT157" s="2"/>
      <c r="NU157" s="2"/>
      <c r="NV157" s="2"/>
      <c r="NW157" s="2"/>
      <c r="NX157" s="2"/>
      <c r="NY157" s="2"/>
      <c r="NZ157" s="2"/>
      <c r="OA157" s="2"/>
      <c r="OB157" s="2"/>
      <c r="OC157" s="2"/>
      <c r="OD157" s="2"/>
      <c r="OE157" s="2"/>
      <c r="OF157" s="2"/>
      <c r="OG157" s="2"/>
      <c r="OH157" s="2"/>
      <c r="OI157" s="2"/>
      <c r="OJ157" s="2"/>
      <c r="OK157" s="2"/>
      <c r="OL157" s="2"/>
      <c r="OM157" s="2"/>
      <c r="ON157" s="2"/>
      <c r="OO157" s="2"/>
      <c r="OP157" s="2"/>
      <c r="OQ157" s="2"/>
      <c r="OR157" s="2"/>
      <c r="OS157" s="2"/>
      <c r="OT157" s="2"/>
      <c r="OU157" s="2"/>
      <c r="OV157" s="2"/>
      <c r="OW157" s="2"/>
      <c r="OX157" s="2"/>
      <c r="OY157" s="2"/>
      <c r="OZ157" s="2"/>
      <c r="PA157" s="2"/>
      <c r="PB157" s="2"/>
      <c r="PC157" s="2"/>
      <c r="PD157" s="2"/>
      <c r="PE157" s="2"/>
      <c r="PF157" s="2"/>
      <c r="PG157" s="2"/>
      <c r="PH157" s="2"/>
      <c r="PI157" s="2"/>
      <c r="PJ157" s="2"/>
      <c r="PK157" s="2"/>
      <c r="PL157" s="2"/>
      <c r="PM157" s="2"/>
      <c r="PN157" s="2"/>
      <c r="PO157" s="2"/>
      <c r="PP157" s="2"/>
      <c r="PQ157" s="2"/>
      <c r="PR157" s="2"/>
      <c r="PS157" s="2"/>
      <c r="PT157" s="2"/>
      <c r="PU157" s="2"/>
      <c r="PV157" s="2"/>
      <c r="PW157" s="2"/>
      <c r="PX157" s="2"/>
      <c r="PY157" s="2"/>
      <c r="PZ157" s="2"/>
      <c r="QA157" s="2"/>
      <c r="QB157" s="2"/>
      <c r="QC157" s="2"/>
      <c r="QD157" s="2"/>
      <c r="QE157" s="2"/>
      <c r="QF157" s="2"/>
      <c r="QG157" s="2"/>
      <c r="QH157" s="2"/>
      <c r="QI157" s="2"/>
      <c r="QJ157" s="2"/>
      <c r="QK157" s="2"/>
      <c r="QL157" s="2"/>
      <c r="QM157" s="2"/>
      <c r="QN157" s="2"/>
      <c r="QO157" s="2"/>
      <c r="QP157" s="2"/>
      <c r="QQ157" s="2"/>
      <c r="QR157" s="2"/>
      <c r="QS157" s="2"/>
      <c r="QT157" s="2"/>
      <c r="QU157" s="2"/>
      <c r="QV157" s="2"/>
      <c r="QW157" s="2"/>
      <c r="QX157" s="2"/>
      <c r="QY157" s="2"/>
      <c r="QZ157" s="2"/>
      <c r="RA157" s="2"/>
      <c r="RB157" s="2"/>
      <c r="RC157" s="2"/>
      <c r="RD157" s="2"/>
      <c r="RE157" s="2"/>
      <c r="RF157" s="2"/>
      <c r="RG157" s="2"/>
      <c r="RH157" s="2"/>
      <c r="RI157" s="2"/>
      <c r="RJ157" s="2"/>
      <c r="RK157" s="2"/>
      <c r="RL157" s="2"/>
      <c r="RM157" s="2"/>
      <c r="RN157" s="2"/>
      <c r="RO157" s="2"/>
      <c r="RP157" s="2"/>
      <c r="RQ157" s="2"/>
      <c r="RR157" s="2"/>
      <c r="RS157" s="2"/>
      <c r="RT157" s="2"/>
      <c r="RU157" s="2"/>
      <c r="RV157" s="2"/>
      <c r="RW157" s="2"/>
      <c r="RX157" s="2"/>
      <c r="RY157" s="2"/>
      <c r="RZ157" s="2"/>
      <c r="SA157" s="2"/>
      <c r="SB157" s="2"/>
      <c r="SC157" s="2"/>
      <c r="SD157" s="2"/>
      <c r="SE157" s="2"/>
      <c r="SF157" s="2"/>
      <c r="SG157" s="2"/>
      <c r="SH157" s="2"/>
      <c r="SI157" s="2"/>
      <c r="SJ157" s="2"/>
      <c r="SK157" s="2"/>
      <c r="SL157" s="2"/>
      <c r="SM157" s="2"/>
      <c r="SN157" s="2"/>
      <c r="SO157" s="2"/>
      <c r="SP157" s="2"/>
      <c r="SQ157" s="2"/>
      <c r="SR157" s="2"/>
      <c r="SS157" s="2"/>
      <c r="ST157" s="2"/>
      <c r="SU157" s="2"/>
      <c r="SV157" s="2"/>
      <c r="SW157" s="2"/>
      <c r="SX157" s="2"/>
    </row>
    <row r="158" spans="33:518" x14ac:dyDescent="0.25"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  <c r="FK158" s="2"/>
      <c r="FL158" s="2"/>
      <c r="FM158" s="2"/>
      <c r="FN158" s="2"/>
      <c r="FO158" s="2"/>
      <c r="FP158" s="2"/>
      <c r="FQ158" s="2"/>
      <c r="FR158" s="2"/>
      <c r="FS158" s="2"/>
      <c r="FT158" s="2"/>
      <c r="FU158" s="2"/>
      <c r="FV158" s="2"/>
      <c r="FW158" s="2"/>
      <c r="FX158" s="2"/>
      <c r="FY158" s="2"/>
      <c r="FZ158" s="2"/>
      <c r="GA158" s="2"/>
      <c r="GB158" s="2"/>
      <c r="GC158" s="2"/>
      <c r="GD158" s="2"/>
      <c r="GE158" s="2"/>
      <c r="GF158" s="2"/>
      <c r="GG158" s="2"/>
      <c r="GH158" s="2"/>
      <c r="GI158" s="2"/>
      <c r="GJ158" s="2"/>
      <c r="GK158" s="2"/>
      <c r="GL158" s="2"/>
      <c r="GM158" s="2"/>
      <c r="GN158" s="2"/>
      <c r="GO158" s="2"/>
      <c r="GP158" s="2"/>
      <c r="GQ158" s="2"/>
      <c r="GR158" s="2"/>
      <c r="GS158" s="2"/>
      <c r="GT158" s="2"/>
      <c r="GU158" s="2"/>
      <c r="GV158" s="2"/>
      <c r="GW158" s="2"/>
      <c r="GX158" s="2"/>
      <c r="GY158" s="2"/>
      <c r="GZ158" s="2"/>
      <c r="HA158" s="2"/>
      <c r="HB158" s="2"/>
      <c r="HC158" s="2"/>
      <c r="HD158" s="2"/>
      <c r="HE158" s="2"/>
      <c r="HF158" s="2"/>
      <c r="HG158" s="2"/>
      <c r="HH158" s="2"/>
      <c r="HI158" s="2"/>
      <c r="HJ158" s="2"/>
      <c r="HK158" s="2"/>
      <c r="HL158" s="2"/>
      <c r="HM158" s="2"/>
      <c r="HN158" s="2"/>
      <c r="HO158" s="2"/>
      <c r="HP158" s="2"/>
      <c r="HQ158" s="2"/>
      <c r="HR158" s="2"/>
      <c r="HS158" s="2"/>
      <c r="HT158" s="2"/>
      <c r="HU158" s="2"/>
      <c r="HV158" s="2"/>
      <c r="HW158" s="2"/>
      <c r="HX158" s="2"/>
      <c r="HY158" s="2"/>
      <c r="HZ158" s="2"/>
      <c r="IA158" s="2"/>
      <c r="IB158" s="2"/>
      <c r="IC158" s="2"/>
      <c r="ID158" s="2"/>
      <c r="IE158" s="2"/>
      <c r="IF158" s="2"/>
      <c r="IG158" s="2"/>
      <c r="IH158" s="2"/>
      <c r="II158" s="2"/>
      <c r="IJ158" s="2"/>
      <c r="IK158" s="2"/>
      <c r="IL158" s="2"/>
      <c r="IM158" s="2"/>
      <c r="IN158" s="2"/>
      <c r="IO158" s="2"/>
      <c r="IP158" s="2"/>
      <c r="IQ158" s="2"/>
      <c r="IR158" s="2"/>
      <c r="IS158" s="2"/>
      <c r="IT158" s="2"/>
      <c r="IU158" s="2"/>
      <c r="IV158" s="2"/>
      <c r="IW158" s="2"/>
      <c r="IX158" s="2"/>
      <c r="IY158" s="2"/>
      <c r="IZ158" s="2"/>
      <c r="JA158" s="2"/>
      <c r="JB158" s="2"/>
      <c r="JC158" s="2"/>
      <c r="JD158" s="2"/>
      <c r="JE158" s="2"/>
      <c r="JF158" s="2"/>
      <c r="JG158" s="2"/>
      <c r="JH158" s="2"/>
      <c r="JI158" s="2"/>
      <c r="JJ158" s="2"/>
      <c r="JK158" s="2"/>
      <c r="JL158" s="2"/>
      <c r="JM158" s="2"/>
      <c r="JN158" s="2"/>
      <c r="JO158" s="2"/>
      <c r="JP158" s="2"/>
      <c r="JQ158" s="2"/>
      <c r="JR158" s="2"/>
      <c r="JS158" s="2"/>
      <c r="JT158" s="2"/>
      <c r="JU158" s="2"/>
      <c r="JV158" s="2"/>
      <c r="JW158" s="2"/>
      <c r="JX158" s="2"/>
      <c r="JY158" s="2"/>
      <c r="JZ158" s="2"/>
      <c r="KA158" s="2"/>
      <c r="KB158" s="2"/>
      <c r="KC158" s="2"/>
      <c r="KD158" s="2"/>
      <c r="KE158" s="2"/>
      <c r="KF158" s="2"/>
      <c r="KG158" s="2"/>
      <c r="KH158" s="2"/>
      <c r="KI158" s="2"/>
      <c r="KJ158" s="2"/>
      <c r="KK158" s="2"/>
      <c r="KL158" s="2"/>
      <c r="KM158" s="2"/>
      <c r="KN158" s="2"/>
      <c r="KO158" s="2"/>
      <c r="KP158" s="2"/>
      <c r="KQ158" s="2"/>
      <c r="KR158" s="2"/>
      <c r="KS158" s="2"/>
      <c r="KT158" s="2"/>
      <c r="KU158" s="2"/>
      <c r="KV158" s="2"/>
      <c r="KW158" s="2"/>
      <c r="KX158" s="2"/>
      <c r="KY158" s="2"/>
      <c r="KZ158" s="2"/>
      <c r="LA158" s="2"/>
      <c r="LB158" s="2"/>
      <c r="LC158" s="2"/>
      <c r="LD158" s="2"/>
      <c r="LE158" s="2"/>
      <c r="LF158" s="2"/>
      <c r="LG158" s="2"/>
      <c r="LH158" s="2"/>
      <c r="LI158" s="2"/>
      <c r="LJ158" s="2"/>
      <c r="LK158" s="2"/>
      <c r="LL158" s="2"/>
      <c r="LM158" s="2"/>
      <c r="LN158" s="2"/>
      <c r="LO158" s="2"/>
      <c r="LP158" s="2"/>
      <c r="LQ158" s="2"/>
      <c r="LR158" s="2"/>
      <c r="LS158" s="2"/>
      <c r="LT158" s="2"/>
      <c r="LU158" s="2"/>
      <c r="LV158" s="2"/>
      <c r="LW158" s="2"/>
      <c r="LX158" s="2"/>
      <c r="LY158" s="2"/>
      <c r="LZ158" s="2"/>
      <c r="MA158" s="2"/>
      <c r="MB158" s="2"/>
      <c r="MC158" s="2"/>
      <c r="MD158" s="2"/>
      <c r="ME158" s="2"/>
      <c r="MF158" s="2"/>
      <c r="MG158" s="2"/>
      <c r="MH158" s="2"/>
      <c r="MI158" s="2"/>
      <c r="MJ158" s="2"/>
      <c r="MK158" s="2"/>
      <c r="ML158" s="2"/>
      <c r="MM158" s="2"/>
      <c r="MN158" s="2"/>
      <c r="MO158" s="2"/>
      <c r="MP158" s="2"/>
      <c r="MQ158" s="2"/>
      <c r="MR158" s="2"/>
      <c r="MS158" s="2"/>
      <c r="MT158" s="2"/>
      <c r="MU158" s="2"/>
      <c r="MV158" s="2"/>
      <c r="MW158" s="2"/>
      <c r="MX158" s="2"/>
      <c r="MY158" s="2"/>
      <c r="MZ158" s="2"/>
      <c r="NA158" s="2"/>
      <c r="NB158" s="2"/>
      <c r="NC158" s="2"/>
      <c r="ND158" s="2"/>
      <c r="NE158" s="2"/>
      <c r="NF158" s="2"/>
      <c r="NG158" s="2"/>
      <c r="NH158" s="2"/>
      <c r="NI158" s="2"/>
      <c r="NJ158" s="2"/>
      <c r="NK158" s="2"/>
      <c r="NL158" s="2"/>
      <c r="NM158" s="2"/>
      <c r="NN158" s="2"/>
      <c r="NO158" s="2"/>
      <c r="NP158" s="2"/>
      <c r="NQ158" s="2"/>
      <c r="NR158" s="2"/>
      <c r="NS158" s="2"/>
      <c r="NT158" s="2"/>
      <c r="NU158" s="2"/>
      <c r="NV158" s="2"/>
      <c r="NW158" s="2"/>
      <c r="NX158" s="2"/>
      <c r="NY158" s="2"/>
      <c r="NZ158" s="2"/>
      <c r="OA158" s="2"/>
      <c r="OB158" s="2"/>
      <c r="OC158" s="2"/>
      <c r="OD158" s="2"/>
      <c r="OE158" s="2"/>
      <c r="OF158" s="2"/>
      <c r="OG158" s="2"/>
      <c r="OH158" s="2"/>
      <c r="OI158" s="2"/>
      <c r="OJ158" s="2"/>
      <c r="OK158" s="2"/>
      <c r="OL158" s="2"/>
      <c r="OM158" s="2"/>
      <c r="ON158" s="2"/>
      <c r="OO158" s="2"/>
      <c r="OP158" s="2"/>
      <c r="OQ158" s="2"/>
      <c r="OR158" s="2"/>
      <c r="OS158" s="2"/>
      <c r="OT158" s="2"/>
      <c r="OU158" s="2"/>
      <c r="OV158" s="2"/>
      <c r="OW158" s="2"/>
      <c r="OX158" s="2"/>
      <c r="OY158" s="2"/>
      <c r="OZ158" s="2"/>
      <c r="PA158" s="2"/>
      <c r="PB158" s="2"/>
      <c r="PC158" s="2"/>
      <c r="PD158" s="2"/>
      <c r="PE158" s="2"/>
      <c r="PF158" s="2"/>
      <c r="PG158" s="2"/>
      <c r="PH158" s="2"/>
      <c r="PI158" s="2"/>
      <c r="PJ158" s="2"/>
      <c r="PK158" s="2"/>
      <c r="PL158" s="2"/>
      <c r="PM158" s="2"/>
      <c r="PN158" s="2"/>
      <c r="PO158" s="2"/>
      <c r="PP158" s="2"/>
      <c r="PQ158" s="2"/>
      <c r="PR158" s="2"/>
      <c r="PS158" s="2"/>
      <c r="PT158" s="2"/>
      <c r="PU158" s="2"/>
      <c r="PV158" s="2"/>
      <c r="PW158" s="2"/>
      <c r="PX158" s="2"/>
      <c r="PY158" s="2"/>
      <c r="PZ158" s="2"/>
      <c r="QA158" s="2"/>
      <c r="QB158" s="2"/>
      <c r="QC158" s="2"/>
      <c r="QD158" s="2"/>
      <c r="QE158" s="2"/>
      <c r="QF158" s="2"/>
      <c r="QG158" s="2"/>
      <c r="QH158" s="2"/>
      <c r="QI158" s="2"/>
      <c r="QJ158" s="2"/>
      <c r="QK158" s="2"/>
      <c r="QL158" s="2"/>
      <c r="QM158" s="2"/>
      <c r="QN158" s="2"/>
      <c r="QO158" s="2"/>
      <c r="QP158" s="2"/>
      <c r="QQ158" s="2"/>
      <c r="QR158" s="2"/>
      <c r="QS158" s="2"/>
      <c r="QT158" s="2"/>
      <c r="QU158" s="2"/>
      <c r="QV158" s="2"/>
      <c r="QW158" s="2"/>
      <c r="QX158" s="2"/>
      <c r="QY158" s="2"/>
      <c r="QZ158" s="2"/>
      <c r="RA158" s="2"/>
      <c r="RB158" s="2"/>
      <c r="RC158" s="2"/>
      <c r="RD158" s="2"/>
      <c r="RE158" s="2"/>
      <c r="RF158" s="2"/>
      <c r="RG158" s="2"/>
      <c r="RH158" s="2"/>
      <c r="RI158" s="2"/>
      <c r="RJ158" s="2"/>
      <c r="RK158" s="2"/>
      <c r="RL158" s="2"/>
      <c r="RM158" s="2"/>
      <c r="RN158" s="2"/>
      <c r="RO158" s="2"/>
      <c r="RP158" s="2"/>
      <c r="RQ158" s="2"/>
      <c r="RR158" s="2"/>
      <c r="RS158" s="2"/>
      <c r="RT158" s="2"/>
      <c r="RU158" s="2"/>
      <c r="RV158" s="2"/>
      <c r="RW158" s="2"/>
      <c r="RX158" s="2"/>
      <c r="RY158" s="2"/>
      <c r="RZ158" s="2"/>
      <c r="SA158" s="2"/>
      <c r="SB158" s="2"/>
      <c r="SC158" s="2"/>
      <c r="SD158" s="2"/>
      <c r="SE158" s="2"/>
      <c r="SF158" s="2"/>
      <c r="SG158" s="2"/>
      <c r="SH158" s="2"/>
      <c r="SI158" s="2"/>
      <c r="SJ158" s="2"/>
      <c r="SK158" s="2"/>
      <c r="SL158" s="2"/>
      <c r="SM158" s="2"/>
      <c r="SN158" s="2"/>
      <c r="SO158" s="2"/>
      <c r="SP158" s="2"/>
      <c r="SQ158" s="2"/>
      <c r="SR158" s="2"/>
      <c r="SS158" s="2"/>
      <c r="ST158" s="2"/>
      <c r="SU158" s="2"/>
      <c r="SV158" s="2"/>
      <c r="SW158" s="2"/>
      <c r="SX158" s="2"/>
    </row>
    <row r="159" spans="33:518" x14ac:dyDescent="0.25"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  <c r="FK159" s="2"/>
      <c r="FL159" s="2"/>
      <c r="FM159" s="2"/>
      <c r="FN159" s="2"/>
      <c r="FO159" s="2"/>
      <c r="FP159" s="2"/>
      <c r="FQ159" s="2"/>
      <c r="FR159" s="2"/>
      <c r="FS159" s="2"/>
      <c r="FT159" s="2"/>
      <c r="FU159" s="2"/>
      <c r="FV159" s="2"/>
      <c r="FW159" s="2"/>
      <c r="FX159" s="2"/>
      <c r="FY159" s="2"/>
      <c r="FZ159" s="2"/>
      <c r="GA159" s="2"/>
      <c r="GB159" s="2"/>
      <c r="GC159" s="2"/>
      <c r="GD159" s="2"/>
      <c r="GE159" s="2"/>
      <c r="GF159" s="2"/>
      <c r="GG159" s="2"/>
      <c r="GH159" s="2"/>
      <c r="GI159" s="2"/>
      <c r="GJ159" s="2"/>
      <c r="GK159" s="2"/>
      <c r="GL159" s="2"/>
      <c r="GM159" s="2"/>
      <c r="GN159" s="2"/>
      <c r="GO159" s="2"/>
      <c r="GP159" s="2"/>
      <c r="GQ159" s="2"/>
      <c r="GR159" s="2"/>
      <c r="GS159" s="2"/>
      <c r="GT159" s="2"/>
      <c r="GU159" s="2"/>
      <c r="GV159" s="2"/>
      <c r="GW159" s="2"/>
      <c r="GX159" s="2"/>
      <c r="GY159" s="2"/>
      <c r="GZ159" s="2"/>
      <c r="HA159" s="2"/>
      <c r="HB159" s="2"/>
      <c r="HC159" s="2"/>
      <c r="HD159" s="2"/>
      <c r="HE159" s="2"/>
      <c r="HF159" s="2"/>
      <c r="HG159" s="2"/>
      <c r="HH159" s="2"/>
      <c r="HI159" s="2"/>
      <c r="HJ159" s="2"/>
      <c r="HK159" s="2"/>
      <c r="HL159" s="2"/>
      <c r="HM159" s="2"/>
      <c r="HN159" s="2"/>
      <c r="HO159" s="2"/>
      <c r="HP159" s="2"/>
      <c r="HQ159" s="2"/>
      <c r="HR159" s="2"/>
      <c r="HS159" s="2"/>
      <c r="HT159" s="2"/>
      <c r="HU159" s="2"/>
      <c r="HV159" s="2"/>
      <c r="HW159" s="2"/>
      <c r="HX159" s="2"/>
      <c r="HY159" s="2"/>
      <c r="HZ159" s="2"/>
      <c r="IA159" s="2"/>
      <c r="IB159" s="2"/>
      <c r="IC159" s="2"/>
      <c r="ID159" s="2"/>
      <c r="IE159" s="2"/>
      <c r="IF159" s="2"/>
      <c r="IG159" s="2"/>
      <c r="IH159" s="2"/>
      <c r="II159" s="2"/>
      <c r="IJ159" s="2"/>
      <c r="IK159" s="2"/>
      <c r="IL159" s="2"/>
      <c r="IM159" s="2"/>
      <c r="IN159" s="2"/>
      <c r="IO159" s="2"/>
      <c r="IP159" s="2"/>
      <c r="IQ159" s="2"/>
      <c r="IR159" s="2"/>
      <c r="IS159" s="2"/>
      <c r="IT159" s="2"/>
      <c r="IU159" s="2"/>
      <c r="IV159" s="2"/>
      <c r="IW159" s="2"/>
      <c r="IX159" s="2"/>
      <c r="IY159" s="2"/>
      <c r="IZ159" s="2"/>
      <c r="JA159" s="2"/>
      <c r="JB159" s="2"/>
      <c r="JC159" s="2"/>
      <c r="JD159" s="2"/>
      <c r="JE159" s="2"/>
      <c r="JF159" s="2"/>
      <c r="JG159" s="2"/>
      <c r="JH159" s="2"/>
      <c r="JI159" s="2"/>
      <c r="JJ159" s="2"/>
      <c r="JK159" s="2"/>
      <c r="JL159" s="2"/>
      <c r="JM159" s="2"/>
      <c r="JN159" s="2"/>
      <c r="JO159" s="2"/>
      <c r="JP159" s="2"/>
      <c r="JQ159" s="2"/>
      <c r="JR159" s="2"/>
      <c r="JS159" s="2"/>
      <c r="JT159" s="2"/>
      <c r="JU159" s="2"/>
      <c r="JV159" s="2"/>
      <c r="JW159" s="2"/>
      <c r="JX159" s="2"/>
      <c r="JY159" s="2"/>
      <c r="JZ159" s="2"/>
      <c r="KA159" s="2"/>
      <c r="KB159" s="2"/>
      <c r="KC159" s="2"/>
      <c r="KD159" s="2"/>
      <c r="KE159" s="2"/>
      <c r="KF159" s="2"/>
      <c r="KG159" s="2"/>
      <c r="KH159" s="2"/>
      <c r="KI159" s="2"/>
      <c r="KJ159" s="2"/>
      <c r="KK159" s="2"/>
      <c r="KL159" s="2"/>
      <c r="KM159" s="2"/>
      <c r="KN159" s="2"/>
      <c r="KO159" s="2"/>
      <c r="KP159" s="2"/>
      <c r="KQ159" s="2"/>
      <c r="KR159" s="2"/>
      <c r="KS159" s="2"/>
      <c r="KT159" s="2"/>
      <c r="KU159" s="2"/>
      <c r="KV159" s="2"/>
      <c r="KW159" s="2"/>
      <c r="KX159" s="2"/>
      <c r="KY159" s="2"/>
      <c r="KZ159" s="2"/>
      <c r="LA159" s="2"/>
      <c r="LB159" s="2"/>
      <c r="LC159" s="2"/>
      <c r="LD159" s="2"/>
      <c r="LE159" s="2"/>
      <c r="LF159" s="2"/>
      <c r="LG159" s="2"/>
      <c r="LH159" s="2"/>
      <c r="LI159" s="2"/>
      <c r="LJ159" s="2"/>
      <c r="LK159" s="2"/>
      <c r="LL159" s="2"/>
      <c r="LM159" s="2"/>
      <c r="LN159" s="2"/>
      <c r="LO159" s="2"/>
      <c r="LP159" s="2"/>
      <c r="LQ159" s="2"/>
      <c r="LR159" s="2"/>
      <c r="LS159" s="2"/>
      <c r="LT159" s="2"/>
      <c r="LU159" s="2"/>
      <c r="LV159" s="2"/>
      <c r="LW159" s="2"/>
      <c r="LX159" s="2"/>
      <c r="LY159" s="2"/>
      <c r="LZ159" s="2"/>
      <c r="MA159" s="2"/>
      <c r="MB159" s="2"/>
      <c r="MC159" s="2"/>
      <c r="MD159" s="2"/>
      <c r="ME159" s="2"/>
      <c r="MF159" s="2"/>
      <c r="MG159" s="2"/>
      <c r="MH159" s="2"/>
      <c r="MI159" s="2"/>
      <c r="MJ159" s="2"/>
      <c r="MK159" s="2"/>
      <c r="ML159" s="2"/>
      <c r="MM159" s="2"/>
      <c r="MN159" s="2"/>
      <c r="MO159" s="2"/>
      <c r="MP159" s="2"/>
      <c r="MQ159" s="2"/>
      <c r="MR159" s="2"/>
      <c r="MS159" s="2"/>
      <c r="MT159" s="2"/>
      <c r="MU159" s="2"/>
      <c r="MV159" s="2"/>
      <c r="MW159" s="2"/>
      <c r="MX159" s="2"/>
      <c r="MY159" s="2"/>
      <c r="MZ159" s="2"/>
      <c r="NA159" s="2"/>
      <c r="NB159" s="2"/>
      <c r="NC159" s="2"/>
      <c r="ND159" s="2"/>
      <c r="NE159" s="2"/>
      <c r="NF159" s="2"/>
      <c r="NG159" s="2"/>
      <c r="NH159" s="2"/>
      <c r="NI159" s="2"/>
      <c r="NJ159" s="2"/>
      <c r="NK159" s="2"/>
      <c r="NL159" s="2"/>
      <c r="NM159" s="2"/>
      <c r="NN159" s="2"/>
      <c r="NO159" s="2"/>
      <c r="NP159" s="2"/>
      <c r="NQ159" s="2"/>
      <c r="NR159" s="2"/>
      <c r="NS159" s="2"/>
      <c r="NT159" s="2"/>
      <c r="NU159" s="2"/>
      <c r="NV159" s="2"/>
      <c r="NW159" s="2"/>
      <c r="NX159" s="2"/>
      <c r="NY159" s="2"/>
      <c r="NZ159" s="2"/>
      <c r="OA159" s="2"/>
      <c r="OB159" s="2"/>
      <c r="OC159" s="2"/>
      <c r="OD159" s="2"/>
      <c r="OE159" s="2"/>
      <c r="OF159" s="2"/>
      <c r="OG159" s="2"/>
      <c r="OH159" s="2"/>
      <c r="OI159" s="2"/>
      <c r="OJ159" s="2"/>
      <c r="OK159" s="2"/>
      <c r="OL159" s="2"/>
      <c r="OM159" s="2"/>
      <c r="ON159" s="2"/>
      <c r="OO159" s="2"/>
      <c r="OP159" s="2"/>
      <c r="OQ159" s="2"/>
      <c r="OR159" s="2"/>
      <c r="OS159" s="2"/>
      <c r="OT159" s="2"/>
      <c r="OU159" s="2"/>
      <c r="OV159" s="2"/>
      <c r="OW159" s="2"/>
      <c r="OX159" s="2"/>
      <c r="OY159" s="2"/>
      <c r="OZ159" s="2"/>
      <c r="PA159" s="2"/>
      <c r="PB159" s="2"/>
      <c r="PC159" s="2"/>
      <c r="PD159" s="2"/>
      <c r="PE159" s="2"/>
      <c r="PF159" s="2"/>
      <c r="PG159" s="2"/>
      <c r="PH159" s="2"/>
      <c r="PI159" s="2"/>
      <c r="PJ159" s="2"/>
      <c r="PK159" s="2"/>
      <c r="PL159" s="2"/>
      <c r="PM159" s="2"/>
      <c r="PN159" s="2"/>
      <c r="PO159" s="2"/>
      <c r="PP159" s="2"/>
      <c r="PQ159" s="2"/>
      <c r="PR159" s="2"/>
      <c r="PS159" s="2"/>
      <c r="PT159" s="2"/>
      <c r="PU159" s="2"/>
      <c r="PV159" s="2"/>
      <c r="PW159" s="2"/>
      <c r="PX159" s="2"/>
      <c r="PY159" s="2"/>
      <c r="PZ159" s="2"/>
      <c r="QA159" s="2"/>
      <c r="QB159" s="2"/>
      <c r="QC159" s="2"/>
      <c r="QD159" s="2"/>
      <c r="QE159" s="2"/>
      <c r="QF159" s="2"/>
      <c r="QG159" s="2"/>
      <c r="QH159" s="2"/>
      <c r="QI159" s="2"/>
      <c r="QJ159" s="2"/>
      <c r="QK159" s="2"/>
      <c r="QL159" s="2"/>
      <c r="QM159" s="2"/>
      <c r="QN159" s="2"/>
      <c r="QO159" s="2"/>
      <c r="QP159" s="2"/>
      <c r="QQ159" s="2"/>
      <c r="QR159" s="2"/>
      <c r="QS159" s="2"/>
      <c r="QT159" s="2"/>
      <c r="QU159" s="2"/>
      <c r="QV159" s="2"/>
      <c r="QW159" s="2"/>
      <c r="QX159" s="2"/>
      <c r="QY159" s="2"/>
      <c r="QZ159" s="2"/>
      <c r="RA159" s="2"/>
      <c r="RB159" s="2"/>
      <c r="RC159" s="2"/>
      <c r="RD159" s="2"/>
      <c r="RE159" s="2"/>
      <c r="RF159" s="2"/>
      <c r="RG159" s="2"/>
      <c r="RH159" s="2"/>
      <c r="RI159" s="2"/>
      <c r="RJ159" s="2"/>
      <c r="RK159" s="2"/>
      <c r="RL159" s="2"/>
      <c r="RM159" s="2"/>
      <c r="RN159" s="2"/>
      <c r="RO159" s="2"/>
      <c r="RP159" s="2"/>
      <c r="RQ159" s="2"/>
      <c r="RR159" s="2"/>
      <c r="RS159" s="2"/>
      <c r="RT159" s="2"/>
      <c r="RU159" s="2"/>
      <c r="RV159" s="2"/>
      <c r="RW159" s="2"/>
      <c r="RX159" s="2"/>
      <c r="RY159" s="2"/>
      <c r="RZ159" s="2"/>
      <c r="SA159" s="2"/>
      <c r="SB159" s="2"/>
      <c r="SC159" s="2"/>
      <c r="SD159" s="2"/>
      <c r="SE159" s="2"/>
      <c r="SF159" s="2"/>
      <c r="SG159" s="2"/>
      <c r="SH159" s="2"/>
      <c r="SI159" s="2"/>
      <c r="SJ159" s="2"/>
      <c r="SK159" s="2"/>
      <c r="SL159" s="2"/>
      <c r="SM159" s="2"/>
      <c r="SN159" s="2"/>
      <c r="SO159" s="2"/>
      <c r="SP159" s="2"/>
      <c r="SQ159" s="2"/>
      <c r="SR159" s="2"/>
      <c r="SS159" s="2"/>
      <c r="ST159" s="2"/>
      <c r="SU159" s="2"/>
      <c r="SV159" s="2"/>
      <c r="SW159" s="2"/>
      <c r="SX159" s="2"/>
    </row>
    <row r="160" spans="33:518" x14ac:dyDescent="0.25"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  <c r="FK160" s="2"/>
      <c r="FL160" s="2"/>
      <c r="FM160" s="2"/>
      <c r="FN160" s="2"/>
      <c r="FO160" s="2"/>
      <c r="FP160" s="2"/>
      <c r="FQ160" s="2"/>
      <c r="FR160" s="2"/>
      <c r="FS160" s="2"/>
      <c r="FT160" s="2"/>
      <c r="FU160" s="2"/>
      <c r="FV160" s="2"/>
      <c r="FW160" s="2"/>
      <c r="FX160" s="2"/>
      <c r="FY160" s="2"/>
      <c r="FZ160" s="2"/>
      <c r="GA160" s="2"/>
      <c r="GB160" s="2"/>
      <c r="GC160" s="2"/>
      <c r="GD160" s="2"/>
      <c r="GE160" s="2"/>
      <c r="GF160" s="2"/>
      <c r="GG160" s="2"/>
      <c r="GH160" s="2"/>
      <c r="GI160" s="2"/>
      <c r="GJ160" s="2"/>
      <c r="GK160" s="2"/>
      <c r="GL160" s="2"/>
      <c r="GM160" s="2"/>
      <c r="GN160" s="2"/>
      <c r="GO160" s="2"/>
      <c r="GP160" s="2"/>
      <c r="GQ160" s="2"/>
      <c r="GR160" s="2"/>
      <c r="GS160" s="2"/>
      <c r="GT160" s="2"/>
      <c r="GU160" s="2"/>
      <c r="GV160" s="2"/>
      <c r="GW160" s="2"/>
      <c r="GX160" s="2"/>
      <c r="GY160" s="2"/>
      <c r="GZ160" s="2"/>
      <c r="HA160" s="2"/>
      <c r="HB160" s="2"/>
      <c r="HC160" s="2"/>
      <c r="HD160" s="2"/>
      <c r="HE160" s="2"/>
      <c r="HF160" s="2"/>
      <c r="HG160" s="2"/>
      <c r="HH160" s="2"/>
      <c r="HI160" s="2"/>
      <c r="HJ160" s="2"/>
      <c r="HK160" s="2"/>
      <c r="HL160" s="2"/>
      <c r="HM160" s="2"/>
      <c r="HN160" s="2"/>
      <c r="HO160" s="2"/>
      <c r="HP160" s="2"/>
      <c r="HQ160" s="2"/>
      <c r="HR160" s="2"/>
      <c r="HS160" s="2"/>
      <c r="HT160" s="2"/>
      <c r="HU160" s="2"/>
      <c r="HV160" s="2"/>
      <c r="HW160" s="2"/>
      <c r="HX160" s="2"/>
      <c r="HY160" s="2"/>
      <c r="HZ160" s="2"/>
      <c r="IA160" s="2"/>
      <c r="IB160" s="2"/>
      <c r="IC160" s="2"/>
      <c r="ID160" s="2"/>
      <c r="IE160" s="2"/>
      <c r="IF160" s="2"/>
      <c r="IG160" s="2"/>
      <c r="IH160" s="2"/>
      <c r="II160" s="2"/>
      <c r="IJ160" s="2"/>
      <c r="IK160" s="2"/>
      <c r="IL160" s="2"/>
      <c r="IM160" s="2"/>
      <c r="IN160" s="2"/>
      <c r="IO160" s="2"/>
      <c r="IP160" s="2"/>
      <c r="IQ160" s="2"/>
      <c r="IR160" s="2"/>
      <c r="IS160" s="2"/>
      <c r="IT160" s="2"/>
      <c r="IU160" s="2"/>
      <c r="IV160" s="2"/>
      <c r="IW160" s="2"/>
      <c r="IX160" s="2"/>
      <c r="IY160" s="2"/>
      <c r="IZ160" s="2"/>
      <c r="JA160" s="2"/>
      <c r="JB160" s="2"/>
      <c r="JC160" s="2"/>
      <c r="JD160" s="2"/>
      <c r="JE160" s="2"/>
      <c r="JF160" s="2"/>
      <c r="JG160" s="2"/>
      <c r="JH160" s="2"/>
      <c r="JI160" s="2"/>
      <c r="JJ160" s="2"/>
      <c r="JK160" s="2"/>
      <c r="JL160" s="2"/>
      <c r="JM160" s="2"/>
      <c r="JN160" s="2"/>
      <c r="JO160" s="2"/>
      <c r="JP160" s="2"/>
      <c r="JQ160" s="2"/>
      <c r="JR160" s="2"/>
      <c r="JS160" s="2"/>
      <c r="JT160" s="2"/>
      <c r="JU160" s="2"/>
      <c r="JV160" s="2"/>
      <c r="JW160" s="2"/>
      <c r="JX160" s="2"/>
      <c r="JY160" s="2"/>
      <c r="JZ160" s="2"/>
      <c r="KA160" s="2"/>
      <c r="KB160" s="2"/>
      <c r="KC160" s="2"/>
      <c r="KD160" s="2"/>
      <c r="KE160" s="2"/>
      <c r="KF160" s="2"/>
      <c r="KG160" s="2"/>
      <c r="KH160" s="2"/>
      <c r="KI160" s="2"/>
      <c r="KJ160" s="2"/>
      <c r="KK160" s="2"/>
      <c r="KL160" s="2"/>
      <c r="KM160" s="2"/>
      <c r="KN160" s="2"/>
      <c r="KO160" s="2"/>
      <c r="KP160" s="2"/>
      <c r="KQ160" s="2"/>
      <c r="KR160" s="2"/>
      <c r="KS160" s="2"/>
      <c r="KT160" s="2"/>
      <c r="KU160" s="2"/>
      <c r="KV160" s="2"/>
      <c r="KW160" s="2"/>
      <c r="KX160" s="2"/>
      <c r="KY160" s="2"/>
      <c r="KZ160" s="2"/>
      <c r="LA160" s="2"/>
      <c r="LB160" s="2"/>
      <c r="LC160" s="2"/>
      <c r="LD160" s="2"/>
      <c r="LE160" s="2"/>
      <c r="LF160" s="2"/>
      <c r="LG160" s="2"/>
      <c r="LH160" s="2"/>
      <c r="LI160" s="2"/>
      <c r="LJ160" s="2"/>
      <c r="LK160" s="2"/>
      <c r="LL160" s="2"/>
      <c r="LM160" s="2"/>
      <c r="LN160" s="2"/>
      <c r="LO160" s="2"/>
      <c r="LP160" s="2"/>
      <c r="LQ160" s="2"/>
      <c r="LR160" s="2"/>
      <c r="LS160" s="2"/>
      <c r="LT160" s="2"/>
      <c r="LU160" s="2"/>
      <c r="LV160" s="2"/>
      <c r="LW160" s="2"/>
      <c r="LX160" s="2"/>
      <c r="LY160" s="2"/>
      <c r="LZ160" s="2"/>
      <c r="MA160" s="2"/>
      <c r="MB160" s="2"/>
      <c r="MC160" s="2"/>
      <c r="MD160" s="2"/>
      <c r="ME160" s="2"/>
      <c r="MF160" s="2"/>
      <c r="MG160" s="2"/>
      <c r="MH160" s="2"/>
      <c r="MI160" s="2"/>
      <c r="MJ160" s="2"/>
      <c r="MK160" s="2"/>
      <c r="ML160" s="2"/>
      <c r="MM160" s="2"/>
      <c r="MN160" s="2"/>
      <c r="MO160" s="2"/>
      <c r="MP160" s="2"/>
      <c r="MQ160" s="2"/>
      <c r="MR160" s="2"/>
      <c r="MS160" s="2"/>
      <c r="MT160" s="2"/>
      <c r="MU160" s="2"/>
      <c r="MV160" s="2"/>
      <c r="MW160" s="2"/>
      <c r="MX160" s="2"/>
      <c r="MY160" s="2"/>
      <c r="MZ160" s="2"/>
      <c r="NA160" s="2"/>
      <c r="NB160" s="2"/>
      <c r="NC160" s="2"/>
      <c r="ND160" s="2"/>
      <c r="NE160" s="2"/>
      <c r="NF160" s="2"/>
      <c r="NG160" s="2"/>
      <c r="NH160" s="2"/>
      <c r="NI160" s="2"/>
      <c r="NJ160" s="2"/>
      <c r="NK160" s="2"/>
      <c r="NL160" s="2"/>
      <c r="NM160" s="2"/>
      <c r="NN160" s="2"/>
      <c r="NO160" s="2"/>
      <c r="NP160" s="2"/>
      <c r="NQ160" s="2"/>
      <c r="NR160" s="2"/>
      <c r="NS160" s="2"/>
      <c r="NT160" s="2"/>
      <c r="NU160" s="2"/>
      <c r="NV160" s="2"/>
      <c r="NW160" s="2"/>
      <c r="NX160" s="2"/>
      <c r="NY160" s="2"/>
      <c r="NZ160" s="2"/>
      <c r="OA160" s="2"/>
      <c r="OB160" s="2"/>
      <c r="OC160" s="2"/>
      <c r="OD160" s="2"/>
      <c r="OE160" s="2"/>
      <c r="OF160" s="2"/>
      <c r="OG160" s="2"/>
      <c r="OH160" s="2"/>
      <c r="OI160" s="2"/>
      <c r="OJ160" s="2"/>
      <c r="OK160" s="2"/>
      <c r="OL160" s="2"/>
      <c r="OM160" s="2"/>
      <c r="ON160" s="2"/>
      <c r="OO160" s="2"/>
      <c r="OP160" s="2"/>
      <c r="OQ160" s="2"/>
      <c r="OR160" s="2"/>
      <c r="OS160" s="2"/>
      <c r="OT160" s="2"/>
      <c r="OU160" s="2"/>
      <c r="OV160" s="2"/>
      <c r="OW160" s="2"/>
      <c r="OX160" s="2"/>
      <c r="OY160" s="2"/>
      <c r="OZ160" s="2"/>
      <c r="PA160" s="2"/>
      <c r="PB160" s="2"/>
      <c r="PC160" s="2"/>
      <c r="PD160" s="2"/>
      <c r="PE160" s="2"/>
      <c r="PF160" s="2"/>
      <c r="PG160" s="2"/>
      <c r="PH160" s="2"/>
      <c r="PI160" s="2"/>
      <c r="PJ160" s="2"/>
      <c r="PK160" s="2"/>
      <c r="PL160" s="2"/>
      <c r="PM160" s="2"/>
      <c r="PN160" s="2"/>
      <c r="PO160" s="2"/>
      <c r="PP160" s="2"/>
      <c r="PQ160" s="2"/>
      <c r="PR160" s="2"/>
      <c r="PS160" s="2"/>
      <c r="PT160" s="2"/>
      <c r="PU160" s="2"/>
      <c r="PV160" s="2"/>
      <c r="PW160" s="2"/>
      <c r="PX160" s="2"/>
      <c r="PY160" s="2"/>
      <c r="PZ160" s="2"/>
      <c r="QA160" s="2"/>
      <c r="QB160" s="2"/>
      <c r="QC160" s="2"/>
      <c r="QD160" s="2"/>
      <c r="QE160" s="2"/>
      <c r="QF160" s="2"/>
      <c r="QG160" s="2"/>
      <c r="QH160" s="2"/>
      <c r="QI160" s="2"/>
      <c r="QJ160" s="2"/>
      <c r="QK160" s="2"/>
      <c r="QL160" s="2"/>
      <c r="QM160" s="2"/>
      <c r="QN160" s="2"/>
      <c r="QO160" s="2"/>
      <c r="QP160" s="2"/>
      <c r="QQ160" s="2"/>
      <c r="QR160" s="2"/>
      <c r="QS160" s="2"/>
      <c r="QT160" s="2"/>
      <c r="QU160" s="2"/>
      <c r="QV160" s="2"/>
      <c r="QW160" s="2"/>
      <c r="QX160" s="2"/>
      <c r="QY160" s="2"/>
      <c r="QZ160" s="2"/>
      <c r="RA160" s="2"/>
      <c r="RB160" s="2"/>
      <c r="RC160" s="2"/>
      <c r="RD160" s="2"/>
      <c r="RE160" s="2"/>
      <c r="RF160" s="2"/>
      <c r="RG160" s="2"/>
      <c r="RH160" s="2"/>
      <c r="RI160" s="2"/>
      <c r="RJ160" s="2"/>
      <c r="RK160" s="2"/>
      <c r="RL160" s="2"/>
      <c r="RM160" s="2"/>
      <c r="RN160" s="2"/>
      <c r="RO160" s="2"/>
      <c r="RP160" s="2"/>
      <c r="RQ160" s="2"/>
      <c r="RR160" s="2"/>
      <c r="RS160" s="2"/>
      <c r="RT160" s="2"/>
      <c r="RU160" s="2"/>
      <c r="RV160" s="2"/>
      <c r="RW160" s="2"/>
      <c r="RX160" s="2"/>
      <c r="RY160" s="2"/>
      <c r="RZ160" s="2"/>
      <c r="SA160" s="2"/>
      <c r="SB160" s="2"/>
      <c r="SC160" s="2"/>
      <c r="SD160" s="2"/>
      <c r="SE160" s="2"/>
      <c r="SF160" s="2"/>
      <c r="SG160" s="2"/>
      <c r="SH160" s="2"/>
      <c r="SI160" s="2"/>
      <c r="SJ160" s="2"/>
      <c r="SK160" s="2"/>
      <c r="SL160" s="2"/>
      <c r="SM160" s="2"/>
      <c r="SN160" s="2"/>
      <c r="SO160" s="2"/>
      <c r="SP160" s="2"/>
      <c r="SQ160" s="2"/>
      <c r="SR160" s="2"/>
      <c r="SS160" s="2"/>
      <c r="ST160" s="2"/>
      <c r="SU160" s="2"/>
      <c r="SV160" s="2"/>
      <c r="SW160" s="2"/>
      <c r="SX160" s="2"/>
    </row>
    <row r="161" spans="33:518" x14ac:dyDescent="0.25"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  <c r="FK161" s="2"/>
      <c r="FL161" s="2"/>
      <c r="FM161" s="2"/>
      <c r="FN161" s="2"/>
      <c r="FO161" s="2"/>
      <c r="FP161" s="2"/>
      <c r="FQ161" s="2"/>
      <c r="FR161" s="2"/>
      <c r="FS161" s="2"/>
      <c r="FT161" s="2"/>
      <c r="FU161" s="2"/>
      <c r="FV161" s="2"/>
      <c r="FW161" s="2"/>
      <c r="FX161" s="2"/>
      <c r="FY161" s="2"/>
      <c r="FZ161" s="2"/>
      <c r="GA161" s="2"/>
      <c r="GB161" s="2"/>
      <c r="GC161" s="2"/>
      <c r="GD161" s="2"/>
      <c r="GE161" s="2"/>
      <c r="GF161" s="2"/>
      <c r="GG161" s="2"/>
      <c r="GH161" s="2"/>
      <c r="GI161" s="2"/>
      <c r="GJ161" s="2"/>
      <c r="GK161" s="2"/>
      <c r="GL161" s="2"/>
      <c r="GM161" s="2"/>
      <c r="GN161" s="2"/>
      <c r="GO161" s="2"/>
      <c r="GP161" s="2"/>
      <c r="GQ161" s="2"/>
      <c r="GR161" s="2"/>
      <c r="GS161" s="2"/>
      <c r="GT161" s="2"/>
      <c r="GU161" s="2"/>
      <c r="GV161" s="2"/>
      <c r="GW161" s="2"/>
      <c r="GX161" s="2"/>
      <c r="GY161" s="2"/>
      <c r="GZ161" s="2"/>
      <c r="HA161" s="2"/>
      <c r="HB161" s="2"/>
      <c r="HC161" s="2"/>
      <c r="HD161" s="2"/>
      <c r="HE161" s="2"/>
      <c r="HF161" s="2"/>
      <c r="HG161" s="2"/>
      <c r="HH161" s="2"/>
      <c r="HI161" s="2"/>
      <c r="HJ161" s="2"/>
      <c r="HK161" s="2"/>
      <c r="HL161" s="2"/>
      <c r="HM161" s="2"/>
      <c r="HN161" s="2"/>
      <c r="HO161" s="2"/>
      <c r="HP161" s="2"/>
      <c r="HQ161" s="2"/>
      <c r="HR161" s="2"/>
      <c r="HS161" s="2"/>
      <c r="HT161" s="2"/>
      <c r="HU161" s="2"/>
      <c r="HV161" s="2"/>
      <c r="HW161" s="2"/>
      <c r="HX161" s="2"/>
      <c r="HY161" s="2"/>
      <c r="HZ161" s="2"/>
      <c r="IA161" s="2"/>
      <c r="IB161" s="2"/>
      <c r="IC161" s="2"/>
      <c r="ID161" s="2"/>
      <c r="IE161" s="2"/>
      <c r="IF161" s="2"/>
      <c r="IG161" s="2"/>
      <c r="IH161" s="2"/>
      <c r="II161" s="2"/>
      <c r="IJ161" s="2"/>
      <c r="IK161" s="2"/>
      <c r="IL161" s="2"/>
      <c r="IM161" s="2"/>
      <c r="IN161" s="2"/>
      <c r="IO161" s="2"/>
      <c r="IP161" s="2"/>
      <c r="IQ161" s="2"/>
      <c r="IR161" s="2"/>
      <c r="IS161" s="2"/>
      <c r="IT161" s="2"/>
      <c r="IU161" s="2"/>
      <c r="IV161" s="2"/>
      <c r="IW161" s="2"/>
      <c r="IX161" s="2"/>
      <c r="IY161" s="2"/>
      <c r="IZ161" s="2"/>
      <c r="JA161" s="2"/>
      <c r="JB161" s="2"/>
      <c r="JC161" s="2"/>
      <c r="JD161" s="2"/>
      <c r="JE161" s="2"/>
      <c r="JF161" s="2"/>
      <c r="JG161" s="2"/>
      <c r="JH161" s="2"/>
      <c r="JI161" s="2"/>
      <c r="JJ161" s="2"/>
      <c r="JK161" s="2"/>
      <c r="JL161" s="2"/>
      <c r="JM161" s="2"/>
      <c r="JN161" s="2"/>
      <c r="JO161" s="2"/>
      <c r="JP161" s="2"/>
      <c r="JQ161" s="2"/>
      <c r="JR161" s="2"/>
      <c r="JS161" s="2"/>
      <c r="JT161" s="2"/>
      <c r="JU161" s="2"/>
      <c r="JV161" s="2"/>
      <c r="JW161" s="2"/>
      <c r="JX161" s="2"/>
      <c r="JY161" s="2"/>
      <c r="JZ161" s="2"/>
      <c r="KA161" s="2"/>
      <c r="KB161" s="2"/>
      <c r="KC161" s="2"/>
      <c r="KD161" s="2"/>
      <c r="KE161" s="2"/>
      <c r="KF161" s="2"/>
      <c r="KG161" s="2"/>
      <c r="KH161" s="2"/>
      <c r="KI161" s="2"/>
      <c r="KJ161" s="2"/>
      <c r="KK161" s="2"/>
      <c r="KL161" s="2"/>
      <c r="KM161" s="2"/>
      <c r="KN161" s="2"/>
      <c r="KO161" s="2"/>
      <c r="KP161" s="2"/>
      <c r="KQ161" s="2"/>
      <c r="KR161" s="2"/>
      <c r="KS161" s="2"/>
      <c r="KT161" s="2"/>
      <c r="KU161" s="2"/>
      <c r="KV161" s="2"/>
      <c r="KW161" s="2"/>
      <c r="KX161" s="2"/>
      <c r="KY161" s="2"/>
      <c r="KZ161" s="2"/>
      <c r="LA161" s="2"/>
      <c r="LB161" s="2"/>
      <c r="LC161" s="2"/>
      <c r="LD161" s="2"/>
      <c r="LE161" s="2"/>
      <c r="LF161" s="2"/>
      <c r="LG161" s="2"/>
      <c r="LH161" s="2"/>
      <c r="LI161" s="2"/>
      <c r="LJ161" s="2"/>
      <c r="LK161" s="2"/>
      <c r="LL161" s="2"/>
      <c r="LM161" s="2"/>
      <c r="LN161" s="2"/>
      <c r="LO161" s="2"/>
      <c r="LP161" s="2"/>
      <c r="LQ161" s="2"/>
      <c r="LR161" s="2"/>
      <c r="LS161" s="2"/>
      <c r="LT161" s="2"/>
      <c r="LU161" s="2"/>
      <c r="LV161" s="2"/>
      <c r="LW161" s="2"/>
      <c r="LX161" s="2"/>
      <c r="LY161" s="2"/>
      <c r="LZ161" s="2"/>
      <c r="MA161" s="2"/>
      <c r="MB161" s="2"/>
      <c r="MC161" s="2"/>
      <c r="MD161" s="2"/>
      <c r="ME161" s="2"/>
      <c r="MF161" s="2"/>
      <c r="MG161" s="2"/>
      <c r="MH161" s="2"/>
      <c r="MI161" s="2"/>
      <c r="MJ161" s="2"/>
      <c r="MK161" s="2"/>
      <c r="ML161" s="2"/>
      <c r="MM161" s="2"/>
      <c r="MN161" s="2"/>
      <c r="MO161" s="2"/>
      <c r="MP161" s="2"/>
      <c r="MQ161" s="2"/>
      <c r="MR161" s="2"/>
      <c r="MS161" s="2"/>
      <c r="MT161" s="2"/>
      <c r="MU161" s="2"/>
      <c r="MV161" s="2"/>
      <c r="MW161" s="2"/>
      <c r="MX161" s="2"/>
      <c r="MY161" s="2"/>
      <c r="MZ161" s="2"/>
      <c r="NA161" s="2"/>
      <c r="NB161" s="2"/>
      <c r="NC161" s="2"/>
      <c r="ND161" s="2"/>
      <c r="NE161" s="2"/>
      <c r="NF161" s="2"/>
      <c r="NG161" s="2"/>
      <c r="NH161" s="2"/>
      <c r="NI161" s="2"/>
      <c r="NJ161" s="2"/>
      <c r="NK161" s="2"/>
      <c r="NL161" s="2"/>
      <c r="NM161" s="2"/>
      <c r="NN161" s="2"/>
      <c r="NO161" s="2"/>
      <c r="NP161" s="2"/>
      <c r="NQ161" s="2"/>
      <c r="NR161" s="2"/>
      <c r="NS161" s="2"/>
      <c r="NT161" s="2"/>
      <c r="NU161" s="2"/>
      <c r="NV161" s="2"/>
      <c r="NW161" s="2"/>
      <c r="NX161" s="2"/>
      <c r="NY161" s="2"/>
      <c r="NZ161" s="2"/>
      <c r="OA161" s="2"/>
      <c r="OB161" s="2"/>
      <c r="OC161" s="2"/>
      <c r="OD161" s="2"/>
      <c r="OE161" s="2"/>
      <c r="OF161" s="2"/>
      <c r="OG161" s="2"/>
      <c r="OH161" s="2"/>
      <c r="OI161" s="2"/>
      <c r="OJ161" s="2"/>
      <c r="OK161" s="2"/>
      <c r="OL161" s="2"/>
      <c r="OM161" s="2"/>
      <c r="ON161" s="2"/>
      <c r="OO161" s="2"/>
      <c r="OP161" s="2"/>
      <c r="OQ161" s="2"/>
      <c r="OR161" s="2"/>
      <c r="OS161" s="2"/>
      <c r="OT161" s="2"/>
      <c r="OU161" s="2"/>
      <c r="OV161" s="2"/>
      <c r="OW161" s="2"/>
      <c r="OX161" s="2"/>
      <c r="OY161" s="2"/>
      <c r="OZ161" s="2"/>
      <c r="PA161" s="2"/>
      <c r="PB161" s="2"/>
      <c r="PC161" s="2"/>
      <c r="PD161" s="2"/>
      <c r="PE161" s="2"/>
      <c r="PF161" s="2"/>
      <c r="PG161" s="2"/>
      <c r="PH161" s="2"/>
      <c r="PI161" s="2"/>
      <c r="PJ161" s="2"/>
      <c r="PK161" s="2"/>
      <c r="PL161" s="2"/>
      <c r="PM161" s="2"/>
      <c r="PN161" s="2"/>
      <c r="PO161" s="2"/>
      <c r="PP161" s="2"/>
      <c r="PQ161" s="2"/>
      <c r="PR161" s="2"/>
      <c r="PS161" s="2"/>
      <c r="PT161" s="2"/>
      <c r="PU161" s="2"/>
      <c r="PV161" s="2"/>
      <c r="PW161" s="2"/>
      <c r="PX161" s="2"/>
      <c r="PY161" s="2"/>
      <c r="PZ161" s="2"/>
      <c r="QA161" s="2"/>
      <c r="QB161" s="2"/>
      <c r="QC161" s="2"/>
      <c r="QD161" s="2"/>
      <c r="QE161" s="2"/>
      <c r="QF161" s="2"/>
      <c r="QG161" s="2"/>
      <c r="QH161" s="2"/>
      <c r="QI161" s="2"/>
      <c r="QJ161" s="2"/>
      <c r="QK161" s="2"/>
      <c r="QL161" s="2"/>
      <c r="QM161" s="2"/>
      <c r="QN161" s="2"/>
      <c r="QO161" s="2"/>
      <c r="QP161" s="2"/>
      <c r="QQ161" s="2"/>
      <c r="QR161" s="2"/>
      <c r="QS161" s="2"/>
      <c r="QT161" s="2"/>
      <c r="QU161" s="2"/>
      <c r="QV161" s="2"/>
      <c r="QW161" s="2"/>
      <c r="QX161" s="2"/>
      <c r="QY161" s="2"/>
      <c r="QZ161" s="2"/>
      <c r="RA161" s="2"/>
      <c r="RB161" s="2"/>
      <c r="RC161" s="2"/>
      <c r="RD161" s="2"/>
      <c r="RE161" s="2"/>
      <c r="RF161" s="2"/>
      <c r="RG161" s="2"/>
      <c r="RH161" s="2"/>
      <c r="RI161" s="2"/>
      <c r="RJ161" s="2"/>
      <c r="RK161" s="2"/>
      <c r="RL161" s="2"/>
      <c r="RM161" s="2"/>
      <c r="RN161" s="2"/>
      <c r="RO161" s="2"/>
      <c r="RP161" s="2"/>
      <c r="RQ161" s="2"/>
      <c r="RR161" s="2"/>
      <c r="RS161" s="2"/>
      <c r="RT161" s="2"/>
      <c r="RU161" s="2"/>
      <c r="RV161" s="2"/>
      <c r="RW161" s="2"/>
      <c r="RX161" s="2"/>
      <c r="RY161" s="2"/>
      <c r="RZ161" s="2"/>
      <c r="SA161" s="2"/>
      <c r="SB161" s="2"/>
      <c r="SC161" s="2"/>
      <c r="SD161" s="2"/>
      <c r="SE161" s="2"/>
      <c r="SF161" s="2"/>
      <c r="SG161" s="2"/>
      <c r="SH161" s="2"/>
      <c r="SI161" s="2"/>
      <c r="SJ161" s="2"/>
      <c r="SK161" s="2"/>
      <c r="SL161" s="2"/>
      <c r="SM161" s="2"/>
      <c r="SN161" s="2"/>
      <c r="SO161" s="2"/>
      <c r="SP161" s="2"/>
      <c r="SQ161" s="2"/>
      <c r="SR161" s="2"/>
      <c r="SS161" s="2"/>
      <c r="ST161" s="2"/>
      <c r="SU161" s="2"/>
      <c r="SV161" s="2"/>
      <c r="SW161" s="2"/>
      <c r="SX161" s="2"/>
    </row>
    <row r="162" spans="33:518" x14ac:dyDescent="0.25"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  <c r="FK162" s="2"/>
      <c r="FL162" s="2"/>
      <c r="FM162" s="2"/>
      <c r="FN162" s="2"/>
      <c r="FO162" s="2"/>
      <c r="FP162" s="2"/>
      <c r="FQ162" s="2"/>
      <c r="FR162" s="2"/>
      <c r="FS162" s="2"/>
      <c r="FT162" s="2"/>
      <c r="FU162" s="2"/>
      <c r="FV162" s="2"/>
      <c r="FW162" s="2"/>
      <c r="FX162" s="2"/>
      <c r="FY162" s="2"/>
      <c r="FZ162" s="2"/>
      <c r="GA162" s="2"/>
      <c r="GB162" s="2"/>
      <c r="GC162" s="2"/>
      <c r="GD162" s="2"/>
      <c r="GE162" s="2"/>
      <c r="GF162" s="2"/>
      <c r="GG162" s="2"/>
      <c r="GH162" s="2"/>
      <c r="GI162" s="2"/>
      <c r="GJ162" s="2"/>
      <c r="GK162" s="2"/>
      <c r="GL162" s="2"/>
      <c r="GM162" s="2"/>
      <c r="GN162" s="2"/>
      <c r="GO162" s="2"/>
      <c r="GP162" s="2"/>
      <c r="GQ162" s="2"/>
      <c r="GR162" s="2"/>
      <c r="GS162" s="2"/>
      <c r="GT162" s="2"/>
      <c r="GU162" s="2"/>
      <c r="GV162" s="2"/>
      <c r="GW162" s="2"/>
      <c r="GX162" s="2"/>
      <c r="GY162" s="2"/>
      <c r="GZ162" s="2"/>
      <c r="HA162" s="2"/>
      <c r="HB162" s="2"/>
      <c r="HC162" s="2"/>
      <c r="HD162" s="2"/>
      <c r="HE162" s="2"/>
      <c r="HF162" s="2"/>
      <c r="HG162" s="2"/>
      <c r="HH162" s="2"/>
      <c r="HI162" s="2"/>
      <c r="HJ162" s="2"/>
      <c r="HK162" s="2"/>
      <c r="HL162" s="2"/>
      <c r="HM162" s="2"/>
      <c r="HN162" s="2"/>
      <c r="HO162" s="2"/>
      <c r="HP162" s="2"/>
      <c r="HQ162" s="2"/>
      <c r="HR162" s="2"/>
      <c r="HS162" s="2"/>
      <c r="HT162" s="2"/>
      <c r="HU162" s="2"/>
      <c r="HV162" s="2"/>
      <c r="HW162" s="2"/>
      <c r="HX162" s="2"/>
      <c r="HY162" s="2"/>
      <c r="HZ162" s="2"/>
      <c r="IA162" s="2"/>
      <c r="IB162" s="2"/>
      <c r="IC162" s="2"/>
      <c r="ID162" s="2"/>
      <c r="IE162" s="2"/>
      <c r="IF162" s="2"/>
      <c r="IG162" s="2"/>
      <c r="IH162" s="2"/>
      <c r="II162" s="2"/>
      <c r="IJ162" s="2"/>
      <c r="IK162" s="2"/>
      <c r="IL162" s="2"/>
      <c r="IM162" s="2"/>
      <c r="IN162" s="2"/>
      <c r="IO162" s="2"/>
      <c r="IP162" s="2"/>
      <c r="IQ162" s="2"/>
      <c r="IR162" s="2"/>
      <c r="IS162" s="2"/>
      <c r="IT162" s="2"/>
      <c r="IU162" s="2"/>
      <c r="IV162" s="2"/>
      <c r="IW162" s="2"/>
      <c r="IX162" s="2"/>
      <c r="IY162" s="2"/>
      <c r="IZ162" s="2"/>
      <c r="JA162" s="2"/>
      <c r="JB162" s="2"/>
      <c r="JC162" s="2"/>
      <c r="JD162" s="2"/>
      <c r="JE162" s="2"/>
      <c r="JF162" s="2"/>
      <c r="JG162" s="2"/>
      <c r="JH162" s="2"/>
      <c r="JI162" s="2"/>
      <c r="JJ162" s="2"/>
      <c r="JK162" s="2"/>
      <c r="JL162" s="2"/>
      <c r="JM162" s="2"/>
      <c r="JN162" s="2"/>
      <c r="JO162" s="2"/>
      <c r="JP162" s="2"/>
      <c r="JQ162" s="2"/>
      <c r="JR162" s="2"/>
      <c r="JS162" s="2"/>
      <c r="JT162" s="2"/>
      <c r="JU162" s="2"/>
      <c r="JV162" s="2"/>
      <c r="JW162" s="2"/>
      <c r="JX162" s="2"/>
      <c r="JY162" s="2"/>
      <c r="JZ162" s="2"/>
      <c r="KA162" s="2"/>
      <c r="KB162" s="2"/>
      <c r="KC162" s="2"/>
      <c r="KD162" s="2"/>
      <c r="KE162" s="2"/>
      <c r="KF162" s="2"/>
      <c r="KG162" s="2"/>
      <c r="KH162" s="2"/>
      <c r="KI162" s="2"/>
      <c r="KJ162" s="2"/>
      <c r="KK162" s="2"/>
      <c r="KL162" s="2"/>
      <c r="KM162" s="2"/>
      <c r="KN162" s="2"/>
      <c r="KO162" s="2"/>
      <c r="KP162" s="2"/>
      <c r="KQ162" s="2"/>
      <c r="KR162" s="2"/>
      <c r="KS162" s="2"/>
      <c r="KT162" s="2"/>
      <c r="KU162" s="2"/>
      <c r="KV162" s="2"/>
      <c r="KW162" s="2"/>
      <c r="KX162" s="2"/>
      <c r="KY162" s="2"/>
      <c r="KZ162" s="2"/>
      <c r="LA162" s="2"/>
      <c r="LB162" s="2"/>
      <c r="LC162" s="2"/>
      <c r="LD162" s="2"/>
      <c r="LE162" s="2"/>
      <c r="LF162" s="2"/>
      <c r="LG162" s="2"/>
      <c r="LH162" s="2"/>
      <c r="LI162" s="2"/>
      <c r="LJ162" s="2"/>
      <c r="LK162" s="2"/>
      <c r="LL162" s="2"/>
      <c r="LM162" s="2"/>
      <c r="LN162" s="2"/>
      <c r="LO162" s="2"/>
      <c r="LP162" s="2"/>
      <c r="LQ162" s="2"/>
      <c r="LR162" s="2"/>
      <c r="LS162" s="2"/>
      <c r="LT162" s="2"/>
      <c r="LU162" s="2"/>
      <c r="LV162" s="2"/>
      <c r="LW162" s="2"/>
      <c r="LX162" s="2"/>
      <c r="LY162" s="2"/>
      <c r="LZ162" s="2"/>
      <c r="MA162" s="2"/>
      <c r="MB162" s="2"/>
      <c r="MC162" s="2"/>
      <c r="MD162" s="2"/>
      <c r="ME162" s="2"/>
      <c r="MF162" s="2"/>
      <c r="MG162" s="2"/>
      <c r="MH162" s="2"/>
      <c r="MI162" s="2"/>
      <c r="MJ162" s="2"/>
      <c r="MK162" s="2"/>
      <c r="ML162" s="2"/>
      <c r="MM162" s="2"/>
      <c r="MN162" s="2"/>
      <c r="MO162" s="2"/>
      <c r="MP162" s="2"/>
      <c r="MQ162" s="2"/>
      <c r="MR162" s="2"/>
      <c r="MS162" s="2"/>
      <c r="MT162" s="2"/>
      <c r="MU162" s="2"/>
      <c r="MV162" s="2"/>
      <c r="MW162" s="2"/>
      <c r="MX162" s="2"/>
      <c r="MY162" s="2"/>
      <c r="MZ162" s="2"/>
      <c r="NA162" s="2"/>
      <c r="NB162" s="2"/>
      <c r="NC162" s="2"/>
      <c r="ND162" s="2"/>
      <c r="NE162" s="2"/>
      <c r="NF162" s="2"/>
      <c r="NG162" s="2"/>
      <c r="NH162" s="2"/>
      <c r="NI162" s="2"/>
      <c r="NJ162" s="2"/>
      <c r="NK162" s="2"/>
      <c r="NL162" s="2"/>
      <c r="NM162" s="2"/>
      <c r="NN162" s="2"/>
      <c r="NO162" s="2"/>
      <c r="NP162" s="2"/>
      <c r="NQ162" s="2"/>
      <c r="NR162" s="2"/>
      <c r="NS162" s="2"/>
      <c r="NT162" s="2"/>
      <c r="NU162" s="2"/>
      <c r="NV162" s="2"/>
      <c r="NW162" s="2"/>
      <c r="NX162" s="2"/>
      <c r="NY162" s="2"/>
      <c r="NZ162" s="2"/>
      <c r="OA162" s="2"/>
      <c r="OB162" s="2"/>
      <c r="OC162" s="2"/>
      <c r="OD162" s="2"/>
      <c r="OE162" s="2"/>
      <c r="OF162" s="2"/>
      <c r="OG162" s="2"/>
      <c r="OH162" s="2"/>
      <c r="OI162" s="2"/>
      <c r="OJ162" s="2"/>
      <c r="OK162" s="2"/>
      <c r="OL162" s="2"/>
      <c r="OM162" s="2"/>
      <c r="ON162" s="2"/>
      <c r="OO162" s="2"/>
      <c r="OP162" s="2"/>
      <c r="OQ162" s="2"/>
      <c r="OR162" s="2"/>
      <c r="OS162" s="2"/>
      <c r="OT162" s="2"/>
      <c r="OU162" s="2"/>
      <c r="OV162" s="2"/>
      <c r="OW162" s="2"/>
      <c r="OX162" s="2"/>
      <c r="OY162" s="2"/>
      <c r="OZ162" s="2"/>
      <c r="PA162" s="2"/>
      <c r="PB162" s="2"/>
      <c r="PC162" s="2"/>
      <c r="PD162" s="2"/>
      <c r="PE162" s="2"/>
      <c r="PF162" s="2"/>
      <c r="PG162" s="2"/>
      <c r="PH162" s="2"/>
      <c r="PI162" s="2"/>
      <c r="PJ162" s="2"/>
      <c r="PK162" s="2"/>
      <c r="PL162" s="2"/>
      <c r="PM162" s="2"/>
      <c r="PN162" s="2"/>
      <c r="PO162" s="2"/>
      <c r="PP162" s="2"/>
      <c r="PQ162" s="2"/>
      <c r="PR162" s="2"/>
      <c r="PS162" s="2"/>
      <c r="PT162" s="2"/>
      <c r="PU162" s="2"/>
      <c r="PV162" s="2"/>
      <c r="PW162" s="2"/>
      <c r="PX162" s="2"/>
      <c r="PY162" s="2"/>
      <c r="PZ162" s="2"/>
      <c r="QA162" s="2"/>
      <c r="QB162" s="2"/>
      <c r="QC162" s="2"/>
      <c r="QD162" s="2"/>
      <c r="QE162" s="2"/>
      <c r="QF162" s="2"/>
      <c r="QG162" s="2"/>
      <c r="QH162" s="2"/>
      <c r="QI162" s="2"/>
      <c r="QJ162" s="2"/>
      <c r="QK162" s="2"/>
      <c r="QL162" s="2"/>
      <c r="QM162" s="2"/>
      <c r="QN162" s="2"/>
      <c r="QO162" s="2"/>
      <c r="QP162" s="2"/>
      <c r="QQ162" s="2"/>
      <c r="QR162" s="2"/>
      <c r="QS162" s="2"/>
      <c r="QT162" s="2"/>
      <c r="QU162" s="2"/>
      <c r="QV162" s="2"/>
      <c r="QW162" s="2"/>
      <c r="QX162" s="2"/>
      <c r="QY162" s="2"/>
      <c r="QZ162" s="2"/>
      <c r="RA162" s="2"/>
      <c r="RB162" s="2"/>
      <c r="RC162" s="2"/>
      <c r="RD162" s="2"/>
      <c r="RE162" s="2"/>
      <c r="RF162" s="2"/>
      <c r="RG162" s="2"/>
      <c r="RH162" s="2"/>
      <c r="RI162" s="2"/>
      <c r="RJ162" s="2"/>
      <c r="RK162" s="2"/>
      <c r="RL162" s="2"/>
      <c r="RM162" s="2"/>
      <c r="RN162" s="2"/>
      <c r="RO162" s="2"/>
      <c r="RP162" s="2"/>
      <c r="RQ162" s="2"/>
      <c r="RR162" s="2"/>
      <c r="RS162" s="2"/>
      <c r="RT162" s="2"/>
      <c r="RU162" s="2"/>
      <c r="RV162" s="2"/>
      <c r="RW162" s="2"/>
      <c r="RX162" s="2"/>
      <c r="RY162" s="2"/>
      <c r="RZ162" s="2"/>
      <c r="SA162" s="2"/>
      <c r="SB162" s="2"/>
      <c r="SC162" s="2"/>
      <c r="SD162" s="2"/>
      <c r="SE162" s="2"/>
      <c r="SF162" s="2"/>
      <c r="SG162" s="2"/>
      <c r="SH162" s="2"/>
      <c r="SI162" s="2"/>
      <c r="SJ162" s="2"/>
      <c r="SK162" s="2"/>
      <c r="SL162" s="2"/>
      <c r="SM162" s="2"/>
      <c r="SN162" s="2"/>
      <c r="SO162" s="2"/>
      <c r="SP162" s="2"/>
      <c r="SQ162" s="2"/>
      <c r="SR162" s="2"/>
      <c r="SS162" s="2"/>
      <c r="ST162" s="2"/>
      <c r="SU162" s="2"/>
      <c r="SV162" s="2"/>
      <c r="SW162" s="2"/>
      <c r="SX162" s="2"/>
    </row>
    <row r="163" spans="33:518" x14ac:dyDescent="0.25"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  <c r="FK163" s="2"/>
      <c r="FL163" s="2"/>
      <c r="FM163" s="2"/>
      <c r="FN163" s="2"/>
      <c r="FO163" s="2"/>
      <c r="FP163" s="2"/>
      <c r="FQ163" s="2"/>
      <c r="FR163" s="2"/>
      <c r="FS163" s="2"/>
      <c r="FT163" s="2"/>
      <c r="FU163" s="2"/>
      <c r="FV163" s="2"/>
      <c r="FW163" s="2"/>
      <c r="FX163" s="2"/>
      <c r="FY163" s="2"/>
      <c r="FZ163" s="2"/>
      <c r="GA163" s="2"/>
      <c r="GB163" s="2"/>
      <c r="GC163" s="2"/>
      <c r="GD163" s="2"/>
      <c r="GE163" s="2"/>
      <c r="GF163" s="2"/>
      <c r="GG163" s="2"/>
      <c r="GH163" s="2"/>
      <c r="GI163" s="2"/>
      <c r="GJ163" s="2"/>
      <c r="GK163" s="2"/>
      <c r="GL163" s="2"/>
      <c r="GM163" s="2"/>
      <c r="GN163" s="2"/>
      <c r="GO163" s="2"/>
      <c r="GP163" s="2"/>
      <c r="GQ163" s="2"/>
      <c r="GR163" s="2"/>
      <c r="GS163" s="2"/>
      <c r="GT163" s="2"/>
      <c r="GU163" s="2"/>
      <c r="GV163" s="2"/>
      <c r="GW163" s="2"/>
      <c r="GX163" s="2"/>
      <c r="GY163" s="2"/>
      <c r="GZ163" s="2"/>
      <c r="HA163" s="2"/>
      <c r="HB163" s="2"/>
      <c r="HC163" s="2"/>
      <c r="HD163" s="2"/>
      <c r="HE163" s="2"/>
      <c r="HF163" s="2"/>
      <c r="HG163" s="2"/>
      <c r="HH163" s="2"/>
      <c r="HI163" s="2"/>
      <c r="HJ163" s="2"/>
      <c r="HK163" s="2"/>
      <c r="HL163" s="2"/>
      <c r="HM163" s="2"/>
      <c r="HN163" s="2"/>
      <c r="HO163" s="2"/>
      <c r="HP163" s="2"/>
      <c r="HQ163" s="2"/>
      <c r="HR163" s="2"/>
      <c r="HS163" s="2"/>
      <c r="HT163" s="2"/>
      <c r="HU163" s="2"/>
      <c r="HV163" s="2"/>
      <c r="HW163" s="2"/>
      <c r="HX163" s="2"/>
      <c r="HY163" s="2"/>
      <c r="HZ163" s="2"/>
      <c r="IA163" s="2"/>
      <c r="IB163" s="2"/>
      <c r="IC163" s="2"/>
      <c r="ID163" s="2"/>
      <c r="IE163" s="2"/>
      <c r="IF163" s="2"/>
      <c r="IG163" s="2"/>
      <c r="IH163" s="2"/>
      <c r="II163" s="2"/>
      <c r="IJ163" s="2"/>
      <c r="IK163" s="2"/>
      <c r="IL163" s="2"/>
      <c r="IM163" s="2"/>
      <c r="IN163" s="2"/>
      <c r="IO163" s="2"/>
      <c r="IP163" s="2"/>
      <c r="IQ163" s="2"/>
      <c r="IR163" s="2"/>
      <c r="IS163" s="2"/>
      <c r="IT163" s="2"/>
      <c r="IU163" s="2"/>
      <c r="IV163" s="2"/>
      <c r="IW163" s="2"/>
      <c r="IX163" s="2"/>
      <c r="IY163" s="2"/>
      <c r="IZ163" s="2"/>
      <c r="JA163" s="2"/>
      <c r="JB163" s="2"/>
      <c r="JC163" s="2"/>
      <c r="JD163" s="2"/>
      <c r="JE163" s="2"/>
      <c r="JF163" s="2"/>
      <c r="JG163" s="2"/>
      <c r="JH163" s="2"/>
      <c r="JI163" s="2"/>
      <c r="JJ163" s="2"/>
      <c r="JK163" s="2"/>
      <c r="JL163" s="2"/>
      <c r="JM163" s="2"/>
      <c r="JN163" s="2"/>
      <c r="JO163" s="2"/>
      <c r="JP163" s="2"/>
      <c r="JQ163" s="2"/>
      <c r="JR163" s="2"/>
      <c r="JS163" s="2"/>
      <c r="JT163" s="2"/>
      <c r="JU163" s="2"/>
      <c r="JV163" s="2"/>
      <c r="JW163" s="2"/>
      <c r="JX163" s="2"/>
      <c r="JY163" s="2"/>
      <c r="JZ163" s="2"/>
      <c r="KA163" s="2"/>
      <c r="KB163" s="2"/>
      <c r="KC163" s="2"/>
      <c r="KD163" s="2"/>
      <c r="KE163" s="2"/>
      <c r="KF163" s="2"/>
      <c r="KG163" s="2"/>
      <c r="KH163" s="2"/>
      <c r="KI163" s="2"/>
      <c r="KJ163" s="2"/>
      <c r="KK163" s="2"/>
      <c r="KL163" s="2"/>
      <c r="KM163" s="2"/>
      <c r="KN163" s="2"/>
      <c r="KO163" s="2"/>
      <c r="KP163" s="2"/>
      <c r="KQ163" s="2"/>
      <c r="KR163" s="2"/>
      <c r="KS163" s="2"/>
      <c r="KT163" s="2"/>
      <c r="KU163" s="2"/>
      <c r="KV163" s="2"/>
      <c r="KW163" s="2"/>
      <c r="KX163" s="2"/>
      <c r="KY163" s="2"/>
      <c r="KZ163" s="2"/>
      <c r="LA163" s="2"/>
      <c r="LB163" s="2"/>
      <c r="LC163" s="2"/>
      <c r="LD163" s="2"/>
      <c r="LE163" s="2"/>
      <c r="LF163" s="2"/>
      <c r="LG163" s="2"/>
      <c r="LH163" s="2"/>
      <c r="LI163" s="2"/>
      <c r="LJ163" s="2"/>
      <c r="LK163" s="2"/>
      <c r="LL163" s="2"/>
      <c r="LM163" s="2"/>
      <c r="LN163" s="2"/>
      <c r="LO163" s="2"/>
      <c r="LP163" s="2"/>
      <c r="LQ163" s="2"/>
      <c r="LR163" s="2"/>
      <c r="LS163" s="2"/>
      <c r="LT163" s="2"/>
      <c r="LU163" s="2"/>
      <c r="LV163" s="2"/>
      <c r="LW163" s="2"/>
      <c r="LX163" s="2"/>
      <c r="LY163" s="2"/>
      <c r="LZ163" s="2"/>
      <c r="MA163" s="2"/>
      <c r="MB163" s="2"/>
      <c r="MC163" s="2"/>
      <c r="MD163" s="2"/>
      <c r="ME163" s="2"/>
      <c r="MF163" s="2"/>
      <c r="MG163" s="2"/>
      <c r="MH163" s="2"/>
      <c r="MI163" s="2"/>
      <c r="MJ163" s="2"/>
      <c r="MK163" s="2"/>
      <c r="ML163" s="2"/>
      <c r="MM163" s="2"/>
      <c r="MN163" s="2"/>
      <c r="MO163" s="2"/>
      <c r="MP163" s="2"/>
      <c r="MQ163" s="2"/>
      <c r="MR163" s="2"/>
      <c r="MS163" s="2"/>
      <c r="MT163" s="2"/>
      <c r="MU163" s="2"/>
      <c r="MV163" s="2"/>
      <c r="MW163" s="2"/>
      <c r="MX163" s="2"/>
      <c r="MY163" s="2"/>
      <c r="MZ163" s="2"/>
      <c r="NA163" s="2"/>
      <c r="NB163" s="2"/>
      <c r="NC163" s="2"/>
      <c r="ND163" s="2"/>
      <c r="NE163" s="2"/>
      <c r="NF163" s="2"/>
      <c r="NG163" s="2"/>
      <c r="NH163" s="2"/>
      <c r="NI163" s="2"/>
      <c r="NJ163" s="2"/>
      <c r="NK163" s="2"/>
      <c r="NL163" s="2"/>
      <c r="NM163" s="2"/>
      <c r="NN163" s="2"/>
      <c r="NO163" s="2"/>
      <c r="NP163" s="2"/>
      <c r="NQ163" s="2"/>
      <c r="NR163" s="2"/>
      <c r="NS163" s="2"/>
      <c r="NT163" s="2"/>
      <c r="NU163" s="2"/>
      <c r="NV163" s="2"/>
      <c r="NW163" s="2"/>
      <c r="NX163" s="2"/>
      <c r="NY163" s="2"/>
      <c r="NZ163" s="2"/>
      <c r="OA163" s="2"/>
      <c r="OB163" s="2"/>
      <c r="OC163" s="2"/>
      <c r="OD163" s="2"/>
      <c r="OE163" s="2"/>
      <c r="OF163" s="2"/>
      <c r="OG163" s="2"/>
      <c r="OH163" s="2"/>
      <c r="OI163" s="2"/>
      <c r="OJ163" s="2"/>
      <c r="OK163" s="2"/>
      <c r="OL163" s="2"/>
      <c r="OM163" s="2"/>
      <c r="ON163" s="2"/>
      <c r="OO163" s="2"/>
      <c r="OP163" s="2"/>
      <c r="OQ163" s="2"/>
      <c r="OR163" s="2"/>
      <c r="OS163" s="2"/>
      <c r="OT163" s="2"/>
      <c r="OU163" s="2"/>
      <c r="OV163" s="2"/>
      <c r="OW163" s="2"/>
      <c r="OX163" s="2"/>
      <c r="OY163" s="2"/>
      <c r="OZ163" s="2"/>
      <c r="PA163" s="2"/>
      <c r="PB163" s="2"/>
      <c r="PC163" s="2"/>
      <c r="PD163" s="2"/>
      <c r="PE163" s="2"/>
      <c r="PF163" s="2"/>
      <c r="PG163" s="2"/>
      <c r="PH163" s="2"/>
      <c r="PI163" s="2"/>
      <c r="PJ163" s="2"/>
      <c r="PK163" s="2"/>
      <c r="PL163" s="2"/>
      <c r="PM163" s="2"/>
      <c r="PN163" s="2"/>
      <c r="PO163" s="2"/>
      <c r="PP163" s="2"/>
      <c r="PQ163" s="2"/>
      <c r="PR163" s="2"/>
      <c r="PS163" s="2"/>
      <c r="PT163" s="2"/>
      <c r="PU163" s="2"/>
      <c r="PV163" s="2"/>
      <c r="PW163" s="2"/>
      <c r="PX163" s="2"/>
      <c r="PY163" s="2"/>
      <c r="PZ163" s="2"/>
      <c r="QA163" s="2"/>
      <c r="QB163" s="2"/>
      <c r="QC163" s="2"/>
      <c r="QD163" s="2"/>
      <c r="QE163" s="2"/>
      <c r="QF163" s="2"/>
      <c r="QG163" s="2"/>
      <c r="QH163" s="2"/>
      <c r="QI163" s="2"/>
      <c r="QJ163" s="2"/>
      <c r="QK163" s="2"/>
      <c r="QL163" s="2"/>
      <c r="QM163" s="2"/>
      <c r="QN163" s="2"/>
      <c r="QO163" s="2"/>
      <c r="QP163" s="2"/>
      <c r="QQ163" s="2"/>
      <c r="QR163" s="2"/>
      <c r="QS163" s="2"/>
      <c r="QT163" s="2"/>
      <c r="QU163" s="2"/>
      <c r="QV163" s="2"/>
      <c r="QW163" s="2"/>
      <c r="QX163" s="2"/>
      <c r="QY163" s="2"/>
      <c r="QZ163" s="2"/>
      <c r="RA163" s="2"/>
      <c r="RB163" s="2"/>
      <c r="RC163" s="2"/>
      <c r="RD163" s="2"/>
      <c r="RE163" s="2"/>
      <c r="RF163" s="2"/>
      <c r="RG163" s="2"/>
      <c r="RH163" s="2"/>
      <c r="RI163" s="2"/>
      <c r="RJ163" s="2"/>
      <c r="RK163" s="2"/>
      <c r="RL163" s="2"/>
      <c r="RM163" s="2"/>
      <c r="RN163" s="2"/>
      <c r="RO163" s="2"/>
      <c r="RP163" s="2"/>
      <c r="RQ163" s="2"/>
      <c r="RR163" s="2"/>
      <c r="RS163" s="2"/>
      <c r="RT163" s="2"/>
      <c r="RU163" s="2"/>
      <c r="RV163" s="2"/>
      <c r="RW163" s="2"/>
      <c r="RX163" s="2"/>
      <c r="RY163" s="2"/>
      <c r="RZ163" s="2"/>
      <c r="SA163" s="2"/>
      <c r="SB163" s="2"/>
      <c r="SC163" s="2"/>
      <c r="SD163" s="2"/>
      <c r="SE163" s="2"/>
      <c r="SF163" s="2"/>
      <c r="SG163" s="2"/>
      <c r="SH163" s="2"/>
      <c r="SI163" s="2"/>
      <c r="SJ163" s="2"/>
      <c r="SK163" s="2"/>
      <c r="SL163" s="2"/>
      <c r="SM163" s="2"/>
      <c r="SN163" s="2"/>
      <c r="SO163" s="2"/>
      <c r="SP163" s="2"/>
      <c r="SQ163" s="2"/>
      <c r="SR163" s="2"/>
      <c r="SS163" s="2"/>
      <c r="ST163" s="2"/>
      <c r="SU163" s="2"/>
      <c r="SV163" s="2"/>
      <c r="SW163" s="2"/>
      <c r="SX163" s="2"/>
    </row>
    <row r="164" spans="33:518" x14ac:dyDescent="0.25"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  <c r="FK164" s="2"/>
      <c r="FL164" s="2"/>
      <c r="FM164" s="2"/>
      <c r="FN164" s="2"/>
      <c r="FO164" s="2"/>
      <c r="FP164" s="2"/>
      <c r="FQ164" s="2"/>
      <c r="FR164" s="2"/>
      <c r="FS164" s="2"/>
      <c r="FT164" s="2"/>
      <c r="FU164" s="2"/>
      <c r="FV164" s="2"/>
      <c r="FW164" s="2"/>
      <c r="FX164" s="2"/>
      <c r="FY164" s="2"/>
      <c r="FZ164" s="2"/>
      <c r="GA164" s="2"/>
      <c r="GB164" s="2"/>
      <c r="GC164" s="2"/>
      <c r="GD164" s="2"/>
      <c r="GE164" s="2"/>
      <c r="GF164" s="2"/>
      <c r="GG164" s="2"/>
      <c r="GH164" s="2"/>
      <c r="GI164" s="2"/>
      <c r="GJ164" s="2"/>
      <c r="GK164" s="2"/>
      <c r="GL164" s="2"/>
      <c r="GM164" s="2"/>
      <c r="GN164" s="2"/>
      <c r="GO164" s="2"/>
      <c r="GP164" s="2"/>
      <c r="GQ164" s="2"/>
      <c r="GR164" s="2"/>
      <c r="GS164" s="2"/>
      <c r="GT164" s="2"/>
      <c r="GU164" s="2"/>
      <c r="GV164" s="2"/>
      <c r="GW164" s="2"/>
      <c r="GX164" s="2"/>
      <c r="GY164" s="2"/>
      <c r="GZ164" s="2"/>
      <c r="HA164" s="2"/>
      <c r="HB164" s="2"/>
      <c r="HC164" s="2"/>
      <c r="HD164" s="2"/>
      <c r="HE164" s="2"/>
      <c r="HF164" s="2"/>
      <c r="HG164" s="2"/>
      <c r="HH164" s="2"/>
      <c r="HI164" s="2"/>
      <c r="HJ164" s="2"/>
      <c r="HK164" s="2"/>
      <c r="HL164" s="2"/>
      <c r="HM164" s="2"/>
      <c r="HN164" s="2"/>
      <c r="HO164" s="2"/>
      <c r="HP164" s="2"/>
      <c r="HQ164" s="2"/>
      <c r="HR164" s="2"/>
      <c r="HS164" s="2"/>
      <c r="HT164" s="2"/>
      <c r="HU164" s="2"/>
      <c r="HV164" s="2"/>
      <c r="HW164" s="2"/>
      <c r="HX164" s="2"/>
      <c r="HY164" s="2"/>
      <c r="HZ164" s="2"/>
      <c r="IA164" s="2"/>
      <c r="IB164" s="2"/>
      <c r="IC164" s="2"/>
      <c r="ID164" s="2"/>
      <c r="IE164" s="2"/>
      <c r="IF164" s="2"/>
      <c r="IG164" s="2"/>
      <c r="IH164" s="2"/>
      <c r="II164" s="2"/>
      <c r="IJ164" s="2"/>
      <c r="IK164" s="2"/>
      <c r="IL164" s="2"/>
      <c r="IM164" s="2"/>
      <c r="IN164" s="2"/>
      <c r="IO164" s="2"/>
      <c r="IP164" s="2"/>
      <c r="IQ164" s="2"/>
      <c r="IR164" s="2"/>
      <c r="IS164" s="2"/>
      <c r="IT164" s="2"/>
      <c r="IU164" s="2"/>
      <c r="IV164" s="2"/>
      <c r="IW164" s="2"/>
      <c r="IX164" s="2"/>
      <c r="IY164" s="2"/>
      <c r="IZ164" s="2"/>
      <c r="JA164" s="2"/>
      <c r="JB164" s="2"/>
      <c r="JC164" s="2"/>
      <c r="JD164" s="2"/>
      <c r="JE164" s="2"/>
      <c r="JF164" s="2"/>
      <c r="JG164" s="2"/>
      <c r="JH164" s="2"/>
      <c r="JI164" s="2"/>
      <c r="JJ164" s="2"/>
      <c r="JK164" s="2"/>
      <c r="JL164" s="2"/>
      <c r="JM164" s="2"/>
      <c r="JN164" s="2"/>
      <c r="JO164" s="2"/>
      <c r="JP164" s="2"/>
      <c r="JQ164" s="2"/>
      <c r="JR164" s="2"/>
      <c r="JS164" s="2"/>
      <c r="JT164" s="2"/>
      <c r="JU164" s="2"/>
      <c r="JV164" s="2"/>
      <c r="JW164" s="2"/>
      <c r="JX164" s="2"/>
      <c r="JY164" s="2"/>
      <c r="JZ164" s="2"/>
      <c r="KA164" s="2"/>
      <c r="KB164" s="2"/>
      <c r="KC164" s="2"/>
      <c r="KD164" s="2"/>
      <c r="KE164" s="2"/>
      <c r="KF164" s="2"/>
      <c r="KG164" s="2"/>
      <c r="KH164" s="2"/>
      <c r="KI164" s="2"/>
      <c r="KJ164" s="2"/>
      <c r="KK164" s="2"/>
      <c r="KL164" s="2"/>
      <c r="KM164" s="2"/>
      <c r="KN164" s="2"/>
      <c r="KO164" s="2"/>
      <c r="KP164" s="2"/>
      <c r="KQ164" s="2"/>
      <c r="KR164" s="2"/>
      <c r="KS164" s="2"/>
      <c r="KT164" s="2"/>
      <c r="KU164" s="2"/>
      <c r="KV164" s="2"/>
      <c r="KW164" s="2"/>
      <c r="KX164" s="2"/>
      <c r="KY164" s="2"/>
      <c r="KZ164" s="2"/>
      <c r="LA164" s="2"/>
      <c r="LB164" s="2"/>
      <c r="LC164" s="2"/>
      <c r="LD164" s="2"/>
      <c r="LE164" s="2"/>
      <c r="LF164" s="2"/>
      <c r="LG164" s="2"/>
      <c r="LH164" s="2"/>
      <c r="LI164" s="2"/>
      <c r="LJ164" s="2"/>
      <c r="LK164" s="2"/>
      <c r="LL164" s="2"/>
      <c r="LM164" s="2"/>
      <c r="LN164" s="2"/>
      <c r="LO164" s="2"/>
      <c r="LP164" s="2"/>
      <c r="LQ164" s="2"/>
      <c r="LR164" s="2"/>
      <c r="LS164" s="2"/>
      <c r="LT164" s="2"/>
      <c r="LU164" s="2"/>
      <c r="LV164" s="2"/>
      <c r="LW164" s="2"/>
      <c r="LX164" s="2"/>
      <c r="LY164" s="2"/>
      <c r="LZ164" s="2"/>
      <c r="MA164" s="2"/>
      <c r="MB164" s="2"/>
      <c r="MC164" s="2"/>
      <c r="MD164" s="2"/>
      <c r="ME164" s="2"/>
      <c r="MF164" s="2"/>
      <c r="MG164" s="2"/>
      <c r="MH164" s="2"/>
      <c r="MI164" s="2"/>
      <c r="MJ164" s="2"/>
      <c r="MK164" s="2"/>
      <c r="ML164" s="2"/>
      <c r="MM164" s="2"/>
      <c r="MN164" s="2"/>
      <c r="MO164" s="2"/>
      <c r="MP164" s="2"/>
      <c r="MQ164" s="2"/>
      <c r="MR164" s="2"/>
      <c r="MS164" s="2"/>
      <c r="MT164" s="2"/>
      <c r="MU164" s="2"/>
      <c r="MV164" s="2"/>
      <c r="MW164" s="2"/>
      <c r="MX164" s="2"/>
      <c r="MY164" s="2"/>
      <c r="MZ164" s="2"/>
      <c r="NA164" s="2"/>
      <c r="NB164" s="2"/>
      <c r="NC164" s="2"/>
      <c r="ND164" s="2"/>
      <c r="NE164" s="2"/>
      <c r="NF164" s="2"/>
      <c r="NG164" s="2"/>
      <c r="NH164" s="2"/>
      <c r="NI164" s="2"/>
      <c r="NJ164" s="2"/>
      <c r="NK164" s="2"/>
      <c r="NL164" s="2"/>
      <c r="NM164" s="2"/>
      <c r="NN164" s="2"/>
      <c r="NO164" s="2"/>
      <c r="NP164" s="2"/>
      <c r="NQ164" s="2"/>
      <c r="NR164" s="2"/>
      <c r="NS164" s="2"/>
      <c r="NT164" s="2"/>
      <c r="NU164" s="2"/>
      <c r="NV164" s="2"/>
      <c r="NW164" s="2"/>
      <c r="NX164" s="2"/>
      <c r="NY164" s="2"/>
      <c r="NZ164" s="2"/>
      <c r="OA164" s="2"/>
      <c r="OB164" s="2"/>
      <c r="OC164" s="2"/>
      <c r="OD164" s="2"/>
      <c r="OE164" s="2"/>
      <c r="OF164" s="2"/>
      <c r="OG164" s="2"/>
      <c r="OH164" s="2"/>
      <c r="OI164" s="2"/>
      <c r="OJ164" s="2"/>
      <c r="OK164" s="2"/>
      <c r="OL164" s="2"/>
      <c r="OM164" s="2"/>
      <c r="ON164" s="2"/>
      <c r="OO164" s="2"/>
      <c r="OP164" s="2"/>
      <c r="OQ164" s="2"/>
      <c r="OR164" s="2"/>
      <c r="OS164" s="2"/>
      <c r="OT164" s="2"/>
      <c r="OU164" s="2"/>
      <c r="OV164" s="2"/>
      <c r="OW164" s="2"/>
      <c r="OX164" s="2"/>
      <c r="OY164" s="2"/>
      <c r="OZ164" s="2"/>
      <c r="PA164" s="2"/>
      <c r="PB164" s="2"/>
      <c r="PC164" s="2"/>
      <c r="PD164" s="2"/>
      <c r="PE164" s="2"/>
      <c r="PF164" s="2"/>
      <c r="PG164" s="2"/>
      <c r="PH164" s="2"/>
      <c r="PI164" s="2"/>
      <c r="PJ164" s="2"/>
      <c r="PK164" s="2"/>
      <c r="PL164" s="2"/>
      <c r="PM164" s="2"/>
      <c r="PN164" s="2"/>
      <c r="PO164" s="2"/>
      <c r="PP164" s="2"/>
      <c r="PQ164" s="2"/>
      <c r="PR164" s="2"/>
      <c r="PS164" s="2"/>
      <c r="PT164" s="2"/>
      <c r="PU164" s="2"/>
      <c r="PV164" s="2"/>
      <c r="PW164" s="2"/>
      <c r="PX164" s="2"/>
      <c r="PY164" s="2"/>
      <c r="PZ164" s="2"/>
      <c r="QA164" s="2"/>
      <c r="QB164" s="2"/>
      <c r="QC164" s="2"/>
      <c r="QD164" s="2"/>
      <c r="QE164" s="2"/>
      <c r="QF164" s="2"/>
      <c r="QG164" s="2"/>
      <c r="QH164" s="2"/>
      <c r="QI164" s="2"/>
      <c r="QJ164" s="2"/>
      <c r="QK164" s="2"/>
      <c r="QL164" s="2"/>
      <c r="QM164" s="2"/>
      <c r="QN164" s="2"/>
      <c r="QO164" s="2"/>
      <c r="QP164" s="2"/>
      <c r="QQ164" s="2"/>
      <c r="QR164" s="2"/>
      <c r="QS164" s="2"/>
      <c r="QT164" s="2"/>
      <c r="QU164" s="2"/>
      <c r="QV164" s="2"/>
      <c r="QW164" s="2"/>
      <c r="QX164" s="2"/>
      <c r="QY164" s="2"/>
      <c r="QZ164" s="2"/>
      <c r="RA164" s="2"/>
      <c r="RB164" s="2"/>
      <c r="RC164" s="2"/>
      <c r="RD164" s="2"/>
      <c r="RE164" s="2"/>
      <c r="RF164" s="2"/>
      <c r="RG164" s="2"/>
      <c r="RH164" s="2"/>
      <c r="RI164" s="2"/>
      <c r="RJ164" s="2"/>
      <c r="RK164" s="2"/>
      <c r="RL164" s="2"/>
      <c r="RM164" s="2"/>
      <c r="RN164" s="2"/>
      <c r="RO164" s="2"/>
      <c r="RP164" s="2"/>
      <c r="RQ164" s="2"/>
      <c r="RR164" s="2"/>
      <c r="RS164" s="2"/>
      <c r="RT164" s="2"/>
      <c r="RU164" s="2"/>
      <c r="RV164" s="2"/>
      <c r="RW164" s="2"/>
      <c r="RX164" s="2"/>
      <c r="RY164" s="2"/>
      <c r="RZ164" s="2"/>
      <c r="SA164" s="2"/>
      <c r="SB164" s="2"/>
      <c r="SC164" s="2"/>
      <c r="SD164" s="2"/>
      <c r="SE164" s="2"/>
      <c r="SF164" s="2"/>
      <c r="SG164" s="2"/>
      <c r="SH164" s="2"/>
      <c r="SI164" s="2"/>
      <c r="SJ164" s="2"/>
      <c r="SK164" s="2"/>
      <c r="SL164" s="2"/>
      <c r="SM164" s="2"/>
      <c r="SN164" s="2"/>
      <c r="SO164" s="2"/>
      <c r="SP164" s="2"/>
      <c r="SQ164" s="2"/>
      <c r="SR164" s="2"/>
      <c r="SS164" s="2"/>
      <c r="ST164" s="2"/>
      <c r="SU164" s="2"/>
      <c r="SV164" s="2"/>
      <c r="SW164" s="2"/>
      <c r="SX164" s="2"/>
    </row>
    <row r="165" spans="33:518" x14ac:dyDescent="0.25"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  <c r="FK165" s="2"/>
      <c r="FL165" s="2"/>
      <c r="FM165" s="2"/>
      <c r="FN165" s="2"/>
      <c r="FO165" s="2"/>
      <c r="FP165" s="2"/>
      <c r="FQ165" s="2"/>
      <c r="FR165" s="2"/>
      <c r="FS165" s="2"/>
      <c r="FT165" s="2"/>
      <c r="FU165" s="2"/>
      <c r="FV165" s="2"/>
      <c r="FW165" s="2"/>
      <c r="FX165" s="2"/>
      <c r="FY165" s="2"/>
      <c r="FZ165" s="2"/>
      <c r="GA165" s="2"/>
      <c r="GB165" s="2"/>
      <c r="GC165" s="2"/>
      <c r="GD165" s="2"/>
      <c r="GE165" s="2"/>
      <c r="GF165" s="2"/>
      <c r="GG165" s="2"/>
      <c r="GH165" s="2"/>
      <c r="GI165" s="2"/>
      <c r="GJ165" s="2"/>
      <c r="GK165" s="2"/>
      <c r="GL165" s="2"/>
      <c r="GM165" s="2"/>
      <c r="GN165" s="2"/>
      <c r="GO165" s="2"/>
      <c r="GP165" s="2"/>
      <c r="GQ165" s="2"/>
      <c r="GR165" s="2"/>
      <c r="GS165" s="2"/>
      <c r="GT165" s="2"/>
      <c r="GU165" s="2"/>
      <c r="GV165" s="2"/>
      <c r="GW165" s="2"/>
      <c r="GX165" s="2"/>
      <c r="GY165" s="2"/>
      <c r="GZ165" s="2"/>
      <c r="HA165" s="2"/>
      <c r="HB165" s="2"/>
      <c r="HC165" s="2"/>
      <c r="HD165" s="2"/>
      <c r="HE165" s="2"/>
      <c r="HF165" s="2"/>
      <c r="HG165" s="2"/>
      <c r="HH165" s="2"/>
      <c r="HI165" s="2"/>
      <c r="HJ165" s="2"/>
      <c r="HK165" s="2"/>
      <c r="HL165" s="2"/>
      <c r="HM165" s="2"/>
      <c r="HN165" s="2"/>
      <c r="HO165" s="2"/>
      <c r="HP165" s="2"/>
      <c r="HQ165" s="2"/>
      <c r="HR165" s="2"/>
      <c r="HS165" s="2"/>
      <c r="HT165" s="2"/>
      <c r="HU165" s="2"/>
      <c r="HV165" s="2"/>
      <c r="HW165" s="2"/>
      <c r="HX165" s="2"/>
      <c r="HY165" s="2"/>
      <c r="HZ165" s="2"/>
      <c r="IA165" s="2"/>
      <c r="IB165" s="2"/>
      <c r="IC165" s="2"/>
      <c r="ID165" s="2"/>
      <c r="IE165" s="2"/>
      <c r="IF165" s="2"/>
      <c r="IG165" s="2"/>
      <c r="IH165" s="2"/>
      <c r="II165" s="2"/>
      <c r="IJ165" s="2"/>
      <c r="IK165" s="2"/>
      <c r="IL165" s="2"/>
      <c r="IM165" s="2"/>
      <c r="IN165" s="2"/>
      <c r="IO165" s="2"/>
      <c r="IP165" s="2"/>
      <c r="IQ165" s="2"/>
      <c r="IR165" s="2"/>
      <c r="IS165" s="2"/>
      <c r="IT165" s="2"/>
      <c r="IU165" s="2"/>
      <c r="IV165" s="2"/>
      <c r="IW165" s="2"/>
      <c r="IX165" s="2"/>
      <c r="IY165" s="2"/>
      <c r="IZ165" s="2"/>
      <c r="JA165" s="2"/>
      <c r="JB165" s="2"/>
      <c r="JC165" s="2"/>
      <c r="JD165" s="2"/>
      <c r="JE165" s="2"/>
      <c r="JF165" s="2"/>
      <c r="JG165" s="2"/>
      <c r="JH165" s="2"/>
      <c r="JI165" s="2"/>
      <c r="JJ165" s="2"/>
      <c r="JK165" s="2"/>
      <c r="JL165" s="2"/>
      <c r="JM165" s="2"/>
      <c r="JN165" s="2"/>
      <c r="JO165" s="2"/>
      <c r="JP165" s="2"/>
      <c r="JQ165" s="2"/>
      <c r="JR165" s="2"/>
      <c r="JS165" s="2"/>
      <c r="JT165" s="2"/>
      <c r="JU165" s="2"/>
      <c r="JV165" s="2"/>
      <c r="JW165" s="2"/>
      <c r="JX165" s="2"/>
      <c r="JY165" s="2"/>
      <c r="JZ165" s="2"/>
      <c r="KA165" s="2"/>
      <c r="KB165" s="2"/>
      <c r="KC165" s="2"/>
      <c r="KD165" s="2"/>
      <c r="KE165" s="2"/>
      <c r="KF165" s="2"/>
      <c r="KG165" s="2"/>
      <c r="KH165" s="2"/>
      <c r="KI165" s="2"/>
      <c r="KJ165" s="2"/>
      <c r="KK165" s="2"/>
      <c r="KL165" s="2"/>
      <c r="KM165" s="2"/>
      <c r="KN165" s="2"/>
      <c r="KO165" s="2"/>
      <c r="KP165" s="2"/>
      <c r="KQ165" s="2"/>
      <c r="KR165" s="2"/>
      <c r="KS165" s="2"/>
      <c r="KT165" s="2"/>
      <c r="KU165" s="2"/>
      <c r="KV165" s="2"/>
      <c r="KW165" s="2"/>
      <c r="KX165" s="2"/>
      <c r="KY165" s="2"/>
      <c r="KZ165" s="2"/>
      <c r="LA165" s="2"/>
      <c r="LB165" s="2"/>
      <c r="LC165" s="2"/>
      <c r="LD165" s="2"/>
      <c r="LE165" s="2"/>
      <c r="LF165" s="2"/>
      <c r="LG165" s="2"/>
      <c r="LH165" s="2"/>
      <c r="LI165" s="2"/>
      <c r="LJ165" s="2"/>
      <c r="LK165" s="2"/>
      <c r="LL165" s="2"/>
      <c r="LM165" s="2"/>
      <c r="LN165" s="2"/>
      <c r="LO165" s="2"/>
      <c r="LP165" s="2"/>
      <c r="LQ165" s="2"/>
      <c r="LR165" s="2"/>
      <c r="LS165" s="2"/>
      <c r="LT165" s="2"/>
      <c r="LU165" s="2"/>
      <c r="LV165" s="2"/>
      <c r="LW165" s="2"/>
      <c r="LX165" s="2"/>
      <c r="LY165" s="2"/>
      <c r="LZ165" s="2"/>
      <c r="MA165" s="2"/>
      <c r="MB165" s="2"/>
      <c r="MC165" s="2"/>
      <c r="MD165" s="2"/>
      <c r="ME165" s="2"/>
      <c r="MF165" s="2"/>
      <c r="MG165" s="2"/>
      <c r="MH165" s="2"/>
      <c r="MI165" s="2"/>
      <c r="MJ165" s="2"/>
      <c r="MK165" s="2"/>
      <c r="ML165" s="2"/>
      <c r="MM165" s="2"/>
      <c r="MN165" s="2"/>
      <c r="MO165" s="2"/>
      <c r="MP165" s="2"/>
      <c r="MQ165" s="2"/>
      <c r="MR165" s="2"/>
      <c r="MS165" s="2"/>
      <c r="MT165" s="2"/>
      <c r="MU165" s="2"/>
      <c r="MV165" s="2"/>
      <c r="MW165" s="2"/>
      <c r="MX165" s="2"/>
      <c r="MY165" s="2"/>
      <c r="MZ165" s="2"/>
      <c r="NA165" s="2"/>
      <c r="NB165" s="2"/>
      <c r="NC165" s="2"/>
      <c r="ND165" s="2"/>
      <c r="NE165" s="2"/>
      <c r="NF165" s="2"/>
      <c r="NG165" s="2"/>
      <c r="NH165" s="2"/>
      <c r="NI165" s="2"/>
      <c r="NJ165" s="2"/>
      <c r="NK165" s="2"/>
      <c r="NL165" s="2"/>
      <c r="NM165" s="2"/>
      <c r="NN165" s="2"/>
      <c r="NO165" s="2"/>
      <c r="NP165" s="2"/>
      <c r="NQ165" s="2"/>
      <c r="NR165" s="2"/>
      <c r="NS165" s="2"/>
      <c r="NT165" s="2"/>
      <c r="NU165" s="2"/>
      <c r="NV165" s="2"/>
      <c r="NW165" s="2"/>
      <c r="NX165" s="2"/>
      <c r="NY165" s="2"/>
      <c r="NZ165" s="2"/>
      <c r="OA165" s="2"/>
      <c r="OB165" s="2"/>
      <c r="OC165" s="2"/>
      <c r="OD165" s="2"/>
      <c r="OE165" s="2"/>
      <c r="OF165" s="2"/>
      <c r="OG165" s="2"/>
      <c r="OH165" s="2"/>
      <c r="OI165" s="2"/>
      <c r="OJ165" s="2"/>
      <c r="OK165" s="2"/>
      <c r="OL165" s="2"/>
      <c r="OM165" s="2"/>
      <c r="ON165" s="2"/>
      <c r="OO165" s="2"/>
      <c r="OP165" s="2"/>
      <c r="OQ165" s="2"/>
      <c r="OR165" s="2"/>
      <c r="OS165" s="2"/>
      <c r="OT165" s="2"/>
      <c r="OU165" s="2"/>
      <c r="OV165" s="2"/>
      <c r="OW165" s="2"/>
      <c r="OX165" s="2"/>
      <c r="OY165" s="2"/>
      <c r="OZ165" s="2"/>
      <c r="PA165" s="2"/>
      <c r="PB165" s="2"/>
      <c r="PC165" s="2"/>
      <c r="PD165" s="2"/>
      <c r="PE165" s="2"/>
      <c r="PF165" s="2"/>
      <c r="PG165" s="2"/>
      <c r="PH165" s="2"/>
      <c r="PI165" s="2"/>
      <c r="PJ165" s="2"/>
      <c r="PK165" s="2"/>
      <c r="PL165" s="2"/>
      <c r="PM165" s="2"/>
      <c r="PN165" s="2"/>
      <c r="PO165" s="2"/>
      <c r="PP165" s="2"/>
      <c r="PQ165" s="2"/>
      <c r="PR165" s="2"/>
      <c r="PS165" s="2"/>
      <c r="PT165" s="2"/>
      <c r="PU165" s="2"/>
      <c r="PV165" s="2"/>
      <c r="PW165" s="2"/>
      <c r="PX165" s="2"/>
      <c r="PY165" s="2"/>
      <c r="PZ165" s="2"/>
      <c r="QA165" s="2"/>
      <c r="QB165" s="2"/>
      <c r="QC165" s="2"/>
      <c r="QD165" s="2"/>
      <c r="QE165" s="2"/>
      <c r="QF165" s="2"/>
      <c r="QG165" s="2"/>
      <c r="QH165" s="2"/>
      <c r="QI165" s="2"/>
      <c r="QJ165" s="2"/>
      <c r="QK165" s="2"/>
      <c r="QL165" s="2"/>
      <c r="QM165" s="2"/>
      <c r="QN165" s="2"/>
      <c r="QO165" s="2"/>
      <c r="QP165" s="2"/>
      <c r="QQ165" s="2"/>
      <c r="QR165" s="2"/>
      <c r="QS165" s="2"/>
      <c r="QT165" s="2"/>
      <c r="QU165" s="2"/>
      <c r="QV165" s="2"/>
      <c r="QW165" s="2"/>
      <c r="QX165" s="2"/>
      <c r="QY165" s="2"/>
      <c r="QZ165" s="2"/>
      <c r="RA165" s="2"/>
      <c r="RB165" s="2"/>
      <c r="RC165" s="2"/>
      <c r="RD165" s="2"/>
      <c r="RE165" s="2"/>
      <c r="RF165" s="2"/>
      <c r="RG165" s="2"/>
      <c r="RH165" s="2"/>
      <c r="RI165" s="2"/>
      <c r="RJ165" s="2"/>
      <c r="RK165" s="2"/>
      <c r="RL165" s="2"/>
      <c r="RM165" s="2"/>
      <c r="RN165" s="2"/>
      <c r="RO165" s="2"/>
      <c r="RP165" s="2"/>
      <c r="RQ165" s="2"/>
      <c r="RR165" s="2"/>
      <c r="RS165" s="2"/>
      <c r="RT165" s="2"/>
      <c r="RU165" s="2"/>
      <c r="RV165" s="2"/>
      <c r="RW165" s="2"/>
      <c r="RX165" s="2"/>
      <c r="RY165" s="2"/>
      <c r="RZ165" s="2"/>
      <c r="SA165" s="2"/>
      <c r="SB165" s="2"/>
      <c r="SC165" s="2"/>
      <c r="SD165" s="2"/>
      <c r="SE165" s="2"/>
      <c r="SF165" s="2"/>
      <c r="SG165" s="2"/>
      <c r="SH165" s="2"/>
      <c r="SI165" s="2"/>
      <c r="SJ165" s="2"/>
      <c r="SK165" s="2"/>
      <c r="SL165" s="2"/>
      <c r="SM165" s="2"/>
      <c r="SN165" s="2"/>
      <c r="SO165" s="2"/>
      <c r="SP165" s="2"/>
      <c r="SQ165" s="2"/>
      <c r="SR165" s="2"/>
      <c r="SS165" s="2"/>
      <c r="ST165" s="2"/>
      <c r="SU165" s="2"/>
      <c r="SV165" s="2"/>
      <c r="SW165" s="2"/>
      <c r="SX165" s="2"/>
    </row>
    <row r="166" spans="33:518" x14ac:dyDescent="0.25"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  <c r="FK166" s="2"/>
      <c r="FL166" s="2"/>
      <c r="FM166" s="2"/>
      <c r="FN166" s="2"/>
      <c r="FO166" s="2"/>
      <c r="FP166" s="2"/>
      <c r="FQ166" s="2"/>
      <c r="FR166" s="2"/>
      <c r="FS166" s="2"/>
      <c r="FT166" s="2"/>
      <c r="FU166" s="2"/>
      <c r="FV166" s="2"/>
      <c r="FW166" s="2"/>
      <c r="FX166" s="2"/>
      <c r="FY166" s="2"/>
      <c r="FZ166" s="2"/>
      <c r="GA166" s="2"/>
      <c r="GB166" s="2"/>
      <c r="GC166" s="2"/>
      <c r="GD166" s="2"/>
      <c r="GE166" s="2"/>
      <c r="GF166" s="2"/>
      <c r="GG166" s="2"/>
      <c r="GH166" s="2"/>
      <c r="GI166" s="2"/>
      <c r="GJ166" s="2"/>
      <c r="GK166" s="2"/>
      <c r="GL166" s="2"/>
      <c r="GM166" s="2"/>
      <c r="GN166" s="2"/>
      <c r="GO166" s="2"/>
      <c r="GP166" s="2"/>
      <c r="GQ166" s="2"/>
      <c r="GR166" s="2"/>
      <c r="GS166" s="2"/>
      <c r="GT166" s="2"/>
      <c r="GU166" s="2"/>
      <c r="GV166" s="2"/>
      <c r="GW166" s="2"/>
      <c r="GX166" s="2"/>
      <c r="GY166" s="2"/>
      <c r="GZ166" s="2"/>
      <c r="HA166" s="2"/>
      <c r="HB166" s="2"/>
      <c r="HC166" s="2"/>
      <c r="HD166" s="2"/>
      <c r="HE166" s="2"/>
      <c r="HF166" s="2"/>
      <c r="HG166" s="2"/>
      <c r="HH166" s="2"/>
      <c r="HI166" s="2"/>
      <c r="HJ166" s="2"/>
      <c r="HK166" s="2"/>
      <c r="HL166" s="2"/>
      <c r="HM166" s="2"/>
      <c r="HN166" s="2"/>
      <c r="HO166" s="2"/>
      <c r="HP166" s="2"/>
      <c r="HQ166" s="2"/>
      <c r="HR166" s="2"/>
      <c r="HS166" s="2"/>
      <c r="HT166" s="2"/>
      <c r="HU166" s="2"/>
      <c r="HV166" s="2"/>
      <c r="HW166" s="2"/>
      <c r="HX166" s="2"/>
      <c r="HY166" s="2"/>
      <c r="HZ166" s="2"/>
      <c r="IA166" s="2"/>
      <c r="IB166" s="2"/>
      <c r="IC166" s="2"/>
      <c r="ID166" s="2"/>
      <c r="IE166" s="2"/>
      <c r="IF166" s="2"/>
      <c r="IG166" s="2"/>
      <c r="IH166" s="2"/>
      <c r="II166" s="2"/>
      <c r="IJ166" s="2"/>
      <c r="IK166" s="2"/>
      <c r="IL166" s="2"/>
      <c r="IM166" s="2"/>
      <c r="IN166" s="2"/>
      <c r="IO166" s="2"/>
      <c r="IP166" s="2"/>
      <c r="IQ166" s="2"/>
      <c r="IR166" s="2"/>
      <c r="IS166" s="2"/>
      <c r="IT166" s="2"/>
      <c r="IU166" s="2"/>
      <c r="IV166" s="2"/>
      <c r="IW166" s="2"/>
      <c r="IX166" s="2"/>
      <c r="IY166" s="2"/>
      <c r="IZ166" s="2"/>
      <c r="JA166" s="2"/>
      <c r="JB166" s="2"/>
      <c r="JC166" s="2"/>
      <c r="JD166" s="2"/>
      <c r="JE166" s="2"/>
      <c r="JF166" s="2"/>
      <c r="JG166" s="2"/>
      <c r="JH166" s="2"/>
      <c r="JI166" s="2"/>
      <c r="JJ166" s="2"/>
      <c r="JK166" s="2"/>
      <c r="JL166" s="2"/>
      <c r="JM166" s="2"/>
      <c r="JN166" s="2"/>
      <c r="JO166" s="2"/>
      <c r="JP166" s="2"/>
      <c r="JQ166" s="2"/>
      <c r="JR166" s="2"/>
      <c r="JS166" s="2"/>
      <c r="JT166" s="2"/>
      <c r="JU166" s="2"/>
      <c r="JV166" s="2"/>
      <c r="JW166" s="2"/>
      <c r="JX166" s="2"/>
      <c r="JY166" s="2"/>
      <c r="JZ166" s="2"/>
      <c r="KA166" s="2"/>
      <c r="KB166" s="2"/>
      <c r="KC166" s="2"/>
      <c r="KD166" s="2"/>
      <c r="KE166" s="2"/>
      <c r="KF166" s="2"/>
      <c r="KG166" s="2"/>
      <c r="KH166" s="2"/>
      <c r="KI166" s="2"/>
      <c r="KJ166" s="2"/>
      <c r="KK166" s="2"/>
      <c r="KL166" s="2"/>
      <c r="KM166" s="2"/>
      <c r="KN166" s="2"/>
      <c r="KO166" s="2"/>
      <c r="KP166" s="2"/>
      <c r="KQ166" s="2"/>
      <c r="KR166" s="2"/>
      <c r="KS166" s="2"/>
      <c r="KT166" s="2"/>
      <c r="KU166" s="2"/>
      <c r="KV166" s="2"/>
      <c r="KW166" s="2"/>
      <c r="KX166" s="2"/>
      <c r="KY166" s="2"/>
      <c r="KZ166" s="2"/>
      <c r="LA166" s="2"/>
      <c r="LB166" s="2"/>
      <c r="LC166" s="2"/>
      <c r="LD166" s="2"/>
      <c r="LE166" s="2"/>
      <c r="LF166" s="2"/>
      <c r="LG166" s="2"/>
      <c r="LH166" s="2"/>
      <c r="LI166" s="2"/>
      <c r="LJ166" s="2"/>
      <c r="LK166" s="2"/>
      <c r="LL166" s="2"/>
      <c r="LM166" s="2"/>
      <c r="LN166" s="2"/>
      <c r="LO166" s="2"/>
      <c r="LP166" s="2"/>
      <c r="LQ166" s="2"/>
      <c r="LR166" s="2"/>
      <c r="LS166" s="2"/>
      <c r="LT166" s="2"/>
      <c r="LU166" s="2"/>
      <c r="LV166" s="2"/>
      <c r="LW166" s="2"/>
      <c r="LX166" s="2"/>
      <c r="LY166" s="2"/>
      <c r="LZ166" s="2"/>
      <c r="MA166" s="2"/>
      <c r="MB166" s="2"/>
      <c r="MC166" s="2"/>
      <c r="MD166" s="2"/>
      <c r="ME166" s="2"/>
      <c r="MF166" s="2"/>
      <c r="MG166" s="2"/>
      <c r="MH166" s="2"/>
      <c r="MI166" s="2"/>
      <c r="MJ166" s="2"/>
      <c r="MK166" s="2"/>
      <c r="ML166" s="2"/>
      <c r="MM166" s="2"/>
      <c r="MN166" s="2"/>
      <c r="MO166" s="2"/>
      <c r="MP166" s="2"/>
      <c r="MQ166" s="2"/>
      <c r="MR166" s="2"/>
      <c r="MS166" s="2"/>
      <c r="MT166" s="2"/>
      <c r="MU166" s="2"/>
      <c r="MV166" s="2"/>
      <c r="MW166" s="2"/>
      <c r="MX166" s="2"/>
      <c r="MY166" s="2"/>
      <c r="MZ166" s="2"/>
      <c r="NA166" s="2"/>
      <c r="NB166" s="2"/>
      <c r="NC166" s="2"/>
      <c r="ND166" s="2"/>
      <c r="NE166" s="2"/>
      <c r="NF166" s="2"/>
      <c r="NG166" s="2"/>
      <c r="NH166" s="2"/>
      <c r="NI166" s="2"/>
      <c r="NJ166" s="2"/>
      <c r="NK166" s="2"/>
      <c r="NL166" s="2"/>
      <c r="NM166" s="2"/>
      <c r="NN166" s="2"/>
      <c r="NO166" s="2"/>
      <c r="NP166" s="2"/>
      <c r="NQ166" s="2"/>
      <c r="NR166" s="2"/>
      <c r="NS166" s="2"/>
      <c r="NT166" s="2"/>
      <c r="NU166" s="2"/>
      <c r="NV166" s="2"/>
      <c r="NW166" s="2"/>
      <c r="NX166" s="2"/>
      <c r="NY166" s="2"/>
      <c r="NZ166" s="2"/>
      <c r="OA166" s="2"/>
      <c r="OB166" s="2"/>
      <c r="OC166" s="2"/>
      <c r="OD166" s="2"/>
      <c r="OE166" s="2"/>
      <c r="OF166" s="2"/>
      <c r="OG166" s="2"/>
      <c r="OH166" s="2"/>
      <c r="OI166" s="2"/>
      <c r="OJ166" s="2"/>
      <c r="OK166" s="2"/>
      <c r="OL166" s="2"/>
      <c r="OM166" s="2"/>
      <c r="ON166" s="2"/>
      <c r="OO166" s="2"/>
      <c r="OP166" s="2"/>
      <c r="OQ166" s="2"/>
      <c r="OR166" s="2"/>
      <c r="OS166" s="2"/>
      <c r="OT166" s="2"/>
      <c r="OU166" s="2"/>
      <c r="OV166" s="2"/>
      <c r="OW166" s="2"/>
      <c r="OX166" s="2"/>
      <c r="OY166" s="2"/>
      <c r="OZ166" s="2"/>
      <c r="PA166" s="2"/>
      <c r="PB166" s="2"/>
      <c r="PC166" s="2"/>
      <c r="PD166" s="2"/>
      <c r="PE166" s="2"/>
      <c r="PF166" s="2"/>
      <c r="PG166" s="2"/>
      <c r="PH166" s="2"/>
      <c r="PI166" s="2"/>
      <c r="PJ166" s="2"/>
      <c r="PK166" s="2"/>
      <c r="PL166" s="2"/>
      <c r="PM166" s="2"/>
      <c r="PN166" s="2"/>
      <c r="PO166" s="2"/>
      <c r="PP166" s="2"/>
      <c r="PQ166" s="2"/>
      <c r="PR166" s="2"/>
      <c r="PS166" s="2"/>
      <c r="PT166" s="2"/>
      <c r="PU166" s="2"/>
      <c r="PV166" s="2"/>
      <c r="PW166" s="2"/>
      <c r="PX166" s="2"/>
      <c r="PY166" s="2"/>
      <c r="PZ166" s="2"/>
      <c r="QA166" s="2"/>
      <c r="QB166" s="2"/>
      <c r="QC166" s="2"/>
      <c r="QD166" s="2"/>
      <c r="QE166" s="2"/>
      <c r="QF166" s="2"/>
      <c r="QG166" s="2"/>
      <c r="QH166" s="2"/>
      <c r="QI166" s="2"/>
      <c r="QJ166" s="2"/>
      <c r="QK166" s="2"/>
      <c r="QL166" s="2"/>
      <c r="QM166" s="2"/>
      <c r="QN166" s="2"/>
      <c r="QO166" s="2"/>
      <c r="QP166" s="2"/>
      <c r="QQ166" s="2"/>
      <c r="QR166" s="2"/>
      <c r="QS166" s="2"/>
      <c r="QT166" s="2"/>
      <c r="QU166" s="2"/>
      <c r="QV166" s="2"/>
      <c r="QW166" s="2"/>
      <c r="QX166" s="2"/>
      <c r="QY166" s="2"/>
      <c r="QZ166" s="2"/>
      <c r="RA166" s="2"/>
      <c r="RB166" s="2"/>
      <c r="RC166" s="2"/>
      <c r="RD166" s="2"/>
      <c r="RE166" s="2"/>
      <c r="RF166" s="2"/>
      <c r="RG166" s="2"/>
      <c r="RH166" s="2"/>
      <c r="RI166" s="2"/>
      <c r="RJ166" s="2"/>
      <c r="RK166" s="2"/>
      <c r="RL166" s="2"/>
      <c r="RM166" s="2"/>
      <c r="RN166" s="2"/>
      <c r="RO166" s="2"/>
      <c r="RP166" s="2"/>
      <c r="RQ166" s="2"/>
      <c r="RR166" s="2"/>
      <c r="RS166" s="2"/>
      <c r="RT166" s="2"/>
      <c r="RU166" s="2"/>
      <c r="RV166" s="2"/>
      <c r="RW166" s="2"/>
      <c r="RX166" s="2"/>
      <c r="RY166" s="2"/>
      <c r="RZ166" s="2"/>
      <c r="SA166" s="2"/>
      <c r="SB166" s="2"/>
      <c r="SC166" s="2"/>
      <c r="SD166" s="2"/>
      <c r="SE166" s="2"/>
      <c r="SF166" s="2"/>
      <c r="SG166" s="2"/>
      <c r="SH166" s="2"/>
      <c r="SI166" s="2"/>
      <c r="SJ166" s="2"/>
      <c r="SK166" s="2"/>
      <c r="SL166" s="2"/>
      <c r="SM166" s="2"/>
      <c r="SN166" s="2"/>
      <c r="SO166" s="2"/>
      <c r="SP166" s="2"/>
      <c r="SQ166" s="2"/>
      <c r="SR166" s="2"/>
      <c r="SS166" s="2"/>
      <c r="ST166" s="2"/>
      <c r="SU166" s="2"/>
      <c r="SV166" s="2"/>
      <c r="SW166" s="2"/>
      <c r="SX166" s="2"/>
    </row>
    <row r="167" spans="33:518" x14ac:dyDescent="0.25"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  <c r="FK167" s="2"/>
      <c r="FL167" s="2"/>
      <c r="FM167" s="2"/>
      <c r="FN167" s="2"/>
      <c r="FO167" s="2"/>
      <c r="FP167" s="2"/>
      <c r="FQ167" s="2"/>
      <c r="FR167" s="2"/>
      <c r="FS167" s="2"/>
      <c r="FT167" s="2"/>
      <c r="FU167" s="2"/>
      <c r="FV167" s="2"/>
      <c r="FW167" s="2"/>
      <c r="FX167" s="2"/>
      <c r="FY167" s="2"/>
      <c r="FZ167" s="2"/>
      <c r="GA167" s="2"/>
      <c r="GB167" s="2"/>
      <c r="GC167" s="2"/>
      <c r="GD167" s="2"/>
      <c r="GE167" s="2"/>
      <c r="GF167" s="2"/>
      <c r="GG167" s="2"/>
      <c r="GH167" s="2"/>
      <c r="GI167" s="2"/>
      <c r="GJ167" s="2"/>
      <c r="GK167" s="2"/>
      <c r="GL167" s="2"/>
      <c r="GM167" s="2"/>
      <c r="GN167" s="2"/>
      <c r="GO167" s="2"/>
      <c r="GP167" s="2"/>
      <c r="GQ167" s="2"/>
      <c r="GR167" s="2"/>
      <c r="GS167" s="2"/>
      <c r="GT167" s="2"/>
      <c r="GU167" s="2"/>
      <c r="GV167" s="2"/>
      <c r="GW167" s="2"/>
      <c r="GX167" s="2"/>
      <c r="GY167" s="2"/>
      <c r="GZ167" s="2"/>
      <c r="HA167" s="2"/>
      <c r="HB167" s="2"/>
      <c r="HC167" s="2"/>
      <c r="HD167" s="2"/>
      <c r="HE167" s="2"/>
      <c r="HF167" s="2"/>
      <c r="HG167" s="2"/>
      <c r="HH167" s="2"/>
      <c r="HI167" s="2"/>
      <c r="HJ167" s="2"/>
      <c r="HK167" s="2"/>
      <c r="HL167" s="2"/>
      <c r="HM167" s="2"/>
      <c r="HN167" s="2"/>
      <c r="HO167" s="2"/>
      <c r="HP167" s="2"/>
      <c r="HQ167" s="2"/>
      <c r="HR167" s="2"/>
      <c r="HS167" s="2"/>
      <c r="HT167" s="2"/>
      <c r="HU167" s="2"/>
      <c r="HV167" s="2"/>
      <c r="HW167" s="2"/>
      <c r="HX167" s="2"/>
      <c r="HY167" s="2"/>
      <c r="HZ167" s="2"/>
      <c r="IA167" s="2"/>
      <c r="IB167" s="2"/>
      <c r="IC167" s="2"/>
      <c r="ID167" s="2"/>
      <c r="IE167" s="2"/>
      <c r="IF167" s="2"/>
      <c r="IG167" s="2"/>
      <c r="IH167" s="2"/>
      <c r="II167" s="2"/>
      <c r="IJ167" s="2"/>
      <c r="IK167" s="2"/>
      <c r="IL167" s="2"/>
      <c r="IM167" s="2"/>
      <c r="IN167" s="2"/>
      <c r="IO167" s="2"/>
      <c r="IP167" s="2"/>
      <c r="IQ167" s="2"/>
      <c r="IR167" s="2"/>
      <c r="IS167" s="2"/>
      <c r="IT167" s="2"/>
      <c r="IU167" s="2"/>
      <c r="IV167" s="2"/>
      <c r="IW167" s="2"/>
      <c r="IX167" s="2"/>
      <c r="IY167" s="2"/>
      <c r="IZ167" s="2"/>
      <c r="JA167" s="2"/>
      <c r="JB167" s="2"/>
      <c r="JC167" s="2"/>
      <c r="JD167" s="2"/>
      <c r="JE167" s="2"/>
      <c r="JF167" s="2"/>
      <c r="JG167" s="2"/>
      <c r="JH167" s="2"/>
      <c r="JI167" s="2"/>
      <c r="JJ167" s="2"/>
      <c r="JK167" s="2"/>
      <c r="JL167" s="2"/>
      <c r="JM167" s="2"/>
      <c r="JN167" s="2"/>
      <c r="JO167" s="2"/>
      <c r="JP167" s="2"/>
      <c r="JQ167" s="2"/>
      <c r="JR167" s="2"/>
      <c r="JS167" s="2"/>
      <c r="JT167" s="2"/>
      <c r="JU167" s="2"/>
      <c r="JV167" s="2"/>
      <c r="JW167" s="2"/>
      <c r="JX167" s="2"/>
      <c r="JY167" s="2"/>
      <c r="JZ167" s="2"/>
      <c r="KA167" s="2"/>
      <c r="KB167" s="2"/>
      <c r="KC167" s="2"/>
      <c r="KD167" s="2"/>
      <c r="KE167" s="2"/>
      <c r="KF167" s="2"/>
      <c r="KG167" s="2"/>
      <c r="KH167" s="2"/>
      <c r="KI167" s="2"/>
      <c r="KJ167" s="2"/>
      <c r="KK167" s="2"/>
      <c r="KL167" s="2"/>
      <c r="KM167" s="2"/>
      <c r="KN167" s="2"/>
      <c r="KO167" s="2"/>
      <c r="KP167" s="2"/>
      <c r="KQ167" s="2"/>
      <c r="KR167" s="2"/>
      <c r="KS167" s="2"/>
      <c r="KT167" s="2"/>
      <c r="KU167" s="2"/>
      <c r="KV167" s="2"/>
      <c r="KW167" s="2"/>
      <c r="KX167" s="2"/>
      <c r="KY167" s="2"/>
      <c r="KZ167" s="2"/>
      <c r="LA167" s="2"/>
      <c r="LB167" s="2"/>
      <c r="LC167" s="2"/>
      <c r="LD167" s="2"/>
      <c r="LE167" s="2"/>
      <c r="LF167" s="2"/>
      <c r="LG167" s="2"/>
      <c r="LH167" s="2"/>
      <c r="LI167" s="2"/>
      <c r="LJ167" s="2"/>
      <c r="LK167" s="2"/>
      <c r="LL167" s="2"/>
      <c r="LM167" s="2"/>
      <c r="LN167" s="2"/>
      <c r="LO167" s="2"/>
      <c r="LP167" s="2"/>
      <c r="LQ167" s="2"/>
      <c r="LR167" s="2"/>
      <c r="LS167" s="2"/>
      <c r="LT167" s="2"/>
      <c r="LU167" s="2"/>
      <c r="LV167" s="2"/>
      <c r="LW167" s="2"/>
      <c r="LX167" s="2"/>
      <c r="LY167" s="2"/>
      <c r="LZ167" s="2"/>
      <c r="MA167" s="2"/>
      <c r="MB167" s="2"/>
      <c r="MC167" s="2"/>
      <c r="MD167" s="2"/>
      <c r="ME167" s="2"/>
      <c r="MF167" s="2"/>
      <c r="MG167" s="2"/>
      <c r="MH167" s="2"/>
      <c r="MI167" s="2"/>
      <c r="MJ167" s="2"/>
      <c r="MK167" s="2"/>
      <c r="ML167" s="2"/>
      <c r="MM167" s="2"/>
      <c r="MN167" s="2"/>
      <c r="MO167" s="2"/>
      <c r="MP167" s="2"/>
      <c r="MQ167" s="2"/>
      <c r="MR167" s="2"/>
      <c r="MS167" s="2"/>
      <c r="MT167" s="2"/>
      <c r="MU167" s="2"/>
      <c r="MV167" s="2"/>
      <c r="MW167" s="2"/>
      <c r="MX167" s="2"/>
      <c r="MY167" s="2"/>
      <c r="MZ167" s="2"/>
      <c r="NA167" s="2"/>
      <c r="NB167" s="2"/>
      <c r="NC167" s="2"/>
      <c r="ND167" s="2"/>
      <c r="NE167" s="2"/>
      <c r="NF167" s="2"/>
      <c r="NG167" s="2"/>
      <c r="NH167" s="2"/>
      <c r="NI167" s="2"/>
      <c r="NJ167" s="2"/>
      <c r="NK167" s="2"/>
      <c r="NL167" s="2"/>
      <c r="NM167" s="2"/>
      <c r="NN167" s="2"/>
      <c r="NO167" s="2"/>
      <c r="NP167" s="2"/>
      <c r="NQ167" s="2"/>
      <c r="NR167" s="2"/>
      <c r="NS167" s="2"/>
      <c r="NT167" s="2"/>
      <c r="NU167" s="2"/>
      <c r="NV167" s="2"/>
      <c r="NW167" s="2"/>
      <c r="NX167" s="2"/>
      <c r="NY167" s="2"/>
      <c r="NZ167" s="2"/>
      <c r="OA167" s="2"/>
      <c r="OB167" s="2"/>
      <c r="OC167" s="2"/>
      <c r="OD167" s="2"/>
      <c r="OE167" s="2"/>
      <c r="OF167" s="2"/>
      <c r="OG167" s="2"/>
      <c r="OH167" s="2"/>
      <c r="OI167" s="2"/>
      <c r="OJ167" s="2"/>
      <c r="OK167" s="2"/>
      <c r="OL167" s="2"/>
      <c r="OM167" s="2"/>
      <c r="ON167" s="2"/>
      <c r="OO167" s="2"/>
      <c r="OP167" s="2"/>
      <c r="OQ167" s="2"/>
      <c r="OR167" s="2"/>
      <c r="OS167" s="2"/>
      <c r="OT167" s="2"/>
      <c r="OU167" s="2"/>
      <c r="OV167" s="2"/>
      <c r="OW167" s="2"/>
      <c r="OX167" s="2"/>
      <c r="OY167" s="2"/>
      <c r="OZ167" s="2"/>
      <c r="PA167" s="2"/>
      <c r="PB167" s="2"/>
      <c r="PC167" s="2"/>
      <c r="PD167" s="2"/>
      <c r="PE167" s="2"/>
      <c r="PF167" s="2"/>
      <c r="PG167" s="2"/>
      <c r="PH167" s="2"/>
      <c r="PI167" s="2"/>
      <c r="PJ167" s="2"/>
      <c r="PK167" s="2"/>
      <c r="PL167" s="2"/>
      <c r="PM167" s="2"/>
      <c r="PN167" s="2"/>
      <c r="PO167" s="2"/>
      <c r="PP167" s="2"/>
      <c r="PQ167" s="2"/>
      <c r="PR167" s="2"/>
      <c r="PS167" s="2"/>
      <c r="PT167" s="2"/>
      <c r="PU167" s="2"/>
      <c r="PV167" s="2"/>
      <c r="PW167" s="2"/>
      <c r="PX167" s="2"/>
      <c r="PY167" s="2"/>
      <c r="PZ167" s="2"/>
      <c r="QA167" s="2"/>
      <c r="QB167" s="2"/>
      <c r="QC167" s="2"/>
      <c r="QD167" s="2"/>
      <c r="QE167" s="2"/>
      <c r="QF167" s="2"/>
      <c r="QG167" s="2"/>
      <c r="QH167" s="2"/>
      <c r="QI167" s="2"/>
      <c r="QJ167" s="2"/>
      <c r="QK167" s="2"/>
      <c r="QL167" s="2"/>
      <c r="QM167" s="2"/>
      <c r="QN167" s="2"/>
      <c r="QO167" s="2"/>
      <c r="QP167" s="2"/>
      <c r="QQ167" s="2"/>
      <c r="QR167" s="2"/>
      <c r="QS167" s="2"/>
      <c r="QT167" s="2"/>
      <c r="QU167" s="2"/>
      <c r="QV167" s="2"/>
      <c r="QW167" s="2"/>
      <c r="QX167" s="2"/>
      <c r="QY167" s="2"/>
      <c r="QZ167" s="2"/>
      <c r="RA167" s="2"/>
      <c r="RB167" s="2"/>
      <c r="RC167" s="2"/>
      <c r="RD167" s="2"/>
      <c r="RE167" s="2"/>
      <c r="RF167" s="2"/>
      <c r="RG167" s="2"/>
      <c r="RH167" s="2"/>
      <c r="RI167" s="2"/>
      <c r="RJ167" s="2"/>
      <c r="RK167" s="2"/>
      <c r="RL167" s="2"/>
      <c r="RM167" s="2"/>
      <c r="RN167" s="2"/>
      <c r="RO167" s="2"/>
      <c r="RP167" s="2"/>
      <c r="RQ167" s="2"/>
      <c r="RR167" s="2"/>
      <c r="RS167" s="2"/>
      <c r="RT167" s="2"/>
      <c r="RU167" s="2"/>
      <c r="RV167" s="2"/>
      <c r="RW167" s="2"/>
      <c r="RX167" s="2"/>
      <c r="RY167" s="2"/>
      <c r="RZ167" s="2"/>
      <c r="SA167" s="2"/>
      <c r="SB167" s="2"/>
      <c r="SC167" s="2"/>
      <c r="SD167" s="2"/>
      <c r="SE167" s="2"/>
      <c r="SF167" s="2"/>
      <c r="SG167" s="2"/>
      <c r="SH167" s="2"/>
      <c r="SI167" s="2"/>
      <c r="SJ167" s="2"/>
      <c r="SK167" s="2"/>
      <c r="SL167" s="2"/>
      <c r="SM167" s="2"/>
      <c r="SN167" s="2"/>
      <c r="SO167" s="2"/>
      <c r="SP167" s="2"/>
      <c r="SQ167" s="2"/>
      <c r="SR167" s="2"/>
      <c r="SS167" s="2"/>
      <c r="ST167" s="2"/>
      <c r="SU167" s="2"/>
      <c r="SV167" s="2"/>
      <c r="SW167" s="2"/>
      <c r="SX167" s="2"/>
    </row>
    <row r="168" spans="33:518" x14ac:dyDescent="0.25"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  <c r="FK168" s="2"/>
      <c r="FL168" s="2"/>
      <c r="FM168" s="2"/>
      <c r="FN168" s="2"/>
      <c r="FO168" s="2"/>
      <c r="FP168" s="2"/>
      <c r="FQ168" s="2"/>
      <c r="FR168" s="2"/>
      <c r="FS168" s="2"/>
      <c r="FT168" s="2"/>
      <c r="FU168" s="2"/>
      <c r="FV168" s="2"/>
      <c r="FW168" s="2"/>
      <c r="FX168" s="2"/>
      <c r="FY168" s="2"/>
      <c r="FZ168" s="2"/>
      <c r="GA168" s="2"/>
      <c r="GB168" s="2"/>
      <c r="GC168" s="2"/>
      <c r="GD168" s="2"/>
      <c r="GE168" s="2"/>
      <c r="GF168" s="2"/>
      <c r="GG168" s="2"/>
      <c r="GH168" s="2"/>
      <c r="GI168" s="2"/>
      <c r="GJ168" s="2"/>
      <c r="GK168" s="2"/>
      <c r="GL168" s="2"/>
      <c r="GM168" s="2"/>
      <c r="GN168" s="2"/>
      <c r="GO168" s="2"/>
      <c r="GP168" s="2"/>
      <c r="GQ168" s="2"/>
      <c r="GR168" s="2"/>
      <c r="GS168" s="2"/>
      <c r="GT168" s="2"/>
      <c r="GU168" s="2"/>
      <c r="GV168" s="2"/>
      <c r="GW168" s="2"/>
      <c r="GX168" s="2"/>
      <c r="GY168" s="2"/>
      <c r="GZ168" s="2"/>
      <c r="HA168" s="2"/>
      <c r="HB168" s="2"/>
      <c r="HC168" s="2"/>
      <c r="HD168" s="2"/>
      <c r="HE168" s="2"/>
      <c r="HF168" s="2"/>
      <c r="HG168" s="2"/>
      <c r="HH168" s="2"/>
      <c r="HI168" s="2"/>
      <c r="HJ168" s="2"/>
      <c r="HK168" s="2"/>
      <c r="HL168" s="2"/>
      <c r="HM168" s="2"/>
      <c r="HN168" s="2"/>
      <c r="HO168" s="2"/>
      <c r="HP168" s="2"/>
      <c r="HQ168" s="2"/>
      <c r="HR168" s="2"/>
      <c r="HS168" s="2"/>
      <c r="HT168" s="2"/>
      <c r="HU168" s="2"/>
      <c r="HV168" s="2"/>
      <c r="HW168" s="2"/>
      <c r="HX168" s="2"/>
      <c r="HY168" s="2"/>
      <c r="HZ168" s="2"/>
      <c r="IA168" s="2"/>
      <c r="IB168" s="2"/>
      <c r="IC168" s="2"/>
      <c r="ID168" s="2"/>
      <c r="IE168" s="2"/>
      <c r="IF168" s="2"/>
      <c r="IG168" s="2"/>
      <c r="IH168" s="2"/>
      <c r="II168" s="2"/>
      <c r="IJ168" s="2"/>
      <c r="IK168" s="2"/>
      <c r="IL168" s="2"/>
      <c r="IM168" s="2"/>
      <c r="IN168" s="2"/>
      <c r="IO168" s="2"/>
      <c r="IP168" s="2"/>
      <c r="IQ168" s="2"/>
      <c r="IR168" s="2"/>
      <c r="IS168" s="2"/>
      <c r="IT168" s="2"/>
      <c r="IU168" s="2"/>
      <c r="IV168" s="2"/>
      <c r="IW168" s="2"/>
      <c r="IX168" s="2"/>
      <c r="IY168" s="2"/>
      <c r="IZ168" s="2"/>
      <c r="JA168" s="2"/>
      <c r="JB168" s="2"/>
      <c r="JC168" s="2"/>
      <c r="JD168" s="2"/>
      <c r="JE168" s="2"/>
      <c r="JF168" s="2"/>
      <c r="JG168" s="2"/>
      <c r="JH168" s="2"/>
      <c r="JI168" s="2"/>
      <c r="JJ168" s="2"/>
      <c r="JK168" s="2"/>
      <c r="JL168" s="2"/>
      <c r="JM168" s="2"/>
      <c r="JN168" s="2"/>
      <c r="JO168" s="2"/>
      <c r="JP168" s="2"/>
      <c r="JQ168" s="2"/>
      <c r="JR168" s="2"/>
      <c r="JS168" s="2"/>
      <c r="JT168" s="2"/>
      <c r="JU168" s="2"/>
      <c r="JV168" s="2"/>
      <c r="JW168" s="2"/>
      <c r="JX168" s="2"/>
      <c r="JY168" s="2"/>
      <c r="JZ168" s="2"/>
      <c r="KA168" s="2"/>
      <c r="KB168" s="2"/>
      <c r="KC168" s="2"/>
      <c r="KD168" s="2"/>
      <c r="KE168" s="2"/>
      <c r="KF168" s="2"/>
      <c r="KG168" s="2"/>
      <c r="KH168" s="2"/>
      <c r="KI168" s="2"/>
      <c r="KJ168" s="2"/>
      <c r="KK168" s="2"/>
      <c r="KL168" s="2"/>
      <c r="KM168" s="2"/>
      <c r="KN168" s="2"/>
      <c r="KO168" s="2"/>
      <c r="KP168" s="2"/>
      <c r="KQ168" s="2"/>
      <c r="KR168" s="2"/>
      <c r="KS168" s="2"/>
      <c r="KT168" s="2"/>
      <c r="KU168" s="2"/>
      <c r="KV168" s="2"/>
      <c r="KW168" s="2"/>
      <c r="KX168" s="2"/>
      <c r="KY168" s="2"/>
      <c r="KZ168" s="2"/>
      <c r="LA168" s="2"/>
      <c r="LB168" s="2"/>
      <c r="LC168" s="2"/>
      <c r="LD168" s="2"/>
      <c r="LE168" s="2"/>
      <c r="LF168" s="2"/>
      <c r="LG168" s="2"/>
      <c r="LH168" s="2"/>
      <c r="LI168" s="2"/>
      <c r="LJ168" s="2"/>
      <c r="LK168" s="2"/>
      <c r="LL168" s="2"/>
      <c r="LM168" s="2"/>
      <c r="LN168" s="2"/>
      <c r="LO168" s="2"/>
      <c r="LP168" s="2"/>
      <c r="LQ168" s="2"/>
      <c r="LR168" s="2"/>
      <c r="LS168" s="2"/>
      <c r="LT168" s="2"/>
      <c r="LU168" s="2"/>
      <c r="LV168" s="2"/>
      <c r="LW168" s="2"/>
      <c r="LX168" s="2"/>
      <c r="LY168" s="2"/>
      <c r="LZ168" s="2"/>
      <c r="MA168" s="2"/>
      <c r="MB168" s="2"/>
      <c r="MC168" s="2"/>
      <c r="MD168" s="2"/>
      <c r="ME168" s="2"/>
      <c r="MF168" s="2"/>
      <c r="MG168" s="2"/>
      <c r="MH168" s="2"/>
      <c r="MI168" s="2"/>
      <c r="MJ168" s="2"/>
      <c r="MK168" s="2"/>
      <c r="ML168" s="2"/>
      <c r="MM168" s="2"/>
      <c r="MN168" s="2"/>
      <c r="MO168" s="2"/>
      <c r="MP168" s="2"/>
      <c r="MQ168" s="2"/>
      <c r="MR168" s="2"/>
      <c r="MS168" s="2"/>
      <c r="MT168" s="2"/>
      <c r="MU168" s="2"/>
      <c r="MV168" s="2"/>
      <c r="MW168" s="2"/>
      <c r="MX168" s="2"/>
      <c r="MY168" s="2"/>
      <c r="MZ168" s="2"/>
      <c r="NA168" s="2"/>
      <c r="NB168" s="2"/>
      <c r="NC168" s="2"/>
      <c r="ND168" s="2"/>
      <c r="NE168" s="2"/>
      <c r="NF168" s="2"/>
      <c r="NG168" s="2"/>
      <c r="NH168" s="2"/>
      <c r="NI168" s="2"/>
      <c r="NJ168" s="2"/>
      <c r="NK168" s="2"/>
      <c r="NL168" s="2"/>
      <c r="NM168" s="2"/>
      <c r="NN168" s="2"/>
      <c r="NO168" s="2"/>
      <c r="NP168" s="2"/>
      <c r="NQ168" s="2"/>
      <c r="NR168" s="2"/>
      <c r="NS168" s="2"/>
      <c r="NT168" s="2"/>
      <c r="NU168" s="2"/>
      <c r="NV168" s="2"/>
      <c r="NW168" s="2"/>
      <c r="NX168" s="2"/>
      <c r="NY168" s="2"/>
      <c r="NZ168" s="2"/>
      <c r="OA168" s="2"/>
      <c r="OB168" s="2"/>
      <c r="OC168" s="2"/>
      <c r="OD168" s="2"/>
      <c r="OE168" s="2"/>
      <c r="OF168" s="2"/>
      <c r="OG168" s="2"/>
      <c r="OH168" s="2"/>
      <c r="OI168" s="2"/>
      <c r="OJ168" s="2"/>
      <c r="OK168" s="2"/>
      <c r="OL168" s="2"/>
      <c r="OM168" s="2"/>
      <c r="ON168" s="2"/>
      <c r="OO168" s="2"/>
      <c r="OP168" s="2"/>
      <c r="OQ168" s="2"/>
      <c r="OR168" s="2"/>
      <c r="OS168" s="2"/>
      <c r="OT168" s="2"/>
      <c r="OU168" s="2"/>
      <c r="OV168" s="2"/>
      <c r="OW168" s="2"/>
      <c r="OX168" s="2"/>
      <c r="OY168" s="2"/>
      <c r="OZ168" s="2"/>
      <c r="PA168" s="2"/>
      <c r="PB168" s="2"/>
      <c r="PC168" s="2"/>
      <c r="PD168" s="2"/>
      <c r="PE168" s="2"/>
      <c r="PF168" s="2"/>
      <c r="PG168" s="2"/>
      <c r="PH168" s="2"/>
      <c r="PI168" s="2"/>
      <c r="PJ168" s="2"/>
      <c r="PK168" s="2"/>
      <c r="PL168" s="2"/>
      <c r="PM168" s="2"/>
      <c r="PN168" s="2"/>
      <c r="PO168" s="2"/>
      <c r="PP168" s="2"/>
      <c r="PQ168" s="2"/>
      <c r="PR168" s="2"/>
      <c r="PS168" s="2"/>
      <c r="PT168" s="2"/>
      <c r="PU168" s="2"/>
      <c r="PV168" s="2"/>
      <c r="PW168" s="2"/>
      <c r="PX168" s="2"/>
      <c r="PY168" s="2"/>
      <c r="PZ168" s="2"/>
      <c r="QA168" s="2"/>
      <c r="QB168" s="2"/>
      <c r="QC168" s="2"/>
      <c r="QD168" s="2"/>
      <c r="QE168" s="2"/>
      <c r="QF168" s="2"/>
      <c r="QG168" s="2"/>
      <c r="QH168" s="2"/>
      <c r="QI168" s="2"/>
      <c r="QJ168" s="2"/>
      <c r="QK168" s="2"/>
      <c r="QL168" s="2"/>
      <c r="QM168" s="2"/>
      <c r="QN168" s="2"/>
      <c r="QO168" s="2"/>
      <c r="QP168" s="2"/>
      <c r="QQ168" s="2"/>
      <c r="QR168" s="2"/>
      <c r="QS168" s="2"/>
      <c r="QT168" s="2"/>
      <c r="QU168" s="2"/>
      <c r="QV168" s="2"/>
      <c r="QW168" s="2"/>
      <c r="QX168" s="2"/>
      <c r="QY168" s="2"/>
      <c r="QZ168" s="2"/>
      <c r="RA168" s="2"/>
      <c r="RB168" s="2"/>
      <c r="RC168" s="2"/>
      <c r="RD168" s="2"/>
      <c r="RE168" s="2"/>
      <c r="RF168" s="2"/>
      <c r="RG168" s="2"/>
      <c r="RH168" s="2"/>
      <c r="RI168" s="2"/>
      <c r="RJ168" s="2"/>
      <c r="RK168" s="2"/>
      <c r="RL168" s="2"/>
      <c r="RM168" s="2"/>
      <c r="RN168" s="2"/>
      <c r="RO168" s="2"/>
      <c r="RP168" s="2"/>
      <c r="RQ168" s="2"/>
      <c r="RR168" s="2"/>
      <c r="RS168" s="2"/>
      <c r="RT168" s="2"/>
      <c r="RU168" s="2"/>
      <c r="RV168" s="2"/>
      <c r="RW168" s="2"/>
      <c r="RX168" s="2"/>
      <c r="RY168" s="2"/>
      <c r="RZ168" s="2"/>
      <c r="SA168" s="2"/>
      <c r="SB168" s="2"/>
      <c r="SC168" s="2"/>
      <c r="SD168" s="2"/>
      <c r="SE168" s="2"/>
      <c r="SF168" s="2"/>
      <c r="SG168" s="2"/>
      <c r="SH168" s="2"/>
      <c r="SI168" s="2"/>
      <c r="SJ168" s="2"/>
      <c r="SK168" s="2"/>
      <c r="SL168" s="2"/>
      <c r="SM168" s="2"/>
      <c r="SN168" s="2"/>
      <c r="SO168" s="2"/>
      <c r="SP168" s="2"/>
      <c r="SQ168" s="2"/>
      <c r="SR168" s="2"/>
      <c r="SS168" s="2"/>
      <c r="ST168" s="2"/>
      <c r="SU168" s="2"/>
      <c r="SV168" s="2"/>
      <c r="SW168" s="2"/>
      <c r="SX168" s="2"/>
    </row>
    <row r="169" spans="33:518" x14ac:dyDescent="0.25"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  <c r="FK169" s="2"/>
      <c r="FL169" s="2"/>
      <c r="FM169" s="2"/>
      <c r="FN169" s="2"/>
      <c r="FO169" s="2"/>
      <c r="FP169" s="2"/>
      <c r="FQ169" s="2"/>
      <c r="FR169" s="2"/>
      <c r="FS169" s="2"/>
      <c r="FT169" s="2"/>
      <c r="FU169" s="2"/>
      <c r="FV169" s="2"/>
      <c r="FW169" s="2"/>
      <c r="FX169" s="2"/>
      <c r="FY169" s="2"/>
      <c r="FZ169" s="2"/>
      <c r="GA169" s="2"/>
      <c r="GB169" s="2"/>
      <c r="GC169" s="2"/>
      <c r="GD169" s="2"/>
      <c r="GE169" s="2"/>
      <c r="GF169" s="2"/>
      <c r="GG169" s="2"/>
      <c r="GH169" s="2"/>
      <c r="GI169" s="2"/>
      <c r="GJ169" s="2"/>
      <c r="GK169" s="2"/>
      <c r="GL169" s="2"/>
      <c r="GM169" s="2"/>
      <c r="GN169" s="2"/>
      <c r="GO169" s="2"/>
      <c r="GP169" s="2"/>
      <c r="GQ169" s="2"/>
      <c r="GR169" s="2"/>
      <c r="GS169" s="2"/>
      <c r="GT169" s="2"/>
      <c r="GU169" s="2"/>
      <c r="GV169" s="2"/>
      <c r="GW169" s="2"/>
      <c r="GX169" s="2"/>
      <c r="GY169" s="2"/>
      <c r="GZ169" s="2"/>
      <c r="HA169" s="2"/>
      <c r="HB169" s="2"/>
      <c r="HC169" s="2"/>
      <c r="HD169" s="2"/>
      <c r="HE169" s="2"/>
      <c r="HF169" s="2"/>
      <c r="HG169" s="2"/>
      <c r="HH169" s="2"/>
      <c r="HI169" s="2"/>
      <c r="HJ169" s="2"/>
      <c r="HK169" s="2"/>
      <c r="HL169" s="2"/>
      <c r="HM169" s="2"/>
      <c r="HN169" s="2"/>
      <c r="HO169" s="2"/>
      <c r="HP169" s="2"/>
      <c r="HQ169" s="2"/>
      <c r="HR169" s="2"/>
      <c r="HS169" s="2"/>
      <c r="HT169" s="2"/>
      <c r="HU169" s="2"/>
      <c r="HV169" s="2"/>
      <c r="HW169" s="2"/>
      <c r="HX169" s="2"/>
      <c r="HY169" s="2"/>
      <c r="HZ169" s="2"/>
      <c r="IA169" s="2"/>
      <c r="IB169" s="2"/>
      <c r="IC169" s="2"/>
      <c r="ID169" s="2"/>
      <c r="IE169" s="2"/>
      <c r="IF169" s="2"/>
      <c r="IG169" s="2"/>
      <c r="IH169" s="2"/>
      <c r="II169" s="2"/>
      <c r="IJ169" s="2"/>
      <c r="IK169" s="2"/>
      <c r="IL169" s="2"/>
      <c r="IM169" s="2"/>
      <c r="IN169" s="2"/>
      <c r="IO169" s="2"/>
      <c r="IP169" s="2"/>
      <c r="IQ169" s="2"/>
      <c r="IR169" s="2"/>
      <c r="IS169" s="2"/>
      <c r="IT169" s="2"/>
      <c r="IU169" s="2"/>
      <c r="IV169" s="2"/>
      <c r="IW169" s="2"/>
      <c r="IX169" s="2"/>
      <c r="IY169" s="2"/>
      <c r="IZ169" s="2"/>
      <c r="JA169" s="2"/>
      <c r="JB169" s="2"/>
      <c r="JC169" s="2"/>
      <c r="JD169" s="2"/>
      <c r="JE169" s="2"/>
      <c r="JF169" s="2"/>
      <c r="JG169" s="2"/>
      <c r="JH169" s="2"/>
      <c r="JI169" s="2"/>
      <c r="JJ169" s="2"/>
      <c r="JK169" s="2"/>
      <c r="JL169" s="2"/>
      <c r="JM169" s="2"/>
      <c r="JN169" s="2"/>
      <c r="JO169" s="2"/>
      <c r="JP169" s="2"/>
      <c r="JQ169" s="2"/>
      <c r="JR169" s="2"/>
      <c r="JS169" s="2"/>
      <c r="JT169" s="2"/>
      <c r="JU169" s="2"/>
      <c r="JV169" s="2"/>
      <c r="JW169" s="2"/>
      <c r="JX169" s="2"/>
      <c r="JY169" s="2"/>
      <c r="JZ169" s="2"/>
      <c r="KA169" s="2"/>
      <c r="KB169" s="2"/>
      <c r="KC169" s="2"/>
      <c r="KD169" s="2"/>
      <c r="KE169" s="2"/>
      <c r="KF169" s="2"/>
      <c r="KG169" s="2"/>
      <c r="KH169" s="2"/>
      <c r="KI169" s="2"/>
      <c r="KJ169" s="2"/>
      <c r="KK169" s="2"/>
      <c r="KL169" s="2"/>
      <c r="KM169" s="2"/>
      <c r="KN169" s="2"/>
      <c r="KO169" s="2"/>
      <c r="KP169" s="2"/>
      <c r="KQ169" s="2"/>
      <c r="KR169" s="2"/>
      <c r="KS169" s="2"/>
      <c r="KT169" s="2"/>
      <c r="KU169" s="2"/>
      <c r="KV169" s="2"/>
      <c r="KW169" s="2"/>
      <c r="KX169" s="2"/>
      <c r="KY169" s="2"/>
      <c r="KZ169" s="2"/>
      <c r="LA169" s="2"/>
      <c r="LB169" s="2"/>
      <c r="LC169" s="2"/>
      <c r="LD169" s="2"/>
      <c r="LE169" s="2"/>
      <c r="LF169" s="2"/>
      <c r="LG169" s="2"/>
      <c r="LH169" s="2"/>
      <c r="LI169" s="2"/>
      <c r="LJ169" s="2"/>
      <c r="LK169" s="2"/>
      <c r="LL169" s="2"/>
      <c r="LM169" s="2"/>
      <c r="LN169" s="2"/>
      <c r="LO169" s="2"/>
      <c r="LP169" s="2"/>
      <c r="LQ169" s="2"/>
      <c r="LR169" s="2"/>
      <c r="LS169" s="2"/>
      <c r="LT169" s="2"/>
      <c r="LU169" s="2"/>
      <c r="LV169" s="2"/>
      <c r="LW169" s="2"/>
      <c r="LX169" s="2"/>
      <c r="LY169" s="2"/>
      <c r="LZ169" s="2"/>
      <c r="MA169" s="2"/>
      <c r="MB169" s="2"/>
      <c r="MC169" s="2"/>
      <c r="MD169" s="2"/>
      <c r="ME169" s="2"/>
      <c r="MF169" s="2"/>
      <c r="MG169" s="2"/>
      <c r="MH169" s="2"/>
      <c r="MI169" s="2"/>
      <c r="MJ169" s="2"/>
      <c r="MK169" s="2"/>
      <c r="ML169" s="2"/>
      <c r="MM169" s="2"/>
      <c r="MN169" s="2"/>
      <c r="MO169" s="2"/>
      <c r="MP169" s="2"/>
      <c r="MQ169" s="2"/>
      <c r="MR169" s="2"/>
      <c r="MS169" s="2"/>
      <c r="MT169" s="2"/>
      <c r="MU169" s="2"/>
      <c r="MV169" s="2"/>
      <c r="MW169" s="2"/>
      <c r="MX169" s="2"/>
      <c r="MY169" s="2"/>
      <c r="MZ169" s="2"/>
      <c r="NA169" s="2"/>
      <c r="NB169" s="2"/>
      <c r="NC169" s="2"/>
      <c r="ND169" s="2"/>
      <c r="NE169" s="2"/>
      <c r="NF169" s="2"/>
      <c r="NG169" s="2"/>
      <c r="NH169" s="2"/>
      <c r="NI169" s="2"/>
      <c r="NJ169" s="2"/>
      <c r="NK169" s="2"/>
      <c r="NL169" s="2"/>
      <c r="NM169" s="2"/>
      <c r="NN169" s="2"/>
      <c r="NO169" s="2"/>
      <c r="NP169" s="2"/>
      <c r="NQ169" s="2"/>
      <c r="NR169" s="2"/>
      <c r="NS169" s="2"/>
      <c r="NT169" s="2"/>
      <c r="NU169" s="2"/>
      <c r="NV169" s="2"/>
      <c r="NW169" s="2"/>
      <c r="NX169" s="2"/>
      <c r="NY169" s="2"/>
      <c r="NZ169" s="2"/>
      <c r="OA169" s="2"/>
      <c r="OB169" s="2"/>
      <c r="OC169" s="2"/>
      <c r="OD169" s="2"/>
      <c r="OE169" s="2"/>
      <c r="OF169" s="2"/>
      <c r="OG169" s="2"/>
      <c r="OH169" s="2"/>
      <c r="OI169" s="2"/>
      <c r="OJ169" s="2"/>
      <c r="OK169" s="2"/>
      <c r="OL169" s="2"/>
      <c r="OM169" s="2"/>
      <c r="ON169" s="2"/>
      <c r="OO169" s="2"/>
      <c r="OP169" s="2"/>
      <c r="OQ169" s="2"/>
      <c r="OR169" s="2"/>
      <c r="OS169" s="2"/>
      <c r="OT169" s="2"/>
      <c r="OU169" s="2"/>
      <c r="OV169" s="2"/>
      <c r="OW169" s="2"/>
      <c r="OX169" s="2"/>
      <c r="OY169" s="2"/>
      <c r="OZ169" s="2"/>
      <c r="PA169" s="2"/>
      <c r="PB169" s="2"/>
      <c r="PC169" s="2"/>
      <c r="PD169" s="2"/>
      <c r="PE169" s="2"/>
      <c r="PF169" s="2"/>
      <c r="PG169" s="2"/>
      <c r="PH169" s="2"/>
      <c r="PI169" s="2"/>
      <c r="PJ169" s="2"/>
      <c r="PK169" s="2"/>
      <c r="PL169" s="2"/>
      <c r="PM169" s="2"/>
      <c r="PN169" s="2"/>
      <c r="PO169" s="2"/>
      <c r="PP169" s="2"/>
      <c r="PQ169" s="2"/>
      <c r="PR169" s="2"/>
      <c r="PS169" s="2"/>
      <c r="PT169" s="2"/>
      <c r="PU169" s="2"/>
      <c r="PV169" s="2"/>
      <c r="PW169" s="2"/>
      <c r="PX169" s="2"/>
      <c r="PY169" s="2"/>
      <c r="PZ169" s="2"/>
      <c r="QA169" s="2"/>
      <c r="QB169" s="2"/>
      <c r="QC169" s="2"/>
      <c r="QD169" s="2"/>
      <c r="QE169" s="2"/>
      <c r="QF169" s="2"/>
      <c r="QG169" s="2"/>
      <c r="QH169" s="2"/>
      <c r="QI169" s="2"/>
      <c r="QJ169" s="2"/>
      <c r="QK169" s="2"/>
      <c r="QL169" s="2"/>
      <c r="QM169" s="2"/>
      <c r="QN169" s="2"/>
      <c r="QO169" s="2"/>
      <c r="QP169" s="2"/>
      <c r="QQ169" s="2"/>
      <c r="QR169" s="2"/>
      <c r="QS169" s="2"/>
      <c r="QT169" s="2"/>
      <c r="QU169" s="2"/>
      <c r="QV169" s="2"/>
      <c r="QW169" s="2"/>
      <c r="QX169" s="2"/>
      <c r="QY169" s="2"/>
      <c r="QZ169" s="2"/>
      <c r="RA169" s="2"/>
      <c r="RB169" s="2"/>
      <c r="RC169" s="2"/>
      <c r="RD169" s="2"/>
      <c r="RE169" s="2"/>
      <c r="RF169" s="2"/>
      <c r="RG169" s="2"/>
      <c r="RH169" s="2"/>
      <c r="RI169" s="2"/>
      <c r="RJ169" s="2"/>
      <c r="RK169" s="2"/>
      <c r="RL169" s="2"/>
      <c r="RM169" s="2"/>
      <c r="RN169" s="2"/>
      <c r="RO169" s="2"/>
      <c r="RP169" s="2"/>
      <c r="RQ169" s="2"/>
      <c r="RR169" s="2"/>
      <c r="RS169" s="2"/>
      <c r="RT169" s="2"/>
      <c r="RU169" s="2"/>
      <c r="RV169" s="2"/>
      <c r="RW169" s="2"/>
      <c r="RX169" s="2"/>
      <c r="RY169" s="2"/>
      <c r="RZ169" s="2"/>
      <c r="SA169" s="2"/>
      <c r="SB169" s="2"/>
      <c r="SC169" s="2"/>
      <c r="SD169" s="2"/>
      <c r="SE169" s="2"/>
      <c r="SF169" s="2"/>
      <c r="SG169" s="2"/>
      <c r="SH169" s="2"/>
      <c r="SI169" s="2"/>
      <c r="SJ169" s="2"/>
      <c r="SK169" s="2"/>
      <c r="SL169" s="2"/>
      <c r="SM169" s="2"/>
      <c r="SN169" s="2"/>
      <c r="SO169" s="2"/>
      <c r="SP169" s="2"/>
      <c r="SQ169" s="2"/>
      <c r="SR169" s="2"/>
      <c r="SS169" s="2"/>
      <c r="ST169" s="2"/>
      <c r="SU169" s="2"/>
      <c r="SV169" s="2"/>
      <c r="SW169" s="2"/>
      <c r="SX169" s="2"/>
    </row>
    <row r="170" spans="33:518" x14ac:dyDescent="0.25"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  <c r="FK170" s="2"/>
      <c r="FL170" s="2"/>
      <c r="FM170" s="2"/>
      <c r="FN170" s="2"/>
      <c r="FO170" s="2"/>
      <c r="FP170" s="2"/>
      <c r="FQ170" s="2"/>
      <c r="FR170" s="2"/>
      <c r="FS170" s="2"/>
      <c r="FT170" s="2"/>
      <c r="FU170" s="2"/>
      <c r="FV170" s="2"/>
      <c r="FW170" s="2"/>
      <c r="FX170" s="2"/>
      <c r="FY170" s="2"/>
      <c r="FZ170" s="2"/>
      <c r="GA170" s="2"/>
      <c r="GB170" s="2"/>
      <c r="GC170" s="2"/>
      <c r="GD170" s="2"/>
      <c r="GE170" s="2"/>
      <c r="GF170" s="2"/>
      <c r="GG170" s="2"/>
      <c r="GH170" s="2"/>
      <c r="GI170" s="2"/>
      <c r="GJ170" s="2"/>
      <c r="GK170" s="2"/>
      <c r="GL170" s="2"/>
      <c r="GM170" s="2"/>
      <c r="GN170" s="2"/>
      <c r="GO170" s="2"/>
      <c r="GP170" s="2"/>
      <c r="GQ170" s="2"/>
      <c r="GR170" s="2"/>
      <c r="GS170" s="2"/>
      <c r="GT170" s="2"/>
      <c r="GU170" s="2"/>
      <c r="GV170" s="2"/>
      <c r="GW170" s="2"/>
      <c r="GX170" s="2"/>
      <c r="GY170" s="2"/>
      <c r="GZ170" s="2"/>
      <c r="HA170" s="2"/>
      <c r="HB170" s="2"/>
      <c r="HC170" s="2"/>
      <c r="HD170" s="2"/>
      <c r="HE170" s="2"/>
      <c r="HF170" s="2"/>
      <c r="HG170" s="2"/>
      <c r="HH170" s="2"/>
      <c r="HI170" s="2"/>
      <c r="HJ170" s="2"/>
      <c r="HK170" s="2"/>
      <c r="HL170" s="2"/>
      <c r="HM170" s="2"/>
      <c r="HN170" s="2"/>
      <c r="HO170" s="2"/>
      <c r="HP170" s="2"/>
      <c r="HQ170" s="2"/>
      <c r="HR170" s="2"/>
      <c r="HS170" s="2"/>
      <c r="HT170" s="2"/>
      <c r="HU170" s="2"/>
      <c r="HV170" s="2"/>
      <c r="HW170" s="2"/>
      <c r="HX170" s="2"/>
      <c r="HY170" s="2"/>
      <c r="HZ170" s="2"/>
      <c r="IA170" s="2"/>
      <c r="IB170" s="2"/>
      <c r="IC170" s="2"/>
      <c r="ID170" s="2"/>
      <c r="IE170" s="2"/>
      <c r="IF170" s="2"/>
      <c r="IG170" s="2"/>
      <c r="IH170" s="2"/>
      <c r="II170" s="2"/>
      <c r="IJ170" s="2"/>
      <c r="IK170" s="2"/>
      <c r="IL170" s="2"/>
      <c r="IM170" s="2"/>
      <c r="IN170" s="2"/>
      <c r="IO170" s="2"/>
      <c r="IP170" s="2"/>
      <c r="IQ170" s="2"/>
      <c r="IR170" s="2"/>
      <c r="IS170" s="2"/>
      <c r="IT170" s="2"/>
      <c r="IU170" s="2"/>
      <c r="IV170" s="2"/>
      <c r="IW170" s="2"/>
      <c r="IX170" s="2"/>
      <c r="IY170" s="2"/>
      <c r="IZ170" s="2"/>
      <c r="JA170" s="2"/>
      <c r="JB170" s="2"/>
      <c r="JC170" s="2"/>
      <c r="JD170" s="2"/>
      <c r="JE170" s="2"/>
      <c r="JF170" s="2"/>
      <c r="JG170" s="2"/>
      <c r="JH170" s="2"/>
      <c r="JI170" s="2"/>
      <c r="JJ170" s="2"/>
      <c r="JK170" s="2"/>
      <c r="JL170" s="2"/>
      <c r="JM170" s="2"/>
      <c r="JN170" s="2"/>
      <c r="JO170" s="2"/>
      <c r="JP170" s="2"/>
      <c r="JQ170" s="2"/>
      <c r="JR170" s="2"/>
      <c r="JS170" s="2"/>
      <c r="JT170" s="2"/>
      <c r="JU170" s="2"/>
      <c r="JV170" s="2"/>
      <c r="JW170" s="2"/>
      <c r="JX170" s="2"/>
      <c r="JY170" s="2"/>
      <c r="JZ170" s="2"/>
      <c r="KA170" s="2"/>
      <c r="KB170" s="2"/>
      <c r="KC170" s="2"/>
      <c r="KD170" s="2"/>
      <c r="KE170" s="2"/>
      <c r="KF170" s="2"/>
      <c r="KG170" s="2"/>
      <c r="KH170" s="2"/>
      <c r="KI170" s="2"/>
      <c r="KJ170" s="2"/>
      <c r="KK170" s="2"/>
      <c r="KL170" s="2"/>
      <c r="KM170" s="2"/>
      <c r="KN170" s="2"/>
      <c r="KO170" s="2"/>
      <c r="KP170" s="2"/>
      <c r="KQ170" s="2"/>
      <c r="KR170" s="2"/>
      <c r="KS170" s="2"/>
      <c r="KT170" s="2"/>
      <c r="KU170" s="2"/>
      <c r="KV170" s="2"/>
      <c r="KW170" s="2"/>
      <c r="KX170" s="2"/>
      <c r="KY170" s="2"/>
      <c r="KZ170" s="2"/>
      <c r="LA170" s="2"/>
      <c r="LB170" s="2"/>
      <c r="LC170" s="2"/>
      <c r="LD170" s="2"/>
      <c r="LE170" s="2"/>
      <c r="LF170" s="2"/>
      <c r="LG170" s="2"/>
      <c r="LH170" s="2"/>
      <c r="LI170" s="2"/>
      <c r="LJ170" s="2"/>
      <c r="LK170" s="2"/>
      <c r="LL170" s="2"/>
      <c r="LM170" s="2"/>
      <c r="LN170" s="2"/>
      <c r="LO170" s="2"/>
      <c r="LP170" s="2"/>
      <c r="LQ170" s="2"/>
      <c r="LR170" s="2"/>
      <c r="LS170" s="2"/>
      <c r="LT170" s="2"/>
      <c r="LU170" s="2"/>
      <c r="LV170" s="2"/>
      <c r="LW170" s="2"/>
      <c r="LX170" s="2"/>
      <c r="LY170" s="2"/>
      <c r="LZ170" s="2"/>
      <c r="MA170" s="2"/>
      <c r="MB170" s="2"/>
      <c r="MC170" s="2"/>
      <c r="MD170" s="2"/>
      <c r="ME170" s="2"/>
      <c r="MF170" s="2"/>
      <c r="MG170" s="2"/>
      <c r="MH170" s="2"/>
      <c r="MI170" s="2"/>
      <c r="MJ170" s="2"/>
      <c r="MK170" s="2"/>
      <c r="ML170" s="2"/>
      <c r="MM170" s="2"/>
      <c r="MN170" s="2"/>
      <c r="MO170" s="2"/>
      <c r="MP170" s="2"/>
      <c r="MQ170" s="2"/>
      <c r="MR170" s="2"/>
      <c r="MS170" s="2"/>
      <c r="MT170" s="2"/>
      <c r="MU170" s="2"/>
      <c r="MV170" s="2"/>
      <c r="MW170" s="2"/>
      <c r="MX170" s="2"/>
      <c r="MY170" s="2"/>
      <c r="MZ170" s="2"/>
      <c r="NA170" s="2"/>
      <c r="NB170" s="2"/>
      <c r="NC170" s="2"/>
      <c r="ND170" s="2"/>
      <c r="NE170" s="2"/>
      <c r="NF170" s="2"/>
      <c r="NG170" s="2"/>
      <c r="NH170" s="2"/>
      <c r="NI170" s="2"/>
      <c r="NJ170" s="2"/>
      <c r="NK170" s="2"/>
      <c r="NL170" s="2"/>
      <c r="NM170" s="2"/>
      <c r="NN170" s="2"/>
      <c r="NO170" s="2"/>
      <c r="NP170" s="2"/>
      <c r="NQ170" s="2"/>
      <c r="NR170" s="2"/>
      <c r="NS170" s="2"/>
      <c r="NT170" s="2"/>
      <c r="NU170" s="2"/>
      <c r="NV170" s="2"/>
      <c r="NW170" s="2"/>
      <c r="NX170" s="2"/>
      <c r="NY170" s="2"/>
      <c r="NZ170" s="2"/>
      <c r="OA170" s="2"/>
      <c r="OB170" s="2"/>
      <c r="OC170" s="2"/>
      <c r="OD170" s="2"/>
      <c r="OE170" s="2"/>
      <c r="OF170" s="2"/>
      <c r="OG170" s="2"/>
      <c r="OH170" s="2"/>
      <c r="OI170" s="2"/>
      <c r="OJ170" s="2"/>
      <c r="OK170" s="2"/>
      <c r="OL170" s="2"/>
      <c r="OM170" s="2"/>
      <c r="ON170" s="2"/>
      <c r="OO170" s="2"/>
      <c r="OP170" s="2"/>
      <c r="OQ170" s="2"/>
      <c r="OR170" s="2"/>
      <c r="OS170" s="2"/>
      <c r="OT170" s="2"/>
      <c r="OU170" s="2"/>
      <c r="OV170" s="2"/>
      <c r="OW170" s="2"/>
      <c r="OX170" s="2"/>
      <c r="OY170" s="2"/>
      <c r="OZ170" s="2"/>
      <c r="PA170" s="2"/>
      <c r="PB170" s="2"/>
      <c r="PC170" s="2"/>
      <c r="PD170" s="2"/>
      <c r="PE170" s="2"/>
      <c r="PF170" s="2"/>
      <c r="PG170" s="2"/>
      <c r="PH170" s="2"/>
      <c r="PI170" s="2"/>
      <c r="PJ170" s="2"/>
      <c r="PK170" s="2"/>
      <c r="PL170" s="2"/>
      <c r="PM170" s="2"/>
      <c r="PN170" s="2"/>
      <c r="PO170" s="2"/>
      <c r="PP170" s="2"/>
      <c r="PQ170" s="2"/>
      <c r="PR170" s="2"/>
      <c r="PS170" s="2"/>
      <c r="PT170" s="2"/>
      <c r="PU170" s="2"/>
      <c r="PV170" s="2"/>
      <c r="PW170" s="2"/>
      <c r="PX170" s="2"/>
      <c r="PY170" s="2"/>
      <c r="PZ170" s="2"/>
      <c r="QA170" s="2"/>
      <c r="QB170" s="2"/>
      <c r="QC170" s="2"/>
      <c r="QD170" s="2"/>
      <c r="QE170" s="2"/>
      <c r="QF170" s="2"/>
      <c r="QG170" s="2"/>
      <c r="QH170" s="2"/>
      <c r="QI170" s="2"/>
      <c r="QJ170" s="2"/>
      <c r="QK170" s="2"/>
      <c r="QL170" s="2"/>
      <c r="QM170" s="2"/>
      <c r="QN170" s="2"/>
      <c r="QO170" s="2"/>
      <c r="QP170" s="2"/>
      <c r="QQ170" s="2"/>
      <c r="QR170" s="2"/>
      <c r="QS170" s="2"/>
      <c r="QT170" s="2"/>
      <c r="QU170" s="2"/>
      <c r="QV170" s="2"/>
      <c r="QW170" s="2"/>
      <c r="QX170" s="2"/>
      <c r="QY170" s="2"/>
      <c r="QZ170" s="2"/>
      <c r="RA170" s="2"/>
      <c r="RB170" s="2"/>
      <c r="RC170" s="2"/>
      <c r="RD170" s="2"/>
      <c r="RE170" s="2"/>
      <c r="RF170" s="2"/>
      <c r="RG170" s="2"/>
      <c r="RH170" s="2"/>
      <c r="RI170" s="2"/>
      <c r="RJ170" s="2"/>
      <c r="RK170" s="2"/>
      <c r="RL170" s="2"/>
      <c r="RM170" s="2"/>
      <c r="RN170" s="2"/>
      <c r="RO170" s="2"/>
      <c r="RP170" s="2"/>
      <c r="RQ170" s="2"/>
      <c r="RR170" s="2"/>
      <c r="RS170" s="2"/>
      <c r="RT170" s="2"/>
      <c r="RU170" s="2"/>
      <c r="RV170" s="2"/>
      <c r="RW170" s="2"/>
      <c r="RX170" s="2"/>
      <c r="RY170" s="2"/>
      <c r="RZ170" s="2"/>
      <c r="SA170" s="2"/>
      <c r="SB170" s="2"/>
      <c r="SC170" s="2"/>
      <c r="SD170" s="2"/>
      <c r="SE170" s="2"/>
      <c r="SF170" s="2"/>
      <c r="SG170" s="2"/>
      <c r="SH170" s="2"/>
      <c r="SI170" s="2"/>
      <c r="SJ170" s="2"/>
      <c r="SK170" s="2"/>
      <c r="SL170" s="2"/>
      <c r="SM170" s="2"/>
      <c r="SN170" s="2"/>
      <c r="SO170" s="2"/>
      <c r="SP170" s="2"/>
      <c r="SQ170" s="2"/>
      <c r="SR170" s="2"/>
      <c r="SS170" s="2"/>
      <c r="ST170" s="2"/>
      <c r="SU170" s="2"/>
      <c r="SV170" s="2"/>
      <c r="SW170" s="2"/>
      <c r="SX170" s="2"/>
    </row>
    <row r="171" spans="33:518" x14ac:dyDescent="0.25"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  <c r="FK171" s="2"/>
      <c r="FL171" s="2"/>
      <c r="FM171" s="2"/>
      <c r="FN171" s="2"/>
      <c r="FO171" s="2"/>
      <c r="FP171" s="2"/>
      <c r="FQ171" s="2"/>
      <c r="FR171" s="2"/>
      <c r="FS171" s="2"/>
      <c r="FT171" s="2"/>
      <c r="FU171" s="2"/>
      <c r="FV171" s="2"/>
      <c r="FW171" s="2"/>
      <c r="FX171" s="2"/>
      <c r="FY171" s="2"/>
      <c r="FZ171" s="2"/>
      <c r="GA171" s="2"/>
      <c r="GB171" s="2"/>
      <c r="GC171" s="2"/>
      <c r="GD171" s="2"/>
      <c r="GE171" s="2"/>
      <c r="GF171" s="2"/>
      <c r="GG171" s="2"/>
      <c r="GH171" s="2"/>
      <c r="GI171" s="2"/>
      <c r="GJ171" s="2"/>
      <c r="GK171" s="2"/>
      <c r="GL171" s="2"/>
      <c r="GM171" s="2"/>
      <c r="GN171" s="2"/>
      <c r="GO171" s="2"/>
      <c r="GP171" s="2"/>
      <c r="GQ171" s="2"/>
      <c r="GR171" s="2"/>
      <c r="GS171" s="2"/>
      <c r="GT171" s="2"/>
      <c r="GU171" s="2"/>
      <c r="GV171" s="2"/>
      <c r="GW171" s="2"/>
      <c r="GX171" s="2"/>
      <c r="GY171" s="2"/>
      <c r="GZ171" s="2"/>
      <c r="HA171" s="2"/>
      <c r="HB171" s="2"/>
      <c r="HC171" s="2"/>
      <c r="HD171" s="2"/>
      <c r="HE171" s="2"/>
      <c r="HF171" s="2"/>
      <c r="HG171" s="2"/>
      <c r="HH171" s="2"/>
      <c r="HI171" s="2"/>
      <c r="HJ171" s="2"/>
      <c r="HK171" s="2"/>
      <c r="HL171" s="2"/>
      <c r="HM171" s="2"/>
      <c r="HN171" s="2"/>
      <c r="HO171" s="2"/>
      <c r="HP171" s="2"/>
      <c r="HQ171" s="2"/>
      <c r="HR171" s="2"/>
      <c r="HS171" s="2"/>
      <c r="HT171" s="2"/>
      <c r="HU171" s="2"/>
      <c r="HV171" s="2"/>
      <c r="HW171" s="2"/>
      <c r="HX171" s="2"/>
      <c r="HY171" s="2"/>
      <c r="HZ171" s="2"/>
      <c r="IA171" s="2"/>
      <c r="IB171" s="2"/>
      <c r="IC171" s="2"/>
      <c r="ID171" s="2"/>
      <c r="IE171" s="2"/>
      <c r="IF171" s="2"/>
      <c r="IG171" s="2"/>
      <c r="IH171" s="2"/>
      <c r="II171" s="2"/>
      <c r="IJ171" s="2"/>
      <c r="IK171" s="2"/>
      <c r="IL171" s="2"/>
      <c r="IM171" s="2"/>
      <c r="IN171" s="2"/>
      <c r="IO171" s="2"/>
      <c r="IP171" s="2"/>
      <c r="IQ171" s="2"/>
      <c r="IR171" s="2"/>
      <c r="IS171" s="2"/>
      <c r="IT171" s="2"/>
      <c r="IU171" s="2"/>
      <c r="IV171" s="2"/>
      <c r="IW171" s="2"/>
      <c r="IX171" s="2"/>
      <c r="IY171" s="2"/>
      <c r="IZ171" s="2"/>
      <c r="JA171" s="2"/>
      <c r="JB171" s="2"/>
      <c r="JC171" s="2"/>
      <c r="JD171" s="2"/>
      <c r="JE171" s="2"/>
      <c r="JF171" s="2"/>
      <c r="JG171" s="2"/>
      <c r="JH171" s="2"/>
      <c r="JI171" s="2"/>
      <c r="JJ171" s="2"/>
      <c r="JK171" s="2"/>
      <c r="JL171" s="2"/>
      <c r="JM171" s="2"/>
      <c r="JN171" s="2"/>
      <c r="JO171" s="2"/>
      <c r="JP171" s="2"/>
      <c r="JQ171" s="2"/>
      <c r="JR171" s="2"/>
      <c r="JS171" s="2"/>
      <c r="JT171" s="2"/>
      <c r="JU171" s="2"/>
      <c r="JV171" s="2"/>
      <c r="JW171" s="2"/>
      <c r="JX171" s="2"/>
      <c r="JY171" s="2"/>
      <c r="JZ171" s="2"/>
      <c r="KA171" s="2"/>
      <c r="KB171" s="2"/>
      <c r="KC171" s="2"/>
      <c r="KD171" s="2"/>
      <c r="KE171" s="2"/>
      <c r="KF171" s="2"/>
      <c r="KG171" s="2"/>
      <c r="KH171" s="2"/>
      <c r="KI171" s="2"/>
      <c r="KJ171" s="2"/>
      <c r="KK171" s="2"/>
      <c r="KL171" s="2"/>
      <c r="KM171" s="2"/>
      <c r="KN171" s="2"/>
      <c r="KO171" s="2"/>
      <c r="KP171" s="2"/>
      <c r="KQ171" s="2"/>
      <c r="KR171" s="2"/>
      <c r="KS171" s="2"/>
      <c r="KT171" s="2"/>
      <c r="KU171" s="2"/>
      <c r="KV171" s="2"/>
      <c r="KW171" s="2"/>
      <c r="KX171" s="2"/>
      <c r="KY171" s="2"/>
      <c r="KZ171" s="2"/>
      <c r="LA171" s="2"/>
      <c r="LB171" s="2"/>
      <c r="LC171" s="2"/>
      <c r="LD171" s="2"/>
      <c r="LE171" s="2"/>
      <c r="LF171" s="2"/>
      <c r="LG171" s="2"/>
      <c r="LH171" s="2"/>
      <c r="LI171" s="2"/>
      <c r="LJ171" s="2"/>
      <c r="LK171" s="2"/>
      <c r="LL171" s="2"/>
      <c r="LM171" s="2"/>
      <c r="LN171" s="2"/>
      <c r="LO171" s="2"/>
      <c r="LP171" s="2"/>
      <c r="LQ171" s="2"/>
      <c r="LR171" s="2"/>
      <c r="LS171" s="2"/>
      <c r="LT171" s="2"/>
      <c r="LU171" s="2"/>
      <c r="LV171" s="2"/>
      <c r="LW171" s="2"/>
      <c r="LX171" s="2"/>
      <c r="LY171" s="2"/>
      <c r="LZ171" s="2"/>
      <c r="MA171" s="2"/>
      <c r="MB171" s="2"/>
      <c r="MC171" s="2"/>
      <c r="MD171" s="2"/>
      <c r="ME171" s="2"/>
      <c r="MF171" s="2"/>
      <c r="MG171" s="2"/>
      <c r="MH171" s="2"/>
      <c r="MI171" s="2"/>
      <c r="MJ171" s="2"/>
      <c r="MK171" s="2"/>
      <c r="ML171" s="2"/>
      <c r="MM171" s="2"/>
      <c r="MN171" s="2"/>
      <c r="MO171" s="2"/>
      <c r="MP171" s="2"/>
      <c r="MQ171" s="2"/>
      <c r="MR171" s="2"/>
      <c r="MS171" s="2"/>
      <c r="MT171" s="2"/>
      <c r="MU171" s="2"/>
      <c r="MV171" s="2"/>
      <c r="MW171" s="2"/>
      <c r="MX171" s="2"/>
      <c r="MY171" s="2"/>
      <c r="MZ171" s="2"/>
      <c r="NA171" s="2"/>
      <c r="NB171" s="2"/>
      <c r="NC171" s="2"/>
      <c r="ND171" s="2"/>
      <c r="NE171" s="2"/>
      <c r="NF171" s="2"/>
      <c r="NG171" s="2"/>
      <c r="NH171" s="2"/>
      <c r="NI171" s="2"/>
      <c r="NJ171" s="2"/>
      <c r="NK171" s="2"/>
      <c r="NL171" s="2"/>
      <c r="NM171" s="2"/>
      <c r="NN171" s="2"/>
      <c r="NO171" s="2"/>
      <c r="NP171" s="2"/>
      <c r="NQ171" s="2"/>
      <c r="NR171" s="2"/>
      <c r="NS171" s="2"/>
      <c r="NT171" s="2"/>
      <c r="NU171" s="2"/>
      <c r="NV171" s="2"/>
      <c r="NW171" s="2"/>
      <c r="NX171" s="2"/>
      <c r="NY171" s="2"/>
      <c r="NZ171" s="2"/>
      <c r="OA171" s="2"/>
      <c r="OB171" s="2"/>
      <c r="OC171" s="2"/>
      <c r="OD171" s="2"/>
      <c r="OE171" s="2"/>
      <c r="OF171" s="2"/>
      <c r="OG171" s="2"/>
      <c r="OH171" s="2"/>
      <c r="OI171" s="2"/>
      <c r="OJ171" s="2"/>
      <c r="OK171" s="2"/>
      <c r="OL171" s="2"/>
      <c r="OM171" s="2"/>
      <c r="ON171" s="2"/>
      <c r="OO171" s="2"/>
      <c r="OP171" s="2"/>
      <c r="OQ171" s="2"/>
      <c r="OR171" s="2"/>
      <c r="OS171" s="2"/>
      <c r="OT171" s="2"/>
      <c r="OU171" s="2"/>
      <c r="OV171" s="2"/>
      <c r="OW171" s="2"/>
      <c r="OX171" s="2"/>
      <c r="OY171" s="2"/>
      <c r="OZ171" s="2"/>
      <c r="PA171" s="2"/>
      <c r="PB171" s="2"/>
      <c r="PC171" s="2"/>
      <c r="PD171" s="2"/>
      <c r="PE171" s="2"/>
      <c r="PF171" s="2"/>
      <c r="PG171" s="2"/>
      <c r="PH171" s="2"/>
      <c r="PI171" s="2"/>
      <c r="PJ171" s="2"/>
      <c r="PK171" s="2"/>
      <c r="PL171" s="2"/>
      <c r="PM171" s="2"/>
      <c r="PN171" s="2"/>
      <c r="PO171" s="2"/>
      <c r="PP171" s="2"/>
      <c r="PQ171" s="2"/>
      <c r="PR171" s="2"/>
      <c r="PS171" s="2"/>
      <c r="PT171" s="2"/>
      <c r="PU171" s="2"/>
      <c r="PV171" s="2"/>
      <c r="PW171" s="2"/>
      <c r="PX171" s="2"/>
      <c r="PY171" s="2"/>
      <c r="PZ171" s="2"/>
      <c r="QA171" s="2"/>
      <c r="QB171" s="2"/>
      <c r="QC171" s="2"/>
      <c r="QD171" s="2"/>
      <c r="QE171" s="2"/>
      <c r="QF171" s="2"/>
      <c r="QG171" s="2"/>
      <c r="QH171" s="2"/>
      <c r="QI171" s="2"/>
      <c r="QJ171" s="2"/>
      <c r="QK171" s="2"/>
      <c r="QL171" s="2"/>
      <c r="QM171" s="2"/>
      <c r="QN171" s="2"/>
      <c r="QO171" s="2"/>
      <c r="QP171" s="2"/>
      <c r="QQ171" s="2"/>
      <c r="QR171" s="2"/>
      <c r="QS171" s="2"/>
      <c r="QT171" s="2"/>
      <c r="QU171" s="2"/>
      <c r="QV171" s="2"/>
      <c r="QW171" s="2"/>
      <c r="QX171" s="2"/>
      <c r="QY171" s="2"/>
      <c r="QZ171" s="2"/>
      <c r="RA171" s="2"/>
      <c r="RB171" s="2"/>
      <c r="RC171" s="2"/>
      <c r="RD171" s="2"/>
      <c r="RE171" s="2"/>
      <c r="RF171" s="2"/>
      <c r="RG171" s="2"/>
      <c r="RH171" s="2"/>
      <c r="RI171" s="2"/>
      <c r="RJ171" s="2"/>
      <c r="RK171" s="2"/>
      <c r="RL171" s="2"/>
      <c r="RM171" s="2"/>
      <c r="RN171" s="2"/>
      <c r="RO171" s="2"/>
      <c r="RP171" s="2"/>
      <c r="RQ171" s="2"/>
      <c r="RR171" s="2"/>
      <c r="RS171" s="2"/>
      <c r="RT171" s="2"/>
      <c r="RU171" s="2"/>
      <c r="RV171" s="2"/>
      <c r="RW171" s="2"/>
      <c r="RX171" s="2"/>
      <c r="RY171" s="2"/>
      <c r="RZ171" s="2"/>
      <c r="SA171" s="2"/>
      <c r="SB171" s="2"/>
      <c r="SC171" s="2"/>
      <c r="SD171" s="2"/>
      <c r="SE171" s="2"/>
      <c r="SF171" s="2"/>
      <c r="SG171" s="2"/>
      <c r="SH171" s="2"/>
      <c r="SI171" s="2"/>
      <c r="SJ171" s="2"/>
      <c r="SK171" s="2"/>
      <c r="SL171" s="2"/>
      <c r="SM171" s="2"/>
      <c r="SN171" s="2"/>
      <c r="SO171" s="2"/>
      <c r="SP171" s="2"/>
      <c r="SQ171" s="2"/>
      <c r="SR171" s="2"/>
      <c r="SS171" s="2"/>
      <c r="ST171" s="2"/>
      <c r="SU171" s="2"/>
      <c r="SV171" s="2"/>
      <c r="SW171" s="2"/>
      <c r="SX171" s="2"/>
    </row>
    <row r="172" spans="33:518" x14ac:dyDescent="0.25"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  <c r="FK172" s="2"/>
      <c r="FL172" s="2"/>
      <c r="FM172" s="2"/>
      <c r="FN172" s="2"/>
      <c r="FO172" s="2"/>
      <c r="FP172" s="2"/>
      <c r="FQ172" s="2"/>
      <c r="FR172" s="2"/>
      <c r="FS172" s="2"/>
      <c r="FT172" s="2"/>
      <c r="FU172" s="2"/>
      <c r="FV172" s="2"/>
      <c r="FW172" s="2"/>
      <c r="FX172" s="2"/>
      <c r="FY172" s="2"/>
      <c r="FZ172" s="2"/>
      <c r="GA172" s="2"/>
      <c r="GB172" s="2"/>
      <c r="GC172" s="2"/>
      <c r="GD172" s="2"/>
      <c r="GE172" s="2"/>
      <c r="GF172" s="2"/>
      <c r="GG172" s="2"/>
      <c r="GH172" s="2"/>
      <c r="GI172" s="2"/>
      <c r="GJ172" s="2"/>
      <c r="GK172" s="2"/>
      <c r="GL172" s="2"/>
      <c r="GM172" s="2"/>
      <c r="GN172" s="2"/>
      <c r="GO172" s="2"/>
      <c r="GP172" s="2"/>
      <c r="GQ172" s="2"/>
      <c r="GR172" s="2"/>
      <c r="GS172" s="2"/>
      <c r="GT172" s="2"/>
      <c r="GU172" s="2"/>
      <c r="GV172" s="2"/>
      <c r="GW172" s="2"/>
      <c r="GX172" s="2"/>
      <c r="GY172" s="2"/>
      <c r="GZ172" s="2"/>
      <c r="HA172" s="2"/>
      <c r="HB172" s="2"/>
      <c r="HC172" s="2"/>
      <c r="HD172" s="2"/>
      <c r="HE172" s="2"/>
      <c r="HF172" s="2"/>
      <c r="HG172" s="2"/>
      <c r="HH172" s="2"/>
      <c r="HI172" s="2"/>
      <c r="HJ172" s="2"/>
      <c r="HK172" s="2"/>
      <c r="HL172" s="2"/>
      <c r="HM172" s="2"/>
      <c r="HN172" s="2"/>
      <c r="HO172" s="2"/>
      <c r="HP172" s="2"/>
      <c r="HQ172" s="2"/>
      <c r="HR172" s="2"/>
      <c r="HS172" s="2"/>
      <c r="HT172" s="2"/>
      <c r="HU172" s="2"/>
      <c r="HV172" s="2"/>
      <c r="HW172" s="2"/>
      <c r="HX172" s="2"/>
      <c r="HY172" s="2"/>
      <c r="HZ172" s="2"/>
      <c r="IA172" s="2"/>
      <c r="IB172" s="2"/>
      <c r="IC172" s="2"/>
      <c r="ID172" s="2"/>
      <c r="IE172" s="2"/>
      <c r="IF172" s="2"/>
      <c r="IG172" s="2"/>
      <c r="IH172" s="2"/>
      <c r="II172" s="2"/>
      <c r="IJ172" s="2"/>
      <c r="IK172" s="2"/>
      <c r="IL172" s="2"/>
      <c r="IM172" s="2"/>
      <c r="IN172" s="2"/>
      <c r="IO172" s="2"/>
      <c r="IP172" s="2"/>
      <c r="IQ172" s="2"/>
      <c r="IR172" s="2"/>
      <c r="IS172" s="2"/>
      <c r="IT172" s="2"/>
      <c r="IU172" s="2"/>
      <c r="IV172" s="2"/>
      <c r="IW172" s="2"/>
      <c r="IX172" s="2"/>
      <c r="IY172" s="2"/>
      <c r="IZ172" s="2"/>
      <c r="JA172" s="2"/>
      <c r="JB172" s="2"/>
      <c r="JC172" s="2"/>
      <c r="JD172" s="2"/>
      <c r="JE172" s="2"/>
      <c r="JF172" s="2"/>
      <c r="JG172" s="2"/>
      <c r="JH172" s="2"/>
      <c r="JI172" s="2"/>
      <c r="JJ172" s="2"/>
      <c r="JK172" s="2"/>
      <c r="JL172" s="2"/>
      <c r="JM172" s="2"/>
      <c r="JN172" s="2"/>
      <c r="JO172" s="2"/>
      <c r="JP172" s="2"/>
      <c r="JQ172" s="2"/>
      <c r="JR172" s="2"/>
      <c r="JS172" s="2"/>
      <c r="JT172" s="2"/>
      <c r="JU172" s="2"/>
      <c r="JV172" s="2"/>
      <c r="JW172" s="2"/>
      <c r="JX172" s="2"/>
      <c r="JY172" s="2"/>
      <c r="JZ172" s="2"/>
      <c r="KA172" s="2"/>
      <c r="KB172" s="2"/>
      <c r="KC172" s="2"/>
      <c r="KD172" s="2"/>
      <c r="KE172" s="2"/>
      <c r="KF172" s="2"/>
      <c r="KG172" s="2"/>
      <c r="KH172" s="2"/>
      <c r="KI172" s="2"/>
      <c r="KJ172" s="2"/>
      <c r="KK172" s="2"/>
      <c r="KL172" s="2"/>
      <c r="KM172" s="2"/>
      <c r="KN172" s="2"/>
      <c r="KO172" s="2"/>
      <c r="KP172" s="2"/>
      <c r="KQ172" s="2"/>
      <c r="KR172" s="2"/>
      <c r="KS172" s="2"/>
      <c r="KT172" s="2"/>
      <c r="KU172" s="2"/>
      <c r="KV172" s="2"/>
      <c r="KW172" s="2"/>
      <c r="KX172" s="2"/>
      <c r="KY172" s="2"/>
      <c r="KZ172" s="2"/>
      <c r="LA172" s="2"/>
      <c r="LB172" s="2"/>
      <c r="LC172" s="2"/>
      <c r="LD172" s="2"/>
      <c r="LE172" s="2"/>
      <c r="LF172" s="2"/>
      <c r="LG172" s="2"/>
      <c r="LH172" s="2"/>
      <c r="LI172" s="2"/>
      <c r="LJ172" s="2"/>
      <c r="LK172" s="2"/>
      <c r="LL172" s="2"/>
      <c r="LM172" s="2"/>
      <c r="LN172" s="2"/>
      <c r="LO172" s="2"/>
      <c r="LP172" s="2"/>
      <c r="LQ172" s="2"/>
      <c r="LR172" s="2"/>
      <c r="LS172" s="2"/>
      <c r="LT172" s="2"/>
      <c r="LU172" s="2"/>
      <c r="LV172" s="2"/>
      <c r="LW172" s="2"/>
      <c r="LX172" s="2"/>
      <c r="LY172" s="2"/>
      <c r="LZ172" s="2"/>
      <c r="MA172" s="2"/>
      <c r="MB172" s="2"/>
      <c r="MC172" s="2"/>
      <c r="MD172" s="2"/>
      <c r="ME172" s="2"/>
      <c r="MF172" s="2"/>
      <c r="MG172" s="2"/>
      <c r="MH172" s="2"/>
      <c r="MI172" s="2"/>
      <c r="MJ172" s="2"/>
      <c r="MK172" s="2"/>
      <c r="ML172" s="2"/>
      <c r="MM172" s="2"/>
      <c r="MN172" s="2"/>
      <c r="MO172" s="2"/>
      <c r="MP172" s="2"/>
      <c r="MQ172" s="2"/>
      <c r="MR172" s="2"/>
      <c r="MS172" s="2"/>
      <c r="MT172" s="2"/>
      <c r="MU172" s="2"/>
      <c r="MV172" s="2"/>
      <c r="MW172" s="2"/>
      <c r="MX172" s="2"/>
      <c r="MY172" s="2"/>
      <c r="MZ172" s="2"/>
      <c r="NA172" s="2"/>
      <c r="NB172" s="2"/>
      <c r="NC172" s="2"/>
      <c r="ND172" s="2"/>
      <c r="NE172" s="2"/>
      <c r="NF172" s="2"/>
      <c r="NG172" s="2"/>
      <c r="NH172" s="2"/>
      <c r="NI172" s="2"/>
      <c r="NJ172" s="2"/>
      <c r="NK172" s="2"/>
      <c r="NL172" s="2"/>
      <c r="NM172" s="2"/>
      <c r="NN172" s="2"/>
      <c r="NO172" s="2"/>
      <c r="NP172" s="2"/>
      <c r="NQ172" s="2"/>
      <c r="NR172" s="2"/>
      <c r="NS172" s="2"/>
      <c r="NT172" s="2"/>
      <c r="NU172" s="2"/>
      <c r="NV172" s="2"/>
      <c r="NW172" s="2"/>
      <c r="NX172" s="2"/>
      <c r="NY172" s="2"/>
      <c r="NZ172" s="2"/>
      <c r="OA172" s="2"/>
      <c r="OB172" s="2"/>
      <c r="OC172" s="2"/>
      <c r="OD172" s="2"/>
      <c r="OE172" s="2"/>
      <c r="OF172" s="2"/>
      <c r="OG172" s="2"/>
      <c r="OH172" s="2"/>
      <c r="OI172" s="2"/>
      <c r="OJ172" s="2"/>
      <c r="OK172" s="2"/>
      <c r="OL172" s="2"/>
      <c r="OM172" s="2"/>
      <c r="ON172" s="2"/>
      <c r="OO172" s="2"/>
      <c r="OP172" s="2"/>
      <c r="OQ172" s="2"/>
      <c r="OR172" s="2"/>
      <c r="OS172" s="2"/>
      <c r="OT172" s="2"/>
      <c r="OU172" s="2"/>
      <c r="OV172" s="2"/>
      <c r="OW172" s="2"/>
      <c r="OX172" s="2"/>
      <c r="OY172" s="2"/>
      <c r="OZ172" s="2"/>
      <c r="PA172" s="2"/>
      <c r="PB172" s="2"/>
      <c r="PC172" s="2"/>
      <c r="PD172" s="2"/>
      <c r="PE172" s="2"/>
      <c r="PF172" s="2"/>
      <c r="PG172" s="2"/>
      <c r="PH172" s="2"/>
      <c r="PI172" s="2"/>
      <c r="PJ172" s="2"/>
      <c r="PK172" s="2"/>
      <c r="PL172" s="2"/>
      <c r="PM172" s="2"/>
      <c r="PN172" s="2"/>
      <c r="PO172" s="2"/>
      <c r="PP172" s="2"/>
      <c r="PQ172" s="2"/>
      <c r="PR172" s="2"/>
      <c r="PS172" s="2"/>
      <c r="PT172" s="2"/>
      <c r="PU172" s="2"/>
      <c r="PV172" s="2"/>
      <c r="PW172" s="2"/>
      <c r="PX172" s="2"/>
      <c r="PY172" s="2"/>
      <c r="PZ172" s="2"/>
      <c r="QA172" s="2"/>
      <c r="QB172" s="2"/>
      <c r="QC172" s="2"/>
      <c r="QD172" s="2"/>
      <c r="QE172" s="2"/>
      <c r="QF172" s="2"/>
      <c r="QG172" s="2"/>
      <c r="QH172" s="2"/>
      <c r="QI172" s="2"/>
      <c r="QJ172" s="2"/>
      <c r="QK172" s="2"/>
      <c r="QL172" s="2"/>
      <c r="QM172" s="2"/>
      <c r="QN172" s="2"/>
      <c r="QO172" s="2"/>
      <c r="QP172" s="2"/>
      <c r="QQ172" s="2"/>
      <c r="QR172" s="2"/>
      <c r="QS172" s="2"/>
      <c r="QT172" s="2"/>
      <c r="QU172" s="2"/>
      <c r="QV172" s="2"/>
      <c r="QW172" s="2"/>
      <c r="QX172" s="2"/>
      <c r="QY172" s="2"/>
      <c r="QZ172" s="2"/>
      <c r="RA172" s="2"/>
      <c r="RB172" s="2"/>
      <c r="RC172" s="2"/>
      <c r="RD172" s="2"/>
      <c r="RE172" s="2"/>
      <c r="RF172" s="2"/>
      <c r="RG172" s="2"/>
      <c r="RH172" s="2"/>
      <c r="RI172" s="2"/>
      <c r="RJ172" s="2"/>
      <c r="RK172" s="2"/>
      <c r="RL172" s="2"/>
      <c r="RM172" s="2"/>
      <c r="RN172" s="2"/>
      <c r="RO172" s="2"/>
      <c r="RP172" s="2"/>
      <c r="RQ172" s="2"/>
      <c r="RR172" s="2"/>
      <c r="RS172" s="2"/>
      <c r="RT172" s="2"/>
      <c r="RU172" s="2"/>
      <c r="RV172" s="2"/>
      <c r="RW172" s="2"/>
      <c r="RX172" s="2"/>
      <c r="RY172" s="2"/>
      <c r="RZ172" s="2"/>
      <c r="SA172" s="2"/>
      <c r="SB172" s="2"/>
      <c r="SC172" s="2"/>
      <c r="SD172" s="2"/>
      <c r="SE172" s="2"/>
      <c r="SF172" s="2"/>
      <c r="SG172" s="2"/>
      <c r="SH172" s="2"/>
      <c r="SI172" s="2"/>
      <c r="SJ172" s="2"/>
      <c r="SK172" s="2"/>
      <c r="SL172" s="2"/>
      <c r="SM172" s="2"/>
      <c r="SN172" s="2"/>
      <c r="SO172" s="2"/>
      <c r="SP172" s="2"/>
      <c r="SQ172" s="2"/>
      <c r="SR172" s="2"/>
      <c r="SS172" s="2"/>
      <c r="ST172" s="2"/>
      <c r="SU172" s="2"/>
      <c r="SV172" s="2"/>
      <c r="SW172" s="2"/>
      <c r="SX172" s="2"/>
    </row>
    <row r="173" spans="33:518" x14ac:dyDescent="0.25"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  <c r="FK173" s="2"/>
      <c r="FL173" s="2"/>
      <c r="FM173" s="2"/>
      <c r="FN173" s="2"/>
      <c r="FO173" s="2"/>
      <c r="FP173" s="2"/>
      <c r="FQ173" s="2"/>
      <c r="FR173" s="2"/>
      <c r="FS173" s="2"/>
      <c r="FT173" s="2"/>
      <c r="FU173" s="2"/>
      <c r="FV173" s="2"/>
      <c r="FW173" s="2"/>
      <c r="FX173" s="2"/>
      <c r="FY173" s="2"/>
      <c r="FZ173" s="2"/>
      <c r="GA173" s="2"/>
      <c r="GB173" s="2"/>
      <c r="GC173" s="2"/>
      <c r="GD173" s="2"/>
      <c r="GE173" s="2"/>
      <c r="GF173" s="2"/>
      <c r="GG173" s="2"/>
      <c r="GH173" s="2"/>
      <c r="GI173" s="2"/>
      <c r="GJ173" s="2"/>
      <c r="GK173" s="2"/>
      <c r="GL173" s="2"/>
      <c r="GM173" s="2"/>
      <c r="GN173" s="2"/>
      <c r="GO173" s="2"/>
      <c r="GP173" s="2"/>
      <c r="GQ173" s="2"/>
      <c r="GR173" s="2"/>
      <c r="GS173" s="2"/>
      <c r="GT173" s="2"/>
      <c r="GU173" s="2"/>
      <c r="GV173" s="2"/>
      <c r="GW173" s="2"/>
      <c r="GX173" s="2"/>
      <c r="GY173" s="2"/>
      <c r="GZ173" s="2"/>
      <c r="HA173" s="2"/>
      <c r="HB173" s="2"/>
      <c r="HC173" s="2"/>
      <c r="HD173" s="2"/>
      <c r="HE173" s="2"/>
      <c r="HF173" s="2"/>
      <c r="HG173" s="2"/>
      <c r="HH173" s="2"/>
      <c r="HI173" s="2"/>
      <c r="HJ173" s="2"/>
      <c r="HK173" s="2"/>
      <c r="HL173" s="2"/>
      <c r="HM173" s="2"/>
      <c r="HN173" s="2"/>
      <c r="HO173" s="2"/>
      <c r="HP173" s="2"/>
      <c r="HQ173" s="2"/>
      <c r="HR173" s="2"/>
      <c r="HS173" s="2"/>
      <c r="HT173" s="2"/>
      <c r="HU173" s="2"/>
      <c r="HV173" s="2"/>
      <c r="HW173" s="2"/>
      <c r="HX173" s="2"/>
      <c r="HY173" s="2"/>
      <c r="HZ173" s="2"/>
      <c r="IA173" s="2"/>
      <c r="IB173" s="2"/>
      <c r="IC173" s="2"/>
      <c r="ID173" s="2"/>
      <c r="IE173" s="2"/>
      <c r="IF173" s="2"/>
      <c r="IG173" s="2"/>
      <c r="IH173" s="2"/>
      <c r="II173" s="2"/>
      <c r="IJ173" s="2"/>
      <c r="IK173" s="2"/>
      <c r="IL173" s="2"/>
      <c r="IM173" s="2"/>
      <c r="IN173" s="2"/>
      <c r="IO173" s="2"/>
      <c r="IP173" s="2"/>
      <c r="IQ173" s="2"/>
      <c r="IR173" s="2"/>
      <c r="IS173" s="2"/>
      <c r="IT173" s="2"/>
      <c r="IU173" s="2"/>
      <c r="IV173" s="2"/>
      <c r="IW173" s="2"/>
      <c r="IX173" s="2"/>
      <c r="IY173" s="2"/>
      <c r="IZ173" s="2"/>
      <c r="JA173" s="2"/>
      <c r="JB173" s="2"/>
      <c r="JC173" s="2"/>
      <c r="JD173" s="2"/>
      <c r="JE173" s="2"/>
      <c r="JF173" s="2"/>
      <c r="JG173" s="2"/>
      <c r="JH173" s="2"/>
      <c r="JI173" s="2"/>
      <c r="JJ173" s="2"/>
      <c r="JK173" s="2"/>
      <c r="JL173" s="2"/>
      <c r="JM173" s="2"/>
      <c r="JN173" s="2"/>
      <c r="JO173" s="2"/>
      <c r="JP173" s="2"/>
      <c r="JQ173" s="2"/>
      <c r="JR173" s="2"/>
      <c r="JS173" s="2"/>
      <c r="JT173" s="2"/>
      <c r="JU173" s="2"/>
      <c r="JV173" s="2"/>
      <c r="JW173" s="2"/>
      <c r="JX173" s="2"/>
      <c r="JY173" s="2"/>
      <c r="JZ173" s="2"/>
      <c r="KA173" s="2"/>
      <c r="KB173" s="2"/>
      <c r="KC173" s="2"/>
      <c r="KD173" s="2"/>
      <c r="KE173" s="2"/>
      <c r="KF173" s="2"/>
      <c r="KG173" s="2"/>
      <c r="KH173" s="2"/>
      <c r="KI173" s="2"/>
      <c r="KJ173" s="2"/>
      <c r="KK173" s="2"/>
      <c r="KL173" s="2"/>
      <c r="KM173" s="2"/>
      <c r="KN173" s="2"/>
      <c r="KO173" s="2"/>
      <c r="KP173" s="2"/>
      <c r="KQ173" s="2"/>
      <c r="KR173" s="2"/>
      <c r="KS173" s="2"/>
      <c r="KT173" s="2"/>
      <c r="KU173" s="2"/>
      <c r="KV173" s="2"/>
      <c r="KW173" s="2"/>
      <c r="KX173" s="2"/>
      <c r="KY173" s="2"/>
      <c r="KZ173" s="2"/>
      <c r="LA173" s="2"/>
      <c r="LB173" s="2"/>
      <c r="LC173" s="2"/>
      <c r="LD173" s="2"/>
      <c r="LE173" s="2"/>
      <c r="LF173" s="2"/>
      <c r="LG173" s="2"/>
      <c r="LH173" s="2"/>
      <c r="LI173" s="2"/>
      <c r="LJ173" s="2"/>
      <c r="LK173" s="2"/>
      <c r="LL173" s="2"/>
      <c r="LM173" s="2"/>
      <c r="LN173" s="2"/>
      <c r="LO173" s="2"/>
      <c r="LP173" s="2"/>
      <c r="LQ173" s="2"/>
      <c r="LR173" s="2"/>
      <c r="LS173" s="2"/>
      <c r="LT173" s="2"/>
      <c r="LU173" s="2"/>
      <c r="LV173" s="2"/>
      <c r="LW173" s="2"/>
      <c r="LX173" s="2"/>
      <c r="LY173" s="2"/>
      <c r="LZ173" s="2"/>
      <c r="MA173" s="2"/>
      <c r="MB173" s="2"/>
      <c r="MC173" s="2"/>
      <c r="MD173" s="2"/>
      <c r="ME173" s="2"/>
      <c r="MF173" s="2"/>
      <c r="MG173" s="2"/>
      <c r="MH173" s="2"/>
      <c r="MI173" s="2"/>
      <c r="MJ173" s="2"/>
      <c r="MK173" s="2"/>
      <c r="ML173" s="2"/>
      <c r="MM173" s="2"/>
      <c r="MN173" s="2"/>
      <c r="MO173" s="2"/>
      <c r="MP173" s="2"/>
      <c r="MQ173" s="2"/>
      <c r="MR173" s="2"/>
      <c r="MS173" s="2"/>
      <c r="MT173" s="2"/>
      <c r="MU173" s="2"/>
      <c r="MV173" s="2"/>
      <c r="MW173" s="2"/>
      <c r="MX173" s="2"/>
      <c r="MY173" s="2"/>
      <c r="MZ173" s="2"/>
      <c r="NA173" s="2"/>
      <c r="NB173" s="2"/>
      <c r="NC173" s="2"/>
      <c r="ND173" s="2"/>
      <c r="NE173" s="2"/>
      <c r="NF173" s="2"/>
      <c r="NG173" s="2"/>
      <c r="NH173" s="2"/>
      <c r="NI173" s="2"/>
      <c r="NJ173" s="2"/>
      <c r="NK173" s="2"/>
      <c r="NL173" s="2"/>
      <c r="NM173" s="2"/>
      <c r="NN173" s="2"/>
      <c r="NO173" s="2"/>
      <c r="NP173" s="2"/>
      <c r="NQ173" s="2"/>
      <c r="NR173" s="2"/>
      <c r="NS173" s="2"/>
      <c r="NT173" s="2"/>
      <c r="NU173" s="2"/>
      <c r="NV173" s="2"/>
      <c r="NW173" s="2"/>
      <c r="NX173" s="2"/>
      <c r="NY173" s="2"/>
      <c r="NZ173" s="2"/>
      <c r="OA173" s="2"/>
      <c r="OB173" s="2"/>
      <c r="OC173" s="2"/>
      <c r="OD173" s="2"/>
      <c r="OE173" s="2"/>
      <c r="OF173" s="2"/>
      <c r="OG173" s="2"/>
      <c r="OH173" s="2"/>
      <c r="OI173" s="2"/>
      <c r="OJ173" s="2"/>
      <c r="OK173" s="2"/>
      <c r="OL173" s="2"/>
      <c r="OM173" s="2"/>
      <c r="ON173" s="2"/>
      <c r="OO173" s="2"/>
      <c r="OP173" s="2"/>
      <c r="OQ173" s="2"/>
      <c r="OR173" s="2"/>
      <c r="OS173" s="2"/>
      <c r="OT173" s="2"/>
      <c r="OU173" s="2"/>
      <c r="OV173" s="2"/>
      <c r="OW173" s="2"/>
      <c r="OX173" s="2"/>
      <c r="OY173" s="2"/>
      <c r="OZ173" s="2"/>
      <c r="PA173" s="2"/>
      <c r="PB173" s="2"/>
      <c r="PC173" s="2"/>
      <c r="PD173" s="2"/>
      <c r="PE173" s="2"/>
      <c r="PF173" s="2"/>
      <c r="PG173" s="2"/>
      <c r="PH173" s="2"/>
      <c r="PI173" s="2"/>
      <c r="PJ173" s="2"/>
      <c r="PK173" s="2"/>
      <c r="PL173" s="2"/>
      <c r="PM173" s="2"/>
      <c r="PN173" s="2"/>
      <c r="PO173" s="2"/>
      <c r="PP173" s="2"/>
      <c r="PQ173" s="2"/>
      <c r="PR173" s="2"/>
      <c r="PS173" s="2"/>
      <c r="PT173" s="2"/>
      <c r="PU173" s="2"/>
      <c r="PV173" s="2"/>
      <c r="PW173" s="2"/>
      <c r="PX173" s="2"/>
      <c r="PY173" s="2"/>
      <c r="PZ173" s="2"/>
      <c r="QA173" s="2"/>
      <c r="QB173" s="2"/>
      <c r="QC173" s="2"/>
      <c r="QD173" s="2"/>
      <c r="QE173" s="2"/>
      <c r="QF173" s="2"/>
      <c r="QG173" s="2"/>
      <c r="QH173" s="2"/>
      <c r="QI173" s="2"/>
      <c r="QJ173" s="2"/>
      <c r="QK173" s="2"/>
      <c r="QL173" s="2"/>
      <c r="QM173" s="2"/>
      <c r="QN173" s="2"/>
      <c r="QO173" s="2"/>
      <c r="QP173" s="2"/>
      <c r="QQ173" s="2"/>
      <c r="QR173" s="2"/>
      <c r="QS173" s="2"/>
      <c r="QT173" s="2"/>
      <c r="QU173" s="2"/>
      <c r="QV173" s="2"/>
      <c r="QW173" s="2"/>
      <c r="QX173" s="2"/>
      <c r="QY173" s="2"/>
      <c r="QZ173" s="2"/>
      <c r="RA173" s="2"/>
      <c r="RB173" s="2"/>
      <c r="RC173" s="2"/>
      <c r="RD173" s="2"/>
      <c r="RE173" s="2"/>
      <c r="RF173" s="2"/>
      <c r="RG173" s="2"/>
      <c r="RH173" s="2"/>
      <c r="RI173" s="2"/>
      <c r="RJ173" s="2"/>
      <c r="RK173" s="2"/>
      <c r="RL173" s="2"/>
      <c r="RM173" s="2"/>
      <c r="RN173" s="2"/>
      <c r="RO173" s="2"/>
      <c r="RP173" s="2"/>
      <c r="RQ173" s="2"/>
      <c r="RR173" s="2"/>
      <c r="RS173" s="2"/>
      <c r="RT173" s="2"/>
      <c r="RU173" s="2"/>
      <c r="RV173" s="2"/>
      <c r="RW173" s="2"/>
      <c r="RX173" s="2"/>
      <c r="RY173" s="2"/>
      <c r="RZ173" s="2"/>
      <c r="SA173" s="2"/>
      <c r="SB173" s="2"/>
      <c r="SC173" s="2"/>
      <c r="SD173" s="2"/>
      <c r="SE173" s="2"/>
      <c r="SF173" s="2"/>
      <c r="SG173" s="2"/>
      <c r="SH173" s="2"/>
      <c r="SI173" s="2"/>
      <c r="SJ173" s="2"/>
      <c r="SK173" s="2"/>
      <c r="SL173" s="2"/>
      <c r="SM173" s="2"/>
      <c r="SN173" s="2"/>
      <c r="SO173" s="2"/>
      <c r="SP173" s="2"/>
      <c r="SQ173" s="2"/>
      <c r="SR173" s="2"/>
      <c r="SS173" s="2"/>
      <c r="ST173" s="2"/>
      <c r="SU173" s="2"/>
      <c r="SV173" s="2"/>
      <c r="SW173" s="2"/>
      <c r="SX173" s="2"/>
    </row>
    <row r="174" spans="33:518" x14ac:dyDescent="0.25"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  <c r="RA174" s="2"/>
      <c r="RB174" s="2"/>
      <c r="RC174" s="2"/>
      <c r="RD174" s="2"/>
      <c r="RE174" s="2"/>
      <c r="RF174" s="2"/>
      <c r="RG174" s="2"/>
      <c r="RH174" s="2"/>
      <c r="RI174" s="2"/>
      <c r="RJ174" s="2"/>
      <c r="RK174" s="2"/>
      <c r="RL174" s="2"/>
      <c r="RM174" s="2"/>
      <c r="RN174" s="2"/>
      <c r="RO174" s="2"/>
      <c r="RP174" s="2"/>
      <c r="RQ174" s="2"/>
      <c r="RR174" s="2"/>
      <c r="RS174" s="2"/>
      <c r="RT174" s="2"/>
      <c r="RU174" s="2"/>
      <c r="RV174" s="2"/>
      <c r="RW174" s="2"/>
      <c r="RX174" s="2"/>
      <c r="RY174" s="2"/>
      <c r="RZ174" s="2"/>
      <c r="SA174" s="2"/>
      <c r="SB174" s="2"/>
      <c r="SC174" s="2"/>
      <c r="SD174" s="2"/>
      <c r="SE174" s="2"/>
      <c r="SF174" s="2"/>
      <c r="SG174" s="2"/>
      <c r="SH174" s="2"/>
      <c r="SI174" s="2"/>
      <c r="SJ174" s="2"/>
      <c r="SK174" s="2"/>
      <c r="SL174" s="2"/>
      <c r="SM174" s="2"/>
      <c r="SN174" s="2"/>
      <c r="SO174" s="2"/>
      <c r="SP174" s="2"/>
      <c r="SQ174" s="2"/>
      <c r="SR174" s="2"/>
      <c r="SS174" s="2"/>
      <c r="ST174" s="2"/>
      <c r="SU174" s="2"/>
      <c r="SV174" s="2"/>
      <c r="SW174" s="2"/>
      <c r="SX174" s="2"/>
    </row>
    <row r="175" spans="33:518" x14ac:dyDescent="0.25"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  <c r="RA175" s="2"/>
      <c r="RB175" s="2"/>
      <c r="RC175" s="2"/>
      <c r="RD175" s="2"/>
      <c r="RE175" s="2"/>
      <c r="RF175" s="2"/>
      <c r="RG175" s="2"/>
      <c r="RH175" s="2"/>
      <c r="RI175" s="2"/>
      <c r="RJ175" s="2"/>
      <c r="RK175" s="2"/>
      <c r="RL175" s="2"/>
      <c r="RM175" s="2"/>
      <c r="RN175" s="2"/>
      <c r="RO175" s="2"/>
      <c r="RP175" s="2"/>
      <c r="RQ175" s="2"/>
      <c r="RR175" s="2"/>
      <c r="RS175" s="2"/>
      <c r="RT175" s="2"/>
      <c r="RU175" s="2"/>
      <c r="RV175" s="2"/>
      <c r="RW175" s="2"/>
      <c r="RX175" s="2"/>
      <c r="RY175" s="2"/>
      <c r="RZ175" s="2"/>
      <c r="SA175" s="2"/>
      <c r="SB175" s="2"/>
      <c r="SC175" s="2"/>
      <c r="SD175" s="2"/>
      <c r="SE175" s="2"/>
      <c r="SF175" s="2"/>
      <c r="SG175" s="2"/>
      <c r="SH175" s="2"/>
      <c r="SI175" s="2"/>
      <c r="SJ175" s="2"/>
      <c r="SK175" s="2"/>
      <c r="SL175" s="2"/>
      <c r="SM175" s="2"/>
      <c r="SN175" s="2"/>
      <c r="SO175" s="2"/>
      <c r="SP175" s="2"/>
      <c r="SQ175" s="2"/>
      <c r="SR175" s="2"/>
      <c r="SS175" s="2"/>
      <c r="ST175" s="2"/>
      <c r="SU175" s="2"/>
      <c r="SV175" s="2"/>
      <c r="SW175" s="2"/>
      <c r="SX175" s="2"/>
    </row>
    <row r="176" spans="33:518" x14ac:dyDescent="0.25"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  <c r="FK176" s="2"/>
      <c r="FL176" s="2"/>
      <c r="FM176" s="2"/>
      <c r="FN176" s="2"/>
      <c r="FO176" s="2"/>
      <c r="FP176" s="2"/>
      <c r="FQ176" s="2"/>
      <c r="FR176" s="2"/>
      <c r="FS176" s="2"/>
      <c r="FT176" s="2"/>
      <c r="FU176" s="2"/>
      <c r="FV176" s="2"/>
      <c r="FW176" s="2"/>
      <c r="FX176" s="2"/>
      <c r="FY176" s="2"/>
      <c r="FZ176" s="2"/>
      <c r="GA176" s="2"/>
      <c r="GB176" s="2"/>
      <c r="GC176" s="2"/>
      <c r="GD176" s="2"/>
      <c r="GE176" s="2"/>
      <c r="GF176" s="2"/>
      <c r="GG176" s="2"/>
      <c r="GH176" s="2"/>
      <c r="GI176" s="2"/>
      <c r="GJ176" s="2"/>
      <c r="GK176" s="2"/>
      <c r="GL176" s="2"/>
      <c r="GM176" s="2"/>
      <c r="GN176" s="2"/>
      <c r="GO176" s="2"/>
      <c r="GP176" s="2"/>
      <c r="GQ176" s="2"/>
      <c r="GR176" s="2"/>
      <c r="GS176" s="2"/>
      <c r="GT176" s="2"/>
      <c r="GU176" s="2"/>
      <c r="GV176" s="2"/>
      <c r="GW176" s="2"/>
      <c r="GX176" s="2"/>
      <c r="GY176" s="2"/>
      <c r="GZ176" s="2"/>
      <c r="HA176" s="2"/>
      <c r="HB176" s="2"/>
      <c r="HC176" s="2"/>
      <c r="HD176" s="2"/>
      <c r="HE176" s="2"/>
      <c r="HF176" s="2"/>
      <c r="HG176" s="2"/>
      <c r="HH176" s="2"/>
      <c r="HI176" s="2"/>
      <c r="HJ176" s="2"/>
      <c r="HK176" s="2"/>
      <c r="HL176" s="2"/>
      <c r="HM176" s="2"/>
      <c r="HN176" s="2"/>
      <c r="HO176" s="2"/>
      <c r="HP176" s="2"/>
      <c r="HQ176" s="2"/>
      <c r="HR176" s="2"/>
      <c r="HS176" s="2"/>
      <c r="HT176" s="2"/>
      <c r="HU176" s="2"/>
      <c r="HV176" s="2"/>
      <c r="HW176" s="2"/>
      <c r="HX176" s="2"/>
      <c r="HY176" s="2"/>
      <c r="HZ176" s="2"/>
      <c r="IA176" s="2"/>
      <c r="IB176" s="2"/>
      <c r="IC176" s="2"/>
      <c r="ID176" s="2"/>
      <c r="IE176" s="2"/>
      <c r="IF176" s="2"/>
      <c r="IG176" s="2"/>
      <c r="IH176" s="2"/>
      <c r="II176" s="2"/>
      <c r="IJ176" s="2"/>
      <c r="IK176" s="2"/>
      <c r="IL176" s="2"/>
      <c r="IM176" s="2"/>
      <c r="IN176" s="2"/>
      <c r="IO176" s="2"/>
      <c r="IP176" s="2"/>
      <c r="IQ176" s="2"/>
      <c r="IR176" s="2"/>
      <c r="IS176" s="2"/>
      <c r="IT176" s="2"/>
      <c r="IU176" s="2"/>
      <c r="IV176" s="2"/>
      <c r="IW176" s="2"/>
      <c r="IX176" s="2"/>
      <c r="IY176" s="2"/>
      <c r="IZ176" s="2"/>
      <c r="JA176" s="2"/>
      <c r="JB176" s="2"/>
      <c r="JC176" s="2"/>
      <c r="JD176" s="2"/>
      <c r="JE176" s="2"/>
      <c r="JF176" s="2"/>
      <c r="JG176" s="2"/>
      <c r="JH176" s="2"/>
      <c r="JI176" s="2"/>
      <c r="JJ176" s="2"/>
      <c r="JK176" s="2"/>
      <c r="JL176" s="2"/>
      <c r="JM176" s="2"/>
      <c r="JN176" s="2"/>
      <c r="JO176" s="2"/>
      <c r="JP176" s="2"/>
      <c r="JQ176" s="2"/>
      <c r="JR176" s="2"/>
      <c r="JS176" s="2"/>
      <c r="JT176" s="2"/>
      <c r="JU176" s="2"/>
      <c r="JV176" s="2"/>
      <c r="JW176" s="2"/>
      <c r="JX176" s="2"/>
      <c r="JY176" s="2"/>
      <c r="JZ176" s="2"/>
      <c r="KA176" s="2"/>
      <c r="KB176" s="2"/>
      <c r="KC176" s="2"/>
      <c r="KD176" s="2"/>
      <c r="KE176" s="2"/>
      <c r="KF176" s="2"/>
      <c r="KG176" s="2"/>
      <c r="KH176" s="2"/>
      <c r="KI176" s="2"/>
      <c r="KJ176" s="2"/>
      <c r="KK176" s="2"/>
      <c r="KL176" s="2"/>
      <c r="KM176" s="2"/>
      <c r="KN176" s="2"/>
      <c r="KO176" s="2"/>
      <c r="KP176" s="2"/>
      <c r="KQ176" s="2"/>
      <c r="KR176" s="2"/>
      <c r="KS176" s="2"/>
      <c r="KT176" s="2"/>
      <c r="KU176" s="2"/>
      <c r="KV176" s="2"/>
      <c r="KW176" s="2"/>
      <c r="KX176" s="2"/>
      <c r="KY176" s="2"/>
      <c r="KZ176" s="2"/>
      <c r="LA176" s="2"/>
      <c r="LB176" s="2"/>
      <c r="LC176" s="2"/>
      <c r="LD176" s="2"/>
      <c r="LE176" s="2"/>
      <c r="LF176" s="2"/>
      <c r="LG176" s="2"/>
      <c r="LH176" s="2"/>
      <c r="LI176" s="2"/>
      <c r="LJ176" s="2"/>
      <c r="LK176" s="2"/>
      <c r="LL176" s="2"/>
      <c r="LM176" s="2"/>
      <c r="LN176" s="2"/>
      <c r="LO176" s="2"/>
      <c r="LP176" s="2"/>
      <c r="LQ176" s="2"/>
      <c r="LR176" s="2"/>
      <c r="LS176" s="2"/>
      <c r="LT176" s="2"/>
      <c r="LU176" s="2"/>
      <c r="LV176" s="2"/>
      <c r="LW176" s="2"/>
      <c r="LX176" s="2"/>
      <c r="LY176" s="2"/>
      <c r="LZ176" s="2"/>
      <c r="MA176" s="2"/>
      <c r="MB176" s="2"/>
      <c r="MC176" s="2"/>
      <c r="MD176" s="2"/>
      <c r="ME176" s="2"/>
      <c r="MF176" s="2"/>
      <c r="MG176" s="2"/>
      <c r="MH176" s="2"/>
      <c r="MI176" s="2"/>
      <c r="MJ176" s="2"/>
      <c r="MK176" s="2"/>
      <c r="ML176" s="2"/>
      <c r="MM176" s="2"/>
      <c r="MN176" s="2"/>
      <c r="MO176" s="2"/>
      <c r="MP176" s="2"/>
      <c r="MQ176" s="2"/>
      <c r="MR176" s="2"/>
      <c r="MS176" s="2"/>
      <c r="MT176" s="2"/>
      <c r="MU176" s="2"/>
      <c r="MV176" s="2"/>
      <c r="MW176" s="2"/>
      <c r="MX176" s="2"/>
      <c r="MY176" s="2"/>
      <c r="MZ176" s="2"/>
      <c r="NA176" s="2"/>
      <c r="NB176" s="2"/>
      <c r="NC176" s="2"/>
      <c r="ND176" s="2"/>
      <c r="NE176" s="2"/>
      <c r="NF176" s="2"/>
      <c r="NG176" s="2"/>
      <c r="NH176" s="2"/>
      <c r="NI176" s="2"/>
      <c r="NJ176" s="2"/>
      <c r="NK176" s="2"/>
      <c r="NL176" s="2"/>
      <c r="NM176" s="2"/>
      <c r="NN176" s="2"/>
      <c r="NO176" s="2"/>
      <c r="NP176" s="2"/>
      <c r="NQ176" s="2"/>
      <c r="NR176" s="2"/>
      <c r="NS176" s="2"/>
      <c r="NT176" s="2"/>
      <c r="NU176" s="2"/>
      <c r="NV176" s="2"/>
      <c r="NW176" s="2"/>
      <c r="NX176" s="2"/>
      <c r="NY176" s="2"/>
      <c r="NZ176" s="2"/>
      <c r="OA176" s="2"/>
      <c r="OB176" s="2"/>
      <c r="OC176" s="2"/>
      <c r="OD176" s="2"/>
      <c r="OE176" s="2"/>
      <c r="OF176" s="2"/>
      <c r="OG176" s="2"/>
      <c r="OH176" s="2"/>
      <c r="OI176" s="2"/>
      <c r="OJ176" s="2"/>
      <c r="OK176" s="2"/>
      <c r="OL176" s="2"/>
      <c r="OM176" s="2"/>
      <c r="ON176" s="2"/>
      <c r="OO176" s="2"/>
      <c r="OP176" s="2"/>
      <c r="OQ176" s="2"/>
      <c r="OR176" s="2"/>
      <c r="OS176" s="2"/>
      <c r="OT176" s="2"/>
      <c r="OU176" s="2"/>
      <c r="OV176" s="2"/>
      <c r="OW176" s="2"/>
      <c r="OX176" s="2"/>
      <c r="OY176" s="2"/>
      <c r="OZ176" s="2"/>
      <c r="PA176" s="2"/>
      <c r="PB176" s="2"/>
      <c r="PC176" s="2"/>
      <c r="PD176" s="2"/>
      <c r="PE176" s="2"/>
      <c r="PF176" s="2"/>
      <c r="PG176" s="2"/>
      <c r="PH176" s="2"/>
      <c r="PI176" s="2"/>
      <c r="PJ176" s="2"/>
      <c r="PK176" s="2"/>
      <c r="PL176" s="2"/>
      <c r="PM176" s="2"/>
      <c r="PN176" s="2"/>
      <c r="PO176" s="2"/>
      <c r="PP176" s="2"/>
      <c r="PQ176" s="2"/>
      <c r="PR176" s="2"/>
      <c r="PS176" s="2"/>
      <c r="PT176" s="2"/>
      <c r="PU176" s="2"/>
      <c r="PV176" s="2"/>
      <c r="PW176" s="2"/>
      <c r="PX176" s="2"/>
      <c r="PY176" s="2"/>
      <c r="PZ176" s="2"/>
      <c r="QA176" s="2"/>
      <c r="QB176" s="2"/>
      <c r="QC176" s="2"/>
      <c r="QD176" s="2"/>
      <c r="QE176" s="2"/>
      <c r="QF176" s="2"/>
      <c r="QG176" s="2"/>
      <c r="QH176" s="2"/>
      <c r="QI176" s="2"/>
      <c r="QJ176" s="2"/>
      <c r="QK176" s="2"/>
      <c r="QL176" s="2"/>
      <c r="QM176" s="2"/>
      <c r="QN176" s="2"/>
      <c r="QO176" s="2"/>
      <c r="QP176" s="2"/>
      <c r="QQ176" s="2"/>
      <c r="QR176" s="2"/>
      <c r="QS176" s="2"/>
      <c r="QT176" s="2"/>
      <c r="QU176" s="2"/>
      <c r="QV176" s="2"/>
      <c r="QW176" s="2"/>
      <c r="QX176" s="2"/>
      <c r="QY176" s="2"/>
      <c r="QZ176" s="2"/>
      <c r="RA176" s="2"/>
      <c r="RB176" s="2"/>
      <c r="RC176" s="2"/>
      <c r="RD176" s="2"/>
      <c r="RE176" s="2"/>
      <c r="RF176" s="2"/>
      <c r="RG176" s="2"/>
      <c r="RH176" s="2"/>
      <c r="RI176" s="2"/>
      <c r="RJ176" s="2"/>
      <c r="RK176" s="2"/>
      <c r="RL176" s="2"/>
      <c r="RM176" s="2"/>
      <c r="RN176" s="2"/>
      <c r="RO176" s="2"/>
      <c r="RP176" s="2"/>
      <c r="RQ176" s="2"/>
      <c r="RR176" s="2"/>
      <c r="RS176" s="2"/>
      <c r="RT176" s="2"/>
      <c r="RU176" s="2"/>
      <c r="RV176" s="2"/>
      <c r="RW176" s="2"/>
      <c r="RX176" s="2"/>
      <c r="RY176" s="2"/>
      <c r="RZ176" s="2"/>
      <c r="SA176" s="2"/>
      <c r="SB176" s="2"/>
      <c r="SC176" s="2"/>
      <c r="SD176" s="2"/>
      <c r="SE176" s="2"/>
      <c r="SF176" s="2"/>
      <c r="SG176" s="2"/>
      <c r="SH176" s="2"/>
      <c r="SI176" s="2"/>
      <c r="SJ176" s="2"/>
      <c r="SK176" s="2"/>
      <c r="SL176" s="2"/>
      <c r="SM176" s="2"/>
      <c r="SN176" s="2"/>
      <c r="SO176" s="2"/>
      <c r="SP176" s="2"/>
      <c r="SQ176" s="2"/>
      <c r="SR176" s="2"/>
      <c r="SS176" s="2"/>
      <c r="ST176" s="2"/>
      <c r="SU176" s="2"/>
      <c r="SV176" s="2"/>
      <c r="SW176" s="2"/>
      <c r="SX176" s="2"/>
    </row>
    <row r="177" spans="33:518" x14ac:dyDescent="0.25"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  <c r="FK177" s="2"/>
      <c r="FL177" s="2"/>
      <c r="FM177" s="2"/>
      <c r="FN177" s="2"/>
      <c r="FO177" s="2"/>
      <c r="FP177" s="2"/>
      <c r="FQ177" s="2"/>
      <c r="FR177" s="2"/>
      <c r="FS177" s="2"/>
      <c r="FT177" s="2"/>
      <c r="FU177" s="2"/>
      <c r="FV177" s="2"/>
      <c r="FW177" s="2"/>
      <c r="FX177" s="2"/>
      <c r="FY177" s="2"/>
      <c r="FZ177" s="2"/>
      <c r="GA177" s="2"/>
      <c r="GB177" s="2"/>
      <c r="GC177" s="2"/>
      <c r="GD177" s="2"/>
      <c r="GE177" s="2"/>
      <c r="GF177" s="2"/>
      <c r="GG177" s="2"/>
      <c r="GH177" s="2"/>
      <c r="GI177" s="2"/>
      <c r="GJ177" s="2"/>
      <c r="GK177" s="2"/>
      <c r="GL177" s="2"/>
      <c r="GM177" s="2"/>
      <c r="GN177" s="2"/>
      <c r="GO177" s="2"/>
      <c r="GP177" s="2"/>
      <c r="GQ177" s="2"/>
      <c r="GR177" s="2"/>
      <c r="GS177" s="2"/>
      <c r="GT177" s="2"/>
      <c r="GU177" s="2"/>
      <c r="GV177" s="2"/>
      <c r="GW177" s="2"/>
      <c r="GX177" s="2"/>
      <c r="GY177" s="2"/>
      <c r="GZ177" s="2"/>
      <c r="HA177" s="2"/>
      <c r="HB177" s="2"/>
      <c r="HC177" s="2"/>
      <c r="HD177" s="2"/>
      <c r="HE177" s="2"/>
      <c r="HF177" s="2"/>
      <c r="HG177" s="2"/>
      <c r="HH177" s="2"/>
      <c r="HI177" s="2"/>
      <c r="HJ177" s="2"/>
      <c r="HK177" s="2"/>
      <c r="HL177" s="2"/>
      <c r="HM177" s="2"/>
      <c r="HN177" s="2"/>
      <c r="HO177" s="2"/>
      <c r="HP177" s="2"/>
      <c r="HQ177" s="2"/>
      <c r="HR177" s="2"/>
      <c r="HS177" s="2"/>
      <c r="HT177" s="2"/>
      <c r="HU177" s="2"/>
      <c r="HV177" s="2"/>
      <c r="HW177" s="2"/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</row>
    <row r="178" spans="33:518" x14ac:dyDescent="0.25"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  <c r="FK178" s="2"/>
      <c r="FL178" s="2"/>
      <c r="FM178" s="2"/>
      <c r="FN178" s="2"/>
      <c r="FO178" s="2"/>
      <c r="FP178" s="2"/>
      <c r="FQ178" s="2"/>
      <c r="FR178" s="2"/>
      <c r="FS178" s="2"/>
      <c r="FT178" s="2"/>
      <c r="FU178" s="2"/>
      <c r="FV178" s="2"/>
      <c r="FW178" s="2"/>
      <c r="FX178" s="2"/>
      <c r="FY178" s="2"/>
      <c r="FZ178" s="2"/>
      <c r="GA178" s="2"/>
      <c r="GB178" s="2"/>
      <c r="GC178" s="2"/>
      <c r="GD178" s="2"/>
      <c r="GE178" s="2"/>
      <c r="GF178" s="2"/>
      <c r="GG178" s="2"/>
      <c r="GH178" s="2"/>
      <c r="GI178" s="2"/>
      <c r="GJ178" s="2"/>
      <c r="GK178" s="2"/>
      <c r="GL178" s="2"/>
      <c r="GM178" s="2"/>
      <c r="GN178" s="2"/>
      <c r="GO178" s="2"/>
      <c r="GP178" s="2"/>
      <c r="GQ178" s="2"/>
      <c r="GR178" s="2"/>
      <c r="GS178" s="2"/>
      <c r="GT178" s="2"/>
      <c r="GU178" s="2"/>
      <c r="GV178" s="2"/>
      <c r="GW178" s="2"/>
      <c r="GX178" s="2"/>
      <c r="GY178" s="2"/>
      <c r="GZ178" s="2"/>
      <c r="HA178" s="2"/>
      <c r="HB178" s="2"/>
      <c r="HC178" s="2"/>
      <c r="HD178" s="2"/>
      <c r="HE178" s="2"/>
      <c r="HF178" s="2"/>
      <c r="HG178" s="2"/>
      <c r="HH178" s="2"/>
      <c r="HI178" s="2"/>
      <c r="HJ178" s="2"/>
      <c r="HK178" s="2"/>
      <c r="HL178" s="2"/>
      <c r="HM178" s="2"/>
      <c r="HN178" s="2"/>
      <c r="HO178" s="2"/>
      <c r="HP178" s="2"/>
      <c r="HQ178" s="2"/>
      <c r="HR178" s="2"/>
      <c r="HS178" s="2"/>
      <c r="HT178" s="2"/>
      <c r="HU178" s="2"/>
      <c r="HV178" s="2"/>
      <c r="HW178" s="2"/>
      <c r="HX178" s="2"/>
      <c r="HY178" s="2"/>
      <c r="HZ178" s="2"/>
      <c r="IA178" s="2"/>
      <c r="IB178" s="2"/>
      <c r="IC178" s="2"/>
      <c r="ID178" s="2"/>
      <c r="IE178" s="2"/>
      <c r="IF178" s="2"/>
      <c r="IG178" s="2"/>
      <c r="IH178" s="2"/>
      <c r="II178" s="2"/>
      <c r="IJ178" s="2"/>
      <c r="IK178" s="2"/>
      <c r="IL178" s="2"/>
      <c r="IM178" s="2"/>
      <c r="IN178" s="2"/>
      <c r="IO178" s="2"/>
      <c r="IP178" s="2"/>
      <c r="IQ178" s="2"/>
      <c r="IR178" s="2"/>
      <c r="IS178" s="2"/>
      <c r="IT178" s="2"/>
      <c r="IU178" s="2"/>
      <c r="IV178" s="2"/>
      <c r="IW178" s="2"/>
      <c r="IX178" s="2"/>
      <c r="IY178" s="2"/>
      <c r="IZ178" s="2"/>
      <c r="JA178" s="2"/>
      <c r="JB178" s="2"/>
      <c r="JC178" s="2"/>
      <c r="JD178" s="2"/>
      <c r="JE178" s="2"/>
      <c r="JF178" s="2"/>
      <c r="JG178" s="2"/>
      <c r="JH178" s="2"/>
      <c r="JI178" s="2"/>
      <c r="JJ178" s="2"/>
      <c r="JK178" s="2"/>
      <c r="JL178" s="2"/>
      <c r="JM178" s="2"/>
      <c r="JN178" s="2"/>
      <c r="JO178" s="2"/>
      <c r="JP178" s="2"/>
      <c r="JQ178" s="2"/>
      <c r="JR178" s="2"/>
      <c r="JS178" s="2"/>
      <c r="JT178" s="2"/>
      <c r="JU178" s="2"/>
      <c r="JV178" s="2"/>
      <c r="JW178" s="2"/>
      <c r="JX178" s="2"/>
      <c r="JY178" s="2"/>
      <c r="JZ178" s="2"/>
      <c r="KA178" s="2"/>
      <c r="KB178" s="2"/>
      <c r="KC178" s="2"/>
      <c r="KD178" s="2"/>
      <c r="KE178" s="2"/>
      <c r="KF178" s="2"/>
      <c r="KG178" s="2"/>
      <c r="KH178" s="2"/>
      <c r="KI178" s="2"/>
      <c r="KJ178" s="2"/>
      <c r="KK178" s="2"/>
      <c r="KL178" s="2"/>
      <c r="KM178" s="2"/>
      <c r="KN178" s="2"/>
      <c r="KO178" s="2"/>
      <c r="KP178" s="2"/>
      <c r="KQ178" s="2"/>
      <c r="KR178" s="2"/>
      <c r="KS178" s="2"/>
      <c r="KT178" s="2"/>
      <c r="KU178" s="2"/>
      <c r="KV178" s="2"/>
      <c r="KW178" s="2"/>
      <c r="KX178" s="2"/>
      <c r="KY178" s="2"/>
      <c r="KZ178" s="2"/>
      <c r="LA178" s="2"/>
      <c r="LB178" s="2"/>
      <c r="LC178" s="2"/>
      <c r="LD178" s="2"/>
      <c r="LE178" s="2"/>
      <c r="LF178" s="2"/>
      <c r="LG178" s="2"/>
      <c r="LH178" s="2"/>
      <c r="LI178" s="2"/>
      <c r="LJ178" s="2"/>
      <c r="LK178" s="2"/>
      <c r="LL178" s="2"/>
      <c r="LM178" s="2"/>
      <c r="LN178" s="2"/>
      <c r="LO178" s="2"/>
      <c r="LP178" s="2"/>
      <c r="LQ178" s="2"/>
      <c r="LR178" s="2"/>
      <c r="LS178" s="2"/>
      <c r="LT178" s="2"/>
      <c r="LU178" s="2"/>
      <c r="LV178" s="2"/>
      <c r="LW178" s="2"/>
      <c r="LX178" s="2"/>
      <c r="LY178" s="2"/>
      <c r="LZ178" s="2"/>
      <c r="MA178" s="2"/>
      <c r="MB178" s="2"/>
      <c r="MC178" s="2"/>
      <c r="MD178" s="2"/>
      <c r="ME178" s="2"/>
      <c r="MF178" s="2"/>
      <c r="MG178" s="2"/>
      <c r="MH178" s="2"/>
      <c r="MI178" s="2"/>
      <c r="MJ178" s="2"/>
      <c r="MK178" s="2"/>
      <c r="ML178" s="2"/>
      <c r="MM178" s="2"/>
      <c r="MN178" s="2"/>
      <c r="MO178" s="2"/>
      <c r="MP178" s="2"/>
      <c r="MQ178" s="2"/>
      <c r="MR178" s="2"/>
      <c r="MS178" s="2"/>
      <c r="MT178" s="2"/>
      <c r="MU178" s="2"/>
      <c r="MV178" s="2"/>
      <c r="MW178" s="2"/>
      <c r="MX178" s="2"/>
      <c r="MY178" s="2"/>
      <c r="MZ178" s="2"/>
      <c r="NA178" s="2"/>
      <c r="NB178" s="2"/>
      <c r="NC178" s="2"/>
      <c r="ND178" s="2"/>
      <c r="NE178" s="2"/>
      <c r="NF178" s="2"/>
      <c r="NG178" s="2"/>
      <c r="NH178" s="2"/>
      <c r="NI178" s="2"/>
      <c r="NJ178" s="2"/>
      <c r="NK178" s="2"/>
      <c r="NL178" s="2"/>
      <c r="NM178" s="2"/>
      <c r="NN178" s="2"/>
      <c r="NO178" s="2"/>
      <c r="NP178" s="2"/>
      <c r="NQ178" s="2"/>
      <c r="NR178" s="2"/>
      <c r="NS178" s="2"/>
      <c r="NT178" s="2"/>
      <c r="NU178" s="2"/>
      <c r="NV178" s="2"/>
      <c r="NW178" s="2"/>
      <c r="NX178" s="2"/>
      <c r="NY178" s="2"/>
      <c r="NZ178" s="2"/>
      <c r="OA178" s="2"/>
      <c r="OB178" s="2"/>
      <c r="OC178" s="2"/>
      <c r="OD178" s="2"/>
      <c r="OE178" s="2"/>
      <c r="OF178" s="2"/>
      <c r="OG178" s="2"/>
      <c r="OH178" s="2"/>
      <c r="OI178" s="2"/>
      <c r="OJ178" s="2"/>
      <c r="OK178" s="2"/>
      <c r="OL178" s="2"/>
      <c r="OM178" s="2"/>
      <c r="ON178" s="2"/>
      <c r="OO178" s="2"/>
      <c r="OP178" s="2"/>
      <c r="OQ178" s="2"/>
      <c r="OR178" s="2"/>
      <c r="OS178" s="2"/>
      <c r="OT178" s="2"/>
      <c r="OU178" s="2"/>
      <c r="OV178" s="2"/>
      <c r="OW178" s="2"/>
      <c r="OX178" s="2"/>
      <c r="OY178" s="2"/>
      <c r="OZ178" s="2"/>
      <c r="PA178" s="2"/>
      <c r="PB178" s="2"/>
      <c r="PC178" s="2"/>
      <c r="PD178" s="2"/>
      <c r="PE178" s="2"/>
      <c r="PF178" s="2"/>
      <c r="PG178" s="2"/>
      <c r="PH178" s="2"/>
      <c r="PI178" s="2"/>
      <c r="PJ178" s="2"/>
      <c r="PK178" s="2"/>
      <c r="PL178" s="2"/>
      <c r="PM178" s="2"/>
      <c r="PN178" s="2"/>
      <c r="PO178" s="2"/>
      <c r="PP178" s="2"/>
      <c r="PQ178" s="2"/>
      <c r="PR178" s="2"/>
      <c r="PS178" s="2"/>
      <c r="PT178" s="2"/>
      <c r="PU178" s="2"/>
      <c r="PV178" s="2"/>
      <c r="PW178" s="2"/>
      <c r="PX178" s="2"/>
      <c r="PY178" s="2"/>
      <c r="PZ178" s="2"/>
      <c r="QA178" s="2"/>
      <c r="QB178" s="2"/>
      <c r="QC178" s="2"/>
      <c r="QD178" s="2"/>
      <c r="QE178" s="2"/>
      <c r="QF178" s="2"/>
      <c r="QG178" s="2"/>
      <c r="QH178" s="2"/>
      <c r="QI178" s="2"/>
      <c r="QJ178" s="2"/>
      <c r="QK178" s="2"/>
      <c r="QL178" s="2"/>
      <c r="QM178" s="2"/>
      <c r="QN178" s="2"/>
      <c r="QO178" s="2"/>
      <c r="QP178" s="2"/>
      <c r="QQ178" s="2"/>
      <c r="QR178" s="2"/>
      <c r="QS178" s="2"/>
      <c r="QT178" s="2"/>
      <c r="QU178" s="2"/>
      <c r="QV178" s="2"/>
      <c r="QW178" s="2"/>
      <c r="QX178" s="2"/>
      <c r="QY178" s="2"/>
      <c r="QZ178" s="2"/>
      <c r="RA178" s="2"/>
      <c r="RB178" s="2"/>
      <c r="RC178" s="2"/>
      <c r="RD178" s="2"/>
      <c r="RE178" s="2"/>
      <c r="RF178" s="2"/>
      <c r="RG178" s="2"/>
      <c r="RH178" s="2"/>
      <c r="RI178" s="2"/>
      <c r="RJ178" s="2"/>
      <c r="RK178" s="2"/>
      <c r="RL178" s="2"/>
      <c r="RM178" s="2"/>
      <c r="RN178" s="2"/>
      <c r="RO178" s="2"/>
      <c r="RP178" s="2"/>
      <c r="RQ178" s="2"/>
      <c r="RR178" s="2"/>
      <c r="RS178" s="2"/>
      <c r="RT178" s="2"/>
      <c r="RU178" s="2"/>
      <c r="RV178" s="2"/>
      <c r="RW178" s="2"/>
      <c r="RX178" s="2"/>
      <c r="RY178" s="2"/>
      <c r="RZ178" s="2"/>
      <c r="SA178" s="2"/>
      <c r="SB178" s="2"/>
      <c r="SC178" s="2"/>
      <c r="SD178" s="2"/>
      <c r="SE178" s="2"/>
      <c r="SF178" s="2"/>
      <c r="SG178" s="2"/>
      <c r="SH178" s="2"/>
      <c r="SI178" s="2"/>
      <c r="SJ178" s="2"/>
      <c r="SK178" s="2"/>
      <c r="SL178" s="2"/>
      <c r="SM178" s="2"/>
      <c r="SN178" s="2"/>
      <c r="SO178" s="2"/>
      <c r="SP178" s="2"/>
      <c r="SQ178" s="2"/>
      <c r="SR178" s="2"/>
      <c r="SS178" s="2"/>
      <c r="ST178" s="2"/>
      <c r="SU178" s="2"/>
      <c r="SV178" s="2"/>
      <c r="SW178" s="2"/>
      <c r="SX178" s="2"/>
    </row>
    <row r="179" spans="33:518" x14ac:dyDescent="0.25"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  <c r="FK179" s="2"/>
      <c r="FL179" s="2"/>
      <c r="FM179" s="2"/>
      <c r="FN179" s="2"/>
      <c r="FO179" s="2"/>
      <c r="FP179" s="2"/>
      <c r="FQ179" s="2"/>
      <c r="FR179" s="2"/>
      <c r="FS179" s="2"/>
      <c r="FT179" s="2"/>
      <c r="FU179" s="2"/>
      <c r="FV179" s="2"/>
      <c r="FW179" s="2"/>
      <c r="FX179" s="2"/>
      <c r="FY179" s="2"/>
      <c r="FZ179" s="2"/>
      <c r="GA179" s="2"/>
      <c r="GB179" s="2"/>
      <c r="GC179" s="2"/>
      <c r="GD179" s="2"/>
      <c r="GE179" s="2"/>
      <c r="GF179" s="2"/>
      <c r="GG179" s="2"/>
      <c r="GH179" s="2"/>
      <c r="GI179" s="2"/>
      <c r="GJ179" s="2"/>
      <c r="GK179" s="2"/>
      <c r="GL179" s="2"/>
      <c r="GM179" s="2"/>
      <c r="GN179" s="2"/>
      <c r="GO179" s="2"/>
      <c r="GP179" s="2"/>
      <c r="GQ179" s="2"/>
      <c r="GR179" s="2"/>
      <c r="GS179" s="2"/>
      <c r="GT179" s="2"/>
      <c r="GU179" s="2"/>
      <c r="GV179" s="2"/>
      <c r="GW179" s="2"/>
      <c r="GX179" s="2"/>
      <c r="GY179" s="2"/>
      <c r="GZ179" s="2"/>
      <c r="HA179" s="2"/>
      <c r="HB179" s="2"/>
      <c r="HC179" s="2"/>
      <c r="HD179" s="2"/>
      <c r="HE179" s="2"/>
      <c r="HF179" s="2"/>
      <c r="HG179" s="2"/>
      <c r="HH179" s="2"/>
      <c r="HI179" s="2"/>
      <c r="HJ179" s="2"/>
      <c r="HK179" s="2"/>
      <c r="HL179" s="2"/>
      <c r="HM179" s="2"/>
      <c r="HN179" s="2"/>
      <c r="HO179" s="2"/>
      <c r="HP179" s="2"/>
      <c r="HQ179" s="2"/>
      <c r="HR179" s="2"/>
      <c r="HS179" s="2"/>
      <c r="HT179" s="2"/>
      <c r="HU179" s="2"/>
      <c r="HV179" s="2"/>
      <c r="HW179" s="2"/>
      <c r="HX179" s="2"/>
      <c r="HY179" s="2"/>
      <c r="HZ179" s="2"/>
      <c r="IA179" s="2"/>
      <c r="IB179" s="2"/>
      <c r="IC179" s="2"/>
      <c r="ID179" s="2"/>
      <c r="IE179" s="2"/>
      <c r="IF179" s="2"/>
      <c r="IG179" s="2"/>
      <c r="IH179" s="2"/>
      <c r="II179" s="2"/>
      <c r="IJ179" s="2"/>
      <c r="IK179" s="2"/>
      <c r="IL179" s="2"/>
      <c r="IM179" s="2"/>
      <c r="IN179" s="2"/>
      <c r="IO179" s="2"/>
      <c r="IP179" s="2"/>
      <c r="IQ179" s="2"/>
      <c r="IR179" s="2"/>
      <c r="IS179" s="2"/>
      <c r="IT179" s="2"/>
      <c r="IU179" s="2"/>
      <c r="IV179" s="2"/>
      <c r="IW179" s="2"/>
      <c r="IX179" s="2"/>
      <c r="IY179" s="2"/>
      <c r="IZ179" s="2"/>
      <c r="JA179" s="2"/>
      <c r="JB179" s="2"/>
      <c r="JC179" s="2"/>
      <c r="JD179" s="2"/>
      <c r="JE179" s="2"/>
      <c r="JF179" s="2"/>
      <c r="JG179" s="2"/>
      <c r="JH179" s="2"/>
      <c r="JI179" s="2"/>
      <c r="JJ179" s="2"/>
      <c r="JK179" s="2"/>
      <c r="JL179" s="2"/>
      <c r="JM179" s="2"/>
      <c r="JN179" s="2"/>
      <c r="JO179" s="2"/>
      <c r="JP179" s="2"/>
      <c r="JQ179" s="2"/>
      <c r="JR179" s="2"/>
      <c r="JS179" s="2"/>
      <c r="JT179" s="2"/>
      <c r="JU179" s="2"/>
      <c r="JV179" s="2"/>
      <c r="JW179" s="2"/>
      <c r="JX179" s="2"/>
      <c r="JY179" s="2"/>
      <c r="JZ179" s="2"/>
      <c r="KA179" s="2"/>
      <c r="KB179" s="2"/>
      <c r="KC179" s="2"/>
      <c r="KD179" s="2"/>
      <c r="KE179" s="2"/>
      <c r="KF179" s="2"/>
      <c r="KG179" s="2"/>
      <c r="KH179" s="2"/>
      <c r="KI179" s="2"/>
      <c r="KJ179" s="2"/>
      <c r="KK179" s="2"/>
      <c r="KL179" s="2"/>
      <c r="KM179" s="2"/>
      <c r="KN179" s="2"/>
      <c r="KO179" s="2"/>
      <c r="KP179" s="2"/>
      <c r="KQ179" s="2"/>
      <c r="KR179" s="2"/>
      <c r="KS179" s="2"/>
      <c r="KT179" s="2"/>
      <c r="KU179" s="2"/>
      <c r="KV179" s="2"/>
      <c r="KW179" s="2"/>
      <c r="KX179" s="2"/>
      <c r="KY179" s="2"/>
      <c r="KZ179" s="2"/>
      <c r="LA179" s="2"/>
      <c r="LB179" s="2"/>
      <c r="LC179" s="2"/>
      <c r="LD179" s="2"/>
      <c r="LE179" s="2"/>
      <c r="LF179" s="2"/>
      <c r="LG179" s="2"/>
      <c r="LH179" s="2"/>
      <c r="LI179" s="2"/>
      <c r="LJ179" s="2"/>
      <c r="LK179" s="2"/>
      <c r="LL179" s="2"/>
      <c r="LM179" s="2"/>
      <c r="LN179" s="2"/>
      <c r="LO179" s="2"/>
      <c r="LP179" s="2"/>
      <c r="LQ179" s="2"/>
      <c r="LR179" s="2"/>
      <c r="LS179" s="2"/>
      <c r="LT179" s="2"/>
      <c r="LU179" s="2"/>
      <c r="LV179" s="2"/>
      <c r="LW179" s="2"/>
      <c r="LX179" s="2"/>
      <c r="LY179" s="2"/>
      <c r="LZ179" s="2"/>
      <c r="MA179" s="2"/>
      <c r="MB179" s="2"/>
      <c r="MC179" s="2"/>
      <c r="MD179" s="2"/>
      <c r="ME179" s="2"/>
      <c r="MF179" s="2"/>
      <c r="MG179" s="2"/>
      <c r="MH179" s="2"/>
      <c r="MI179" s="2"/>
      <c r="MJ179" s="2"/>
      <c r="MK179" s="2"/>
      <c r="ML179" s="2"/>
      <c r="MM179" s="2"/>
      <c r="MN179" s="2"/>
      <c r="MO179" s="2"/>
      <c r="MP179" s="2"/>
      <c r="MQ179" s="2"/>
      <c r="MR179" s="2"/>
      <c r="MS179" s="2"/>
      <c r="MT179" s="2"/>
      <c r="MU179" s="2"/>
      <c r="MV179" s="2"/>
      <c r="MW179" s="2"/>
      <c r="MX179" s="2"/>
      <c r="MY179" s="2"/>
      <c r="MZ179" s="2"/>
      <c r="NA179" s="2"/>
      <c r="NB179" s="2"/>
      <c r="NC179" s="2"/>
      <c r="ND179" s="2"/>
      <c r="NE179" s="2"/>
      <c r="NF179" s="2"/>
      <c r="NG179" s="2"/>
      <c r="NH179" s="2"/>
      <c r="NI179" s="2"/>
      <c r="NJ179" s="2"/>
      <c r="NK179" s="2"/>
      <c r="NL179" s="2"/>
      <c r="NM179" s="2"/>
      <c r="NN179" s="2"/>
      <c r="NO179" s="2"/>
      <c r="NP179" s="2"/>
      <c r="NQ179" s="2"/>
      <c r="NR179" s="2"/>
      <c r="NS179" s="2"/>
      <c r="NT179" s="2"/>
      <c r="NU179" s="2"/>
      <c r="NV179" s="2"/>
      <c r="NW179" s="2"/>
      <c r="NX179" s="2"/>
      <c r="NY179" s="2"/>
      <c r="NZ179" s="2"/>
      <c r="OA179" s="2"/>
      <c r="OB179" s="2"/>
      <c r="OC179" s="2"/>
      <c r="OD179" s="2"/>
      <c r="OE179" s="2"/>
      <c r="OF179" s="2"/>
      <c r="OG179" s="2"/>
      <c r="OH179" s="2"/>
      <c r="OI179" s="2"/>
      <c r="OJ179" s="2"/>
      <c r="OK179" s="2"/>
      <c r="OL179" s="2"/>
      <c r="OM179" s="2"/>
      <c r="ON179" s="2"/>
      <c r="OO179" s="2"/>
      <c r="OP179" s="2"/>
      <c r="OQ179" s="2"/>
      <c r="OR179" s="2"/>
      <c r="OS179" s="2"/>
      <c r="OT179" s="2"/>
      <c r="OU179" s="2"/>
      <c r="OV179" s="2"/>
      <c r="OW179" s="2"/>
      <c r="OX179" s="2"/>
      <c r="OY179" s="2"/>
      <c r="OZ179" s="2"/>
      <c r="PA179" s="2"/>
      <c r="PB179" s="2"/>
      <c r="PC179" s="2"/>
      <c r="PD179" s="2"/>
      <c r="PE179" s="2"/>
      <c r="PF179" s="2"/>
      <c r="PG179" s="2"/>
      <c r="PH179" s="2"/>
      <c r="PI179" s="2"/>
      <c r="PJ179" s="2"/>
      <c r="PK179" s="2"/>
      <c r="PL179" s="2"/>
      <c r="PM179" s="2"/>
      <c r="PN179" s="2"/>
      <c r="PO179" s="2"/>
      <c r="PP179" s="2"/>
      <c r="PQ179" s="2"/>
      <c r="PR179" s="2"/>
      <c r="PS179" s="2"/>
      <c r="PT179" s="2"/>
      <c r="PU179" s="2"/>
      <c r="PV179" s="2"/>
      <c r="PW179" s="2"/>
      <c r="PX179" s="2"/>
      <c r="PY179" s="2"/>
      <c r="PZ179" s="2"/>
      <c r="QA179" s="2"/>
      <c r="QB179" s="2"/>
      <c r="QC179" s="2"/>
      <c r="QD179" s="2"/>
      <c r="QE179" s="2"/>
      <c r="QF179" s="2"/>
      <c r="QG179" s="2"/>
      <c r="QH179" s="2"/>
      <c r="QI179" s="2"/>
      <c r="QJ179" s="2"/>
      <c r="QK179" s="2"/>
      <c r="QL179" s="2"/>
      <c r="QM179" s="2"/>
      <c r="QN179" s="2"/>
      <c r="QO179" s="2"/>
      <c r="QP179" s="2"/>
      <c r="QQ179" s="2"/>
      <c r="QR179" s="2"/>
      <c r="QS179" s="2"/>
      <c r="QT179" s="2"/>
      <c r="QU179" s="2"/>
      <c r="QV179" s="2"/>
      <c r="QW179" s="2"/>
      <c r="QX179" s="2"/>
      <c r="QY179" s="2"/>
      <c r="QZ179" s="2"/>
      <c r="RA179" s="2"/>
      <c r="RB179" s="2"/>
      <c r="RC179" s="2"/>
      <c r="RD179" s="2"/>
      <c r="RE179" s="2"/>
      <c r="RF179" s="2"/>
      <c r="RG179" s="2"/>
      <c r="RH179" s="2"/>
      <c r="RI179" s="2"/>
      <c r="RJ179" s="2"/>
      <c r="RK179" s="2"/>
      <c r="RL179" s="2"/>
      <c r="RM179" s="2"/>
      <c r="RN179" s="2"/>
      <c r="RO179" s="2"/>
      <c r="RP179" s="2"/>
      <c r="RQ179" s="2"/>
      <c r="RR179" s="2"/>
      <c r="RS179" s="2"/>
      <c r="RT179" s="2"/>
      <c r="RU179" s="2"/>
      <c r="RV179" s="2"/>
      <c r="RW179" s="2"/>
      <c r="RX179" s="2"/>
      <c r="RY179" s="2"/>
      <c r="RZ179" s="2"/>
      <c r="SA179" s="2"/>
      <c r="SB179" s="2"/>
      <c r="SC179" s="2"/>
      <c r="SD179" s="2"/>
      <c r="SE179" s="2"/>
      <c r="SF179" s="2"/>
      <c r="SG179" s="2"/>
      <c r="SH179" s="2"/>
      <c r="SI179" s="2"/>
      <c r="SJ179" s="2"/>
      <c r="SK179" s="2"/>
      <c r="SL179" s="2"/>
      <c r="SM179" s="2"/>
      <c r="SN179" s="2"/>
      <c r="SO179" s="2"/>
      <c r="SP179" s="2"/>
      <c r="SQ179" s="2"/>
      <c r="SR179" s="2"/>
      <c r="SS179" s="2"/>
      <c r="ST179" s="2"/>
      <c r="SU179" s="2"/>
      <c r="SV179" s="2"/>
      <c r="SW179" s="2"/>
      <c r="SX179" s="2"/>
    </row>
    <row r="180" spans="33:518" x14ac:dyDescent="0.25"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  <c r="RA180" s="2"/>
      <c r="RB180" s="2"/>
      <c r="RC180" s="2"/>
      <c r="RD180" s="2"/>
      <c r="RE180" s="2"/>
      <c r="RF180" s="2"/>
      <c r="RG180" s="2"/>
      <c r="RH180" s="2"/>
      <c r="RI180" s="2"/>
      <c r="RJ180" s="2"/>
      <c r="RK180" s="2"/>
      <c r="RL180" s="2"/>
      <c r="RM180" s="2"/>
      <c r="RN180" s="2"/>
      <c r="RO180" s="2"/>
      <c r="RP180" s="2"/>
      <c r="RQ180" s="2"/>
      <c r="RR180" s="2"/>
      <c r="RS180" s="2"/>
      <c r="RT180" s="2"/>
      <c r="RU180" s="2"/>
      <c r="RV180" s="2"/>
      <c r="RW180" s="2"/>
      <c r="RX180" s="2"/>
      <c r="RY180" s="2"/>
      <c r="RZ180" s="2"/>
      <c r="SA180" s="2"/>
      <c r="SB180" s="2"/>
      <c r="SC180" s="2"/>
      <c r="SD180" s="2"/>
      <c r="SE180" s="2"/>
      <c r="SF180" s="2"/>
      <c r="SG180" s="2"/>
      <c r="SH180" s="2"/>
      <c r="SI180" s="2"/>
      <c r="SJ180" s="2"/>
      <c r="SK180" s="2"/>
      <c r="SL180" s="2"/>
      <c r="SM180" s="2"/>
      <c r="SN180" s="2"/>
      <c r="SO180" s="2"/>
      <c r="SP180" s="2"/>
      <c r="SQ180" s="2"/>
      <c r="SR180" s="2"/>
      <c r="SS180" s="2"/>
      <c r="ST180" s="2"/>
      <c r="SU180" s="2"/>
      <c r="SV180" s="2"/>
      <c r="SW180" s="2"/>
      <c r="SX180" s="2"/>
    </row>
    <row r="181" spans="33:518" x14ac:dyDescent="0.25"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  <c r="FK181" s="2"/>
      <c r="FL181" s="2"/>
      <c r="FM181" s="2"/>
      <c r="FN181" s="2"/>
      <c r="FO181" s="2"/>
      <c r="FP181" s="2"/>
      <c r="FQ181" s="2"/>
      <c r="FR181" s="2"/>
      <c r="FS181" s="2"/>
      <c r="FT181" s="2"/>
      <c r="FU181" s="2"/>
      <c r="FV181" s="2"/>
      <c r="FW181" s="2"/>
      <c r="FX181" s="2"/>
      <c r="FY181" s="2"/>
      <c r="FZ181" s="2"/>
      <c r="GA181" s="2"/>
      <c r="GB181" s="2"/>
      <c r="GC181" s="2"/>
      <c r="GD181" s="2"/>
      <c r="GE181" s="2"/>
      <c r="GF181" s="2"/>
      <c r="GG181" s="2"/>
      <c r="GH181" s="2"/>
      <c r="GI181" s="2"/>
      <c r="GJ181" s="2"/>
      <c r="GK181" s="2"/>
      <c r="GL181" s="2"/>
      <c r="GM181" s="2"/>
      <c r="GN181" s="2"/>
      <c r="GO181" s="2"/>
      <c r="GP181" s="2"/>
      <c r="GQ181" s="2"/>
      <c r="GR181" s="2"/>
      <c r="GS181" s="2"/>
      <c r="GT181" s="2"/>
      <c r="GU181" s="2"/>
      <c r="GV181" s="2"/>
      <c r="GW181" s="2"/>
      <c r="GX181" s="2"/>
      <c r="GY181" s="2"/>
      <c r="GZ181" s="2"/>
      <c r="HA181" s="2"/>
      <c r="HB181" s="2"/>
      <c r="HC181" s="2"/>
      <c r="HD181" s="2"/>
      <c r="HE181" s="2"/>
      <c r="HF181" s="2"/>
      <c r="HG181" s="2"/>
      <c r="HH181" s="2"/>
      <c r="HI181" s="2"/>
      <c r="HJ181" s="2"/>
      <c r="HK181" s="2"/>
      <c r="HL181" s="2"/>
      <c r="HM181" s="2"/>
      <c r="HN181" s="2"/>
      <c r="HO181" s="2"/>
      <c r="HP181" s="2"/>
      <c r="HQ181" s="2"/>
      <c r="HR181" s="2"/>
      <c r="HS181" s="2"/>
      <c r="HT181" s="2"/>
      <c r="HU181" s="2"/>
      <c r="HV181" s="2"/>
      <c r="HW181" s="2"/>
      <c r="HX181" s="2"/>
      <c r="HY181" s="2"/>
      <c r="HZ181" s="2"/>
      <c r="IA181" s="2"/>
      <c r="IB181" s="2"/>
      <c r="IC181" s="2"/>
      <c r="ID181" s="2"/>
      <c r="IE181" s="2"/>
      <c r="IF181" s="2"/>
      <c r="IG181" s="2"/>
      <c r="IH181" s="2"/>
      <c r="II181" s="2"/>
      <c r="IJ181" s="2"/>
      <c r="IK181" s="2"/>
      <c r="IL181" s="2"/>
      <c r="IM181" s="2"/>
      <c r="IN181" s="2"/>
      <c r="IO181" s="2"/>
      <c r="IP181" s="2"/>
      <c r="IQ181" s="2"/>
      <c r="IR181" s="2"/>
      <c r="IS181" s="2"/>
      <c r="IT181" s="2"/>
      <c r="IU181" s="2"/>
      <c r="IV181" s="2"/>
      <c r="IW181" s="2"/>
      <c r="IX181" s="2"/>
      <c r="IY181" s="2"/>
      <c r="IZ181" s="2"/>
      <c r="JA181" s="2"/>
      <c r="JB181" s="2"/>
      <c r="JC181" s="2"/>
      <c r="JD181" s="2"/>
      <c r="JE181" s="2"/>
      <c r="JF181" s="2"/>
      <c r="JG181" s="2"/>
      <c r="JH181" s="2"/>
      <c r="JI181" s="2"/>
      <c r="JJ181" s="2"/>
      <c r="JK181" s="2"/>
      <c r="JL181" s="2"/>
      <c r="JM181" s="2"/>
      <c r="JN181" s="2"/>
      <c r="JO181" s="2"/>
      <c r="JP181" s="2"/>
      <c r="JQ181" s="2"/>
      <c r="JR181" s="2"/>
      <c r="JS181" s="2"/>
      <c r="JT181" s="2"/>
      <c r="JU181" s="2"/>
      <c r="JV181" s="2"/>
      <c r="JW181" s="2"/>
      <c r="JX181" s="2"/>
      <c r="JY181" s="2"/>
      <c r="JZ181" s="2"/>
      <c r="KA181" s="2"/>
      <c r="KB181" s="2"/>
      <c r="KC181" s="2"/>
      <c r="KD181" s="2"/>
      <c r="KE181" s="2"/>
      <c r="KF181" s="2"/>
      <c r="KG181" s="2"/>
      <c r="KH181" s="2"/>
      <c r="KI181" s="2"/>
      <c r="KJ181" s="2"/>
      <c r="KK181" s="2"/>
      <c r="KL181" s="2"/>
      <c r="KM181" s="2"/>
      <c r="KN181" s="2"/>
      <c r="KO181" s="2"/>
      <c r="KP181" s="2"/>
      <c r="KQ181" s="2"/>
      <c r="KR181" s="2"/>
      <c r="KS181" s="2"/>
      <c r="KT181" s="2"/>
      <c r="KU181" s="2"/>
      <c r="KV181" s="2"/>
      <c r="KW181" s="2"/>
      <c r="KX181" s="2"/>
      <c r="KY181" s="2"/>
      <c r="KZ181" s="2"/>
      <c r="LA181" s="2"/>
      <c r="LB181" s="2"/>
      <c r="LC181" s="2"/>
      <c r="LD181" s="2"/>
      <c r="LE181" s="2"/>
      <c r="LF181" s="2"/>
      <c r="LG181" s="2"/>
      <c r="LH181" s="2"/>
      <c r="LI181" s="2"/>
      <c r="LJ181" s="2"/>
      <c r="LK181" s="2"/>
      <c r="LL181" s="2"/>
      <c r="LM181" s="2"/>
      <c r="LN181" s="2"/>
      <c r="LO181" s="2"/>
      <c r="LP181" s="2"/>
      <c r="LQ181" s="2"/>
      <c r="LR181" s="2"/>
      <c r="LS181" s="2"/>
      <c r="LT181" s="2"/>
      <c r="LU181" s="2"/>
      <c r="LV181" s="2"/>
      <c r="LW181" s="2"/>
      <c r="LX181" s="2"/>
      <c r="LY181" s="2"/>
      <c r="LZ181" s="2"/>
      <c r="MA181" s="2"/>
      <c r="MB181" s="2"/>
      <c r="MC181" s="2"/>
      <c r="MD181" s="2"/>
      <c r="ME181" s="2"/>
      <c r="MF181" s="2"/>
      <c r="MG181" s="2"/>
      <c r="MH181" s="2"/>
      <c r="MI181" s="2"/>
      <c r="MJ181" s="2"/>
      <c r="MK181" s="2"/>
      <c r="ML181" s="2"/>
      <c r="MM181" s="2"/>
      <c r="MN181" s="2"/>
      <c r="MO181" s="2"/>
      <c r="MP181" s="2"/>
      <c r="MQ181" s="2"/>
      <c r="MR181" s="2"/>
      <c r="MS181" s="2"/>
      <c r="MT181" s="2"/>
      <c r="MU181" s="2"/>
      <c r="MV181" s="2"/>
      <c r="MW181" s="2"/>
      <c r="MX181" s="2"/>
      <c r="MY181" s="2"/>
      <c r="MZ181" s="2"/>
      <c r="NA181" s="2"/>
      <c r="NB181" s="2"/>
      <c r="NC181" s="2"/>
      <c r="ND181" s="2"/>
      <c r="NE181" s="2"/>
      <c r="NF181" s="2"/>
      <c r="NG181" s="2"/>
      <c r="NH181" s="2"/>
      <c r="NI181" s="2"/>
      <c r="NJ181" s="2"/>
      <c r="NK181" s="2"/>
      <c r="NL181" s="2"/>
      <c r="NM181" s="2"/>
      <c r="NN181" s="2"/>
      <c r="NO181" s="2"/>
      <c r="NP181" s="2"/>
      <c r="NQ181" s="2"/>
      <c r="NR181" s="2"/>
      <c r="NS181" s="2"/>
      <c r="NT181" s="2"/>
      <c r="NU181" s="2"/>
      <c r="NV181" s="2"/>
      <c r="NW181" s="2"/>
      <c r="NX181" s="2"/>
      <c r="NY181" s="2"/>
      <c r="NZ181" s="2"/>
      <c r="OA181" s="2"/>
      <c r="OB181" s="2"/>
      <c r="OC181" s="2"/>
      <c r="OD181" s="2"/>
      <c r="OE181" s="2"/>
      <c r="OF181" s="2"/>
      <c r="OG181" s="2"/>
      <c r="OH181" s="2"/>
      <c r="OI181" s="2"/>
      <c r="OJ181" s="2"/>
      <c r="OK181" s="2"/>
      <c r="OL181" s="2"/>
      <c r="OM181" s="2"/>
      <c r="ON181" s="2"/>
      <c r="OO181" s="2"/>
      <c r="OP181" s="2"/>
      <c r="OQ181" s="2"/>
      <c r="OR181" s="2"/>
      <c r="OS181" s="2"/>
      <c r="OT181" s="2"/>
      <c r="OU181" s="2"/>
      <c r="OV181" s="2"/>
      <c r="OW181" s="2"/>
      <c r="OX181" s="2"/>
      <c r="OY181" s="2"/>
      <c r="OZ181" s="2"/>
      <c r="PA181" s="2"/>
      <c r="PB181" s="2"/>
      <c r="PC181" s="2"/>
      <c r="PD181" s="2"/>
      <c r="PE181" s="2"/>
      <c r="PF181" s="2"/>
      <c r="PG181" s="2"/>
      <c r="PH181" s="2"/>
      <c r="PI181" s="2"/>
      <c r="PJ181" s="2"/>
      <c r="PK181" s="2"/>
      <c r="PL181" s="2"/>
      <c r="PM181" s="2"/>
      <c r="PN181" s="2"/>
      <c r="PO181" s="2"/>
      <c r="PP181" s="2"/>
      <c r="PQ181" s="2"/>
      <c r="PR181" s="2"/>
      <c r="PS181" s="2"/>
      <c r="PT181" s="2"/>
      <c r="PU181" s="2"/>
      <c r="PV181" s="2"/>
      <c r="PW181" s="2"/>
      <c r="PX181" s="2"/>
      <c r="PY181" s="2"/>
      <c r="PZ181" s="2"/>
      <c r="QA181" s="2"/>
      <c r="QB181" s="2"/>
      <c r="QC181" s="2"/>
      <c r="QD181" s="2"/>
      <c r="QE181" s="2"/>
      <c r="QF181" s="2"/>
      <c r="QG181" s="2"/>
      <c r="QH181" s="2"/>
      <c r="QI181" s="2"/>
      <c r="QJ181" s="2"/>
      <c r="QK181" s="2"/>
      <c r="QL181" s="2"/>
      <c r="QM181" s="2"/>
      <c r="QN181" s="2"/>
      <c r="QO181" s="2"/>
      <c r="QP181" s="2"/>
      <c r="QQ181" s="2"/>
      <c r="QR181" s="2"/>
      <c r="QS181" s="2"/>
      <c r="QT181" s="2"/>
      <c r="QU181" s="2"/>
      <c r="QV181" s="2"/>
      <c r="QW181" s="2"/>
      <c r="QX181" s="2"/>
      <c r="QY181" s="2"/>
      <c r="QZ181" s="2"/>
      <c r="RA181" s="2"/>
      <c r="RB181" s="2"/>
      <c r="RC181" s="2"/>
      <c r="RD181" s="2"/>
      <c r="RE181" s="2"/>
      <c r="RF181" s="2"/>
      <c r="RG181" s="2"/>
      <c r="RH181" s="2"/>
      <c r="RI181" s="2"/>
      <c r="RJ181" s="2"/>
      <c r="RK181" s="2"/>
      <c r="RL181" s="2"/>
      <c r="RM181" s="2"/>
      <c r="RN181" s="2"/>
      <c r="RO181" s="2"/>
      <c r="RP181" s="2"/>
      <c r="RQ181" s="2"/>
      <c r="RR181" s="2"/>
      <c r="RS181" s="2"/>
      <c r="RT181" s="2"/>
      <c r="RU181" s="2"/>
      <c r="RV181" s="2"/>
      <c r="RW181" s="2"/>
      <c r="RX181" s="2"/>
      <c r="RY181" s="2"/>
      <c r="RZ181" s="2"/>
      <c r="SA181" s="2"/>
      <c r="SB181" s="2"/>
      <c r="SC181" s="2"/>
      <c r="SD181" s="2"/>
      <c r="SE181" s="2"/>
      <c r="SF181" s="2"/>
      <c r="SG181" s="2"/>
      <c r="SH181" s="2"/>
      <c r="SI181" s="2"/>
      <c r="SJ181" s="2"/>
      <c r="SK181" s="2"/>
      <c r="SL181" s="2"/>
      <c r="SM181" s="2"/>
      <c r="SN181" s="2"/>
      <c r="SO181" s="2"/>
      <c r="SP181" s="2"/>
      <c r="SQ181" s="2"/>
      <c r="SR181" s="2"/>
      <c r="SS181" s="2"/>
      <c r="ST181" s="2"/>
      <c r="SU181" s="2"/>
      <c r="SV181" s="2"/>
      <c r="SW181" s="2"/>
      <c r="SX181" s="2"/>
    </row>
    <row r="182" spans="33:518" x14ac:dyDescent="0.25"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  <c r="FK182" s="2"/>
      <c r="FL182" s="2"/>
      <c r="FM182" s="2"/>
      <c r="FN182" s="2"/>
      <c r="FO182" s="2"/>
      <c r="FP182" s="2"/>
      <c r="FQ182" s="2"/>
      <c r="FR182" s="2"/>
      <c r="FS182" s="2"/>
      <c r="FT182" s="2"/>
      <c r="FU182" s="2"/>
      <c r="FV182" s="2"/>
      <c r="FW182" s="2"/>
      <c r="FX182" s="2"/>
      <c r="FY182" s="2"/>
      <c r="FZ182" s="2"/>
      <c r="GA182" s="2"/>
      <c r="GB182" s="2"/>
      <c r="GC182" s="2"/>
      <c r="GD182" s="2"/>
      <c r="GE182" s="2"/>
      <c r="GF182" s="2"/>
      <c r="GG182" s="2"/>
      <c r="GH182" s="2"/>
      <c r="GI182" s="2"/>
      <c r="GJ182" s="2"/>
      <c r="GK182" s="2"/>
      <c r="GL182" s="2"/>
      <c r="GM182" s="2"/>
      <c r="GN182" s="2"/>
      <c r="GO182" s="2"/>
      <c r="GP182" s="2"/>
      <c r="GQ182" s="2"/>
      <c r="GR182" s="2"/>
      <c r="GS182" s="2"/>
      <c r="GT182" s="2"/>
      <c r="GU182" s="2"/>
      <c r="GV182" s="2"/>
      <c r="GW182" s="2"/>
      <c r="GX182" s="2"/>
      <c r="GY182" s="2"/>
      <c r="GZ182" s="2"/>
      <c r="HA182" s="2"/>
      <c r="HB182" s="2"/>
      <c r="HC182" s="2"/>
      <c r="HD182" s="2"/>
      <c r="HE182" s="2"/>
      <c r="HF182" s="2"/>
      <c r="HG182" s="2"/>
      <c r="HH182" s="2"/>
      <c r="HI182" s="2"/>
      <c r="HJ182" s="2"/>
      <c r="HK182" s="2"/>
      <c r="HL182" s="2"/>
      <c r="HM182" s="2"/>
      <c r="HN182" s="2"/>
      <c r="HO182" s="2"/>
      <c r="HP182" s="2"/>
      <c r="HQ182" s="2"/>
      <c r="HR182" s="2"/>
      <c r="HS182" s="2"/>
      <c r="HT182" s="2"/>
      <c r="HU182" s="2"/>
      <c r="HV182" s="2"/>
      <c r="HW182" s="2"/>
      <c r="HX182" s="2"/>
      <c r="HY182" s="2"/>
      <c r="HZ182" s="2"/>
      <c r="IA182" s="2"/>
      <c r="IB182" s="2"/>
      <c r="IC182" s="2"/>
      <c r="ID182" s="2"/>
      <c r="IE182" s="2"/>
      <c r="IF182" s="2"/>
      <c r="IG182" s="2"/>
      <c r="IH182" s="2"/>
      <c r="II182" s="2"/>
      <c r="IJ182" s="2"/>
      <c r="IK182" s="2"/>
      <c r="IL182" s="2"/>
      <c r="IM182" s="2"/>
      <c r="IN182" s="2"/>
      <c r="IO182" s="2"/>
      <c r="IP182" s="2"/>
      <c r="IQ182" s="2"/>
      <c r="IR182" s="2"/>
      <c r="IS182" s="2"/>
      <c r="IT182" s="2"/>
      <c r="IU182" s="2"/>
      <c r="IV182" s="2"/>
      <c r="IW182" s="2"/>
      <c r="IX182" s="2"/>
      <c r="IY182" s="2"/>
      <c r="IZ182" s="2"/>
      <c r="JA182" s="2"/>
      <c r="JB182" s="2"/>
      <c r="JC182" s="2"/>
      <c r="JD182" s="2"/>
      <c r="JE182" s="2"/>
      <c r="JF182" s="2"/>
      <c r="JG182" s="2"/>
      <c r="JH182" s="2"/>
      <c r="JI182" s="2"/>
      <c r="JJ182" s="2"/>
      <c r="JK182" s="2"/>
      <c r="JL182" s="2"/>
      <c r="JM182" s="2"/>
      <c r="JN182" s="2"/>
      <c r="JO182" s="2"/>
      <c r="JP182" s="2"/>
      <c r="JQ182" s="2"/>
      <c r="JR182" s="2"/>
      <c r="JS182" s="2"/>
      <c r="JT182" s="2"/>
      <c r="JU182" s="2"/>
      <c r="JV182" s="2"/>
      <c r="JW182" s="2"/>
      <c r="JX182" s="2"/>
      <c r="JY182" s="2"/>
      <c r="JZ182" s="2"/>
      <c r="KA182" s="2"/>
      <c r="KB182" s="2"/>
      <c r="KC182" s="2"/>
      <c r="KD182" s="2"/>
      <c r="KE182" s="2"/>
      <c r="KF182" s="2"/>
      <c r="KG182" s="2"/>
      <c r="KH182" s="2"/>
      <c r="KI182" s="2"/>
      <c r="KJ182" s="2"/>
      <c r="KK182" s="2"/>
      <c r="KL182" s="2"/>
      <c r="KM182" s="2"/>
      <c r="KN182" s="2"/>
      <c r="KO182" s="2"/>
      <c r="KP182" s="2"/>
      <c r="KQ182" s="2"/>
      <c r="KR182" s="2"/>
      <c r="KS182" s="2"/>
      <c r="KT182" s="2"/>
      <c r="KU182" s="2"/>
      <c r="KV182" s="2"/>
      <c r="KW182" s="2"/>
      <c r="KX182" s="2"/>
      <c r="KY182" s="2"/>
      <c r="KZ182" s="2"/>
      <c r="LA182" s="2"/>
      <c r="LB182" s="2"/>
      <c r="LC182" s="2"/>
      <c r="LD182" s="2"/>
      <c r="LE182" s="2"/>
      <c r="LF182" s="2"/>
      <c r="LG182" s="2"/>
      <c r="LH182" s="2"/>
      <c r="LI182" s="2"/>
      <c r="LJ182" s="2"/>
      <c r="LK182" s="2"/>
      <c r="LL182" s="2"/>
      <c r="LM182" s="2"/>
      <c r="LN182" s="2"/>
      <c r="LO182" s="2"/>
      <c r="LP182" s="2"/>
      <c r="LQ182" s="2"/>
      <c r="LR182" s="2"/>
      <c r="LS182" s="2"/>
      <c r="LT182" s="2"/>
      <c r="LU182" s="2"/>
      <c r="LV182" s="2"/>
      <c r="LW182" s="2"/>
      <c r="LX182" s="2"/>
      <c r="LY182" s="2"/>
      <c r="LZ182" s="2"/>
      <c r="MA182" s="2"/>
      <c r="MB182" s="2"/>
      <c r="MC182" s="2"/>
      <c r="MD182" s="2"/>
      <c r="ME182" s="2"/>
      <c r="MF182" s="2"/>
      <c r="MG182" s="2"/>
      <c r="MH182" s="2"/>
      <c r="MI182" s="2"/>
      <c r="MJ182" s="2"/>
      <c r="MK182" s="2"/>
      <c r="ML182" s="2"/>
      <c r="MM182" s="2"/>
      <c r="MN182" s="2"/>
      <c r="MO182" s="2"/>
      <c r="MP182" s="2"/>
      <c r="MQ182" s="2"/>
      <c r="MR182" s="2"/>
      <c r="MS182" s="2"/>
      <c r="MT182" s="2"/>
      <c r="MU182" s="2"/>
      <c r="MV182" s="2"/>
      <c r="MW182" s="2"/>
      <c r="MX182" s="2"/>
      <c r="MY182" s="2"/>
      <c r="MZ182" s="2"/>
      <c r="NA182" s="2"/>
      <c r="NB182" s="2"/>
      <c r="NC182" s="2"/>
      <c r="ND182" s="2"/>
      <c r="NE182" s="2"/>
      <c r="NF182" s="2"/>
      <c r="NG182" s="2"/>
      <c r="NH182" s="2"/>
      <c r="NI182" s="2"/>
      <c r="NJ182" s="2"/>
      <c r="NK182" s="2"/>
      <c r="NL182" s="2"/>
      <c r="NM182" s="2"/>
      <c r="NN182" s="2"/>
      <c r="NO182" s="2"/>
      <c r="NP182" s="2"/>
      <c r="NQ182" s="2"/>
      <c r="NR182" s="2"/>
      <c r="NS182" s="2"/>
      <c r="NT182" s="2"/>
      <c r="NU182" s="2"/>
      <c r="NV182" s="2"/>
      <c r="NW182" s="2"/>
      <c r="NX182" s="2"/>
      <c r="NY182" s="2"/>
      <c r="NZ182" s="2"/>
      <c r="OA182" s="2"/>
      <c r="OB182" s="2"/>
      <c r="OC182" s="2"/>
      <c r="OD182" s="2"/>
      <c r="OE182" s="2"/>
      <c r="OF182" s="2"/>
      <c r="OG182" s="2"/>
      <c r="OH182" s="2"/>
      <c r="OI182" s="2"/>
      <c r="OJ182" s="2"/>
      <c r="OK182" s="2"/>
      <c r="OL182" s="2"/>
      <c r="OM182" s="2"/>
      <c r="ON182" s="2"/>
      <c r="OO182" s="2"/>
      <c r="OP182" s="2"/>
      <c r="OQ182" s="2"/>
      <c r="OR182" s="2"/>
      <c r="OS182" s="2"/>
      <c r="OT182" s="2"/>
      <c r="OU182" s="2"/>
      <c r="OV182" s="2"/>
      <c r="OW182" s="2"/>
      <c r="OX182" s="2"/>
      <c r="OY182" s="2"/>
      <c r="OZ182" s="2"/>
      <c r="PA182" s="2"/>
      <c r="PB182" s="2"/>
      <c r="PC182" s="2"/>
      <c r="PD182" s="2"/>
      <c r="PE182" s="2"/>
      <c r="PF182" s="2"/>
      <c r="PG182" s="2"/>
      <c r="PH182" s="2"/>
      <c r="PI182" s="2"/>
      <c r="PJ182" s="2"/>
      <c r="PK182" s="2"/>
      <c r="PL182" s="2"/>
      <c r="PM182" s="2"/>
      <c r="PN182" s="2"/>
      <c r="PO182" s="2"/>
      <c r="PP182" s="2"/>
      <c r="PQ182" s="2"/>
      <c r="PR182" s="2"/>
      <c r="PS182" s="2"/>
      <c r="PT182" s="2"/>
      <c r="PU182" s="2"/>
      <c r="PV182" s="2"/>
      <c r="PW182" s="2"/>
      <c r="PX182" s="2"/>
      <c r="PY182" s="2"/>
      <c r="PZ182" s="2"/>
      <c r="QA182" s="2"/>
      <c r="QB182" s="2"/>
      <c r="QC182" s="2"/>
      <c r="QD182" s="2"/>
      <c r="QE182" s="2"/>
      <c r="QF182" s="2"/>
      <c r="QG182" s="2"/>
      <c r="QH182" s="2"/>
      <c r="QI182" s="2"/>
      <c r="QJ182" s="2"/>
      <c r="QK182" s="2"/>
      <c r="QL182" s="2"/>
      <c r="QM182" s="2"/>
      <c r="QN182" s="2"/>
      <c r="QO182" s="2"/>
      <c r="QP182" s="2"/>
      <c r="QQ182" s="2"/>
      <c r="QR182" s="2"/>
      <c r="QS182" s="2"/>
      <c r="QT182" s="2"/>
      <c r="QU182" s="2"/>
      <c r="QV182" s="2"/>
      <c r="QW182" s="2"/>
      <c r="QX182" s="2"/>
      <c r="QY182" s="2"/>
      <c r="QZ182" s="2"/>
      <c r="RA182" s="2"/>
      <c r="RB182" s="2"/>
      <c r="RC182" s="2"/>
      <c r="RD182" s="2"/>
      <c r="RE182" s="2"/>
      <c r="RF182" s="2"/>
      <c r="RG182" s="2"/>
      <c r="RH182" s="2"/>
      <c r="RI182" s="2"/>
      <c r="RJ182" s="2"/>
      <c r="RK182" s="2"/>
      <c r="RL182" s="2"/>
      <c r="RM182" s="2"/>
      <c r="RN182" s="2"/>
      <c r="RO182" s="2"/>
      <c r="RP182" s="2"/>
      <c r="RQ182" s="2"/>
      <c r="RR182" s="2"/>
      <c r="RS182" s="2"/>
      <c r="RT182" s="2"/>
      <c r="RU182" s="2"/>
      <c r="RV182" s="2"/>
      <c r="RW182" s="2"/>
      <c r="RX182" s="2"/>
      <c r="RY182" s="2"/>
      <c r="RZ182" s="2"/>
      <c r="SA182" s="2"/>
      <c r="SB182" s="2"/>
      <c r="SC182" s="2"/>
      <c r="SD182" s="2"/>
      <c r="SE182" s="2"/>
      <c r="SF182" s="2"/>
      <c r="SG182" s="2"/>
      <c r="SH182" s="2"/>
      <c r="SI182" s="2"/>
      <c r="SJ182" s="2"/>
      <c r="SK182" s="2"/>
      <c r="SL182" s="2"/>
      <c r="SM182" s="2"/>
      <c r="SN182" s="2"/>
      <c r="SO182" s="2"/>
      <c r="SP182" s="2"/>
      <c r="SQ182" s="2"/>
      <c r="SR182" s="2"/>
      <c r="SS182" s="2"/>
      <c r="ST182" s="2"/>
      <c r="SU182" s="2"/>
      <c r="SV182" s="2"/>
      <c r="SW182" s="2"/>
      <c r="SX182" s="2"/>
    </row>
    <row r="183" spans="33:518" x14ac:dyDescent="0.25"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  <c r="FK183" s="2"/>
      <c r="FL183" s="2"/>
      <c r="FM183" s="2"/>
      <c r="FN183" s="2"/>
      <c r="FO183" s="2"/>
      <c r="FP183" s="2"/>
      <c r="FQ183" s="2"/>
      <c r="FR183" s="2"/>
      <c r="FS183" s="2"/>
      <c r="FT183" s="2"/>
      <c r="FU183" s="2"/>
      <c r="FV183" s="2"/>
      <c r="FW183" s="2"/>
      <c r="FX183" s="2"/>
      <c r="FY183" s="2"/>
      <c r="FZ183" s="2"/>
      <c r="GA183" s="2"/>
      <c r="GB183" s="2"/>
      <c r="GC183" s="2"/>
      <c r="GD183" s="2"/>
      <c r="GE183" s="2"/>
      <c r="GF183" s="2"/>
      <c r="GG183" s="2"/>
      <c r="GH183" s="2"/>
      <c r="GI183" s="2"/>
      <c r="GJ183" s="2"/>
      <c r="GK183" s="2"/>
      <c r="GL183" s="2"/>
      <c r="GM183" s="2"/>
      <c r="GN183" s="2"/>
      <c r="GO183" s="2"/>
      <c r="GP183" s="2"/>
      <c r="GQ183" s="2"/>
      <c r="GR183" s="2"/>
      <c r="GS183" s="2"/>
      <c r="GT183" s="2"/>
      <c r="GU183" s="2"/>
      <c r="GV183" s="2"/>
      <c r="GW183" s="2"/>
      <c r="GX183" s="2"/>
      <c r="GY183" s="2"/>
      <c r="GZ183" s="2"/>
      <c r="HA183" s="2"/>
      <c r="HB183" s="2"/>
      <c r="HC183" s="2"/>
      <c r="HD183" s="2"/>
      <c r="HE183" s="2"/>
      <c r="HF183" s="2"/>
      <c r="HG183" s="2"/>
      <c r="HH183" s="2"/>
      <c r="HI183" s="2"/>
      <c r="HJ183" s="2"/>
      <c r="HK183" s="2"/>
      <c r="HL183" s="2"/>
      <c r="HM183" s="2"/>
      <c r="HN183" s="2"/>
      <c r="HO183" s="2"/>
      <c r="HP183" s="2"/>
      <c r="HQ183" s="2"/>
      <c r="HR183" s="2"/>
      <c r="HS183" s="2"/>
      <c r="HT183" s="2"/>
      <c r="HU183" s="2"/>
      <c r="HV183" s="2"/>
      <c r="HW183" s="2"/>
      <c r="HX183" s="2"/>
      <c r="HY183" s="2"/>
      <c r="HZ183" s="2"/>
      <c r="IA183" s="2"/>
      <c r="IB183" s="2"/>
      <c r="IC183" s="2"/>
      <c r="ID183" s="2"/>
      <c r="IE183" s="2"/>
      <c r="IF183" s="2"/>
      <c r="IG183" s="2"/>
      <c r="IH183" s="2"/>
      <c r="II183" s="2"/>
      <c r="IJ183" s="2"/>
      <c r="IK183" s="2"/>
      <c r="IL183" s="2"/>
      <c r="IM183" s="2"/>
      <c r="IN183" s="2"/>
      <c r="IO183" s="2"/>
      <c r="IP183" s="2"/>
      <c r="IQ183" s="2"/>
      <c r="IR183" s="2"/>
      <c r="IS183" s="2"/>
      <c r="IT183" s="2"/>
      <c r="IU183" s="2"/>
      <c r="IV183" s="2"/>
      <c r="IW183" s="2"/>
      <c r="IX183" s="2"/>
      <c r="IY183" s="2"/>
      <c r="IZ183" s="2"/>
      <c r="JA183" s="2"/>
      <c r="JB183" s="2"/>
      <c r="JC183" s="2"/>
      <c r="JD183" s="2"/>
      <c r="JE183" s="2"/>
      <c r="JF183" s="2"/>
      <c r="JG183" s="2"/>
      <c r="JH183" s="2"/>
      <c r="JI183" s="2"/>
      <c r="JJ183" s="2"/>
      <c r="JK183" s="2"/>
      <c r="JL183" s="2"/>
      <c r="JM183" s="2"/>
      <c r="JN183" s="2"/>
      <c r="JO183" s="2"/>
      <c r="JP183" s="2"/>
      <c r="JQ183" s="2"/>
      <c r="JR183" s="2"/>
      <c r="JS183" s="2"/>
      <c r="JT183" s="2"/>
      <c r="JU183" s="2"/>
      <c r="JV183" s="2"/>
      <c r="JW183" s="2"/>
      <c r="JX183" s="2"/>
      <c r="JY183" s="2"/>
      <c r="JZ183" s="2"/>
      <c r="KA183" s="2"/>
      <c r="KB183" s="2"/>
      <c r="KC183" s="2"/>
      <c r="KD183" s="2"/>
      <c r="KE183" s="2"/>
      <c r="KF183" s="2"/>
      <c r="KG183" s="2"/>
      <c r="KH183" s="2"/>
      <c r="KI183" s="2"/>
      <c r="KJ183" s="2"/>
      <c r="KK183" s="2"/>
      <c r="KL183" s="2"/>
      <c r="KM183" s="2"/>
      <c r="KN183" s="2"/>
      <c r="KO183" s="2"/>
      <c r="KP183" s="2"/>
      <c r="KQ183" s="2"/>
      <c r="KR183" s="2"/>
      <c r="KS183" s="2"/>
      <c r="KT183" s="2"/>
      <c r="KU183" s="2"/>
      <c r="KV183" s="2"/>
      <c r="KW183" s="2"/>
      <c r="KX183" s="2"/>
      <c r="KY183" s="2"/>
      <c r="KZ183" s="2"/>
      <c r="LA183" s="2"/>
      <c r="LB183" s="2"/>
      <c r="LC183" s="2"/>
      <c r="LD183" s="2"/>
      <c r="LE183" s="2"/>
      <c r="LF183" s="2"/>
      <c r="LG183" s="2"/>
      <c r="LH183" s="2"/>
      <c r="LI183" s="2"/>
      <c r="LJ183" s="2"/>
      <c r="LK183" s="2"/>
      <c r="LL183" s="2"/>
      <c r="LM183" s="2"/>
      <c r="LN183" s="2"/>
      <c r="LO183" s="2"/>
      <c r="LP183" s="2"/>
      <c r="LQ183" s="2"/>
      <c r="LR183" s="2"/>
      <c r="LS183" s="2"/>
      <c r="LT183" s="2"/>
      <c r="LU183" s="2"/>
      <c r="LV183" s="2"/>
      <c r="LW183" s="2"/>
      <c r="LX183" s="2"/>
      <c r="LY183" s="2"/>
      <c r="LZ183" s="2"/>
      <c r="MA183" s="2"/>
      <c r="MB183" s="2"/>
      <c r="MC183" s="2"/>
      <c r="MD183" s="2"/>
      <c r="ME183" s="2"/>
      <c r="MF183" s="2"/>
      <c r="MG183" s="2"/>
      <c r="MH183" s="2"/>
      <c r="MI183" s="2"/>
      <c r="MJ183" s="2"/>
      <c r="MK183" s="2"/>
      <c r="ML183" s="2"/>
      <c r="MM183" s="2"/>
      <c r="MN183" s="2"/>
      <c r="MO183" s="2"/>
      <c r="MP183" s="2"/>
      <c r="MQ183" s="2"/>
      <c r="MR183" s="2"/>
      <c r="MS183" s="2"/>
      <c r="MT183" s="2"/>
      <c r="MU183" s="2"/>
      <c r="MV183" s="2"/>
      <c r="MW183" s="2"/>
      <c r="MX183" s="2"/>
      <c r="MY183" s="2"/>
      <c r="MZ183" s="2"/>
      <c r="NA183" s="2"/>
      <c r="NB183" s="2"/>
      <c r="NC183" s="2"/>
      <c r="ND183" s="2"/>
      <c r="NE183" s="2"/>
      <c r="NF183" s="2"/>
      <c r="NG183" s="2"/>
      <c r="NH183" s="2"/>
      <c r="NI183" s="2"/>
      <c r="NJ183" s="2"/>
      <c r="NK183" s="2"/>
      <c r="NL183" s="2"/>
      <c r="NM183" s="2"/>
      <c r="NN183" s="2"/>
      <c r="NO183" s="2"/>
      <c r="NP183" s="2"/>
      <c r="NQ183" s="2"/>
      <c r="NR183" s="2"/>
      <c r="NS183" s="2"/>
      <c r="NT183" s="2"/>
      <c r="NU183" s="2"/>
      <c r="NV183" s="2"/>
      <c r="NW183" s="2"/>
      <c r="NX183" s="2"/>
      <c r="NY183" s="2"/>
      <c r="NZ183" s="2"/>
      <c r="OA183" s="2"/>
      <c r="OB183" s="2"/>
      <c r="OC183" s="2"/>
      <c r="OD183" s="2"/>
      <c r="OE183" s="2"/>
      <c r="OF183" s="2"/>
      <c r="OG183" s="2"/>
      <c r="OH183" s="2"/>
      <c r="OI183" s="2"/>
      <c r="OJ183" s="2"/>
      <c r="OK183" s="2"/>
      <c r="OL183" s="2"/>
      <c r="OM183" s="2"/>
      <c r="ON183" s="2"/>
      <c r="OO183" s="2"/>
      <c r="OP183" s="2"/>
      <c r="OQ183" s="2"/>
      <c r="OR183" s="2"/>
      <c r="OS183" s="2"/>
      <c r="OT183" s="2"/>
      <c r="OU183" s="2"/>
      <c r="OV183" s="2"/>
      <c r="OW183" s="2"/>
      <c r="OX183" s="2"/>
      <c r="OY183" s="2"/>
      <c r="OZ183" s="2"/>
      <c r="PA183" s="2"/>
      <c r="PB183" s="2"/>
      <c r="PC183" s="2"/>
      <c r="PD183" s="2"/>
      <c r="PE183" s="2"/>
      <c r="PF183" s="2"/>
      <c r="PG183" s="2"/>
      <c r="PH183" s="2"/>
      <c r="PI183" s="2"/>
      <c r="PJ183" s="2"/>
      <c r="PK183" s="2"/>
      <c r="PL183" s="2"/>
      <c r="PM183" s="2"/>
      <c r="PN183" s="2"/>
      <c r="PO183" s="2"/>
      <c r="PP183" s="2"/>
      <c r="PQ183" s="2"/>
      <c r="PR183" s="2"/>
      <c r="PS183" s="2"/>
      <c r="PT183" s="2"/>
      <c r="PU183" s="2"/>
      <c r="PV183" s="2"/>
      <c r="PW183" s="2"/>
      <c r="PX183" s="2"/>
      <c r="PY183" s="2"/>
      <c r="PZ183" s="2"/>
      <c r="QA183" s="2"/>
      <c r="QB183" s="2"/>
      <c r="QC183" s="2"/>
      <c r="QD183" s="2"/>
      <c r="QE183" s="2"/>
      <c r="QF183" s="2"/>
      <c r="QG183" s="2"/>
      <c r="QH183" s="2"/>
      <c r="QI183" s="2"/>
      <c r="QJ183" s="2"/>
      <c r="QK183" s="2"/>
      <c r="QL183" s="2"/>
      <c r="QM183" s="2"/>
      <c r="QN183" s="2"/>
      <c r="QO183" s="2"/>
      <c r="QP183" s="2"/>
      <c r="QQ183" s="2"/>
      <c r="QR183" s="2"/>
      <c r="QS183" s="2"/>
      <c r="QT183" s="2"/>
      <c r="QU183" s="2"/>
      <c r="QV183" s="2"/>
      <c r="QW183" s="2"/>
      <c r="QX183" s="2"/>
      <c r="QY183" s="2"/>
      <c r="QZ183" s="2"/>
      <c r="RA183" s="2"/>
      <c r="RB183" s="2"/>
      <c r="RC183" s="2"/>
      <c r="RD183" s="2"/>
      <c r="RE183" s="2"/>
      <c r="RF183" s="2"/>
      <c r="RG183" s="2"/>
      <c r="RH183" s="2"/>
      <c r="RI183" s="2"/>
      <c r="RJ183" s="2"/>
      <c r="RK183" s="2"/>
      <c r="RL183" s="2"/>
      <c r="RM183" s="2"/>
      <c r="RN183" s="2"/>
      <c r="RO183" s="2"/>
      <c r="RP183" s="2"/>
      <c r="RQ183" s="2"/>
      <c r="RR183" s="2"/>
      <c r="RS183" s="2"/>
      <c r="RT183" s="2"/>
      <c r="RU183" s="2"/>
      <c r="RV183" s="2"/>
      <c r="RW183" s="2"/>
      <c r="RX183" s="2"/>
      <c r="RY183" s="2"/>
      <c r="RZ183" s="2"/>
      <c r="SA183" s="2"/>
      <c r="SB183" s="2"/>
      <c r="SC183" s="2"/>
      <c r="SD183" s="2"/>
      <c r="SE183" s="2"/>
      <c r="SF183" s="2"/>
      <c r="SG183" s="2"/>
      <c r="SH183" s="2"/>
      <c r="SI183" s="2"/>
      <c r="SJ183" s="2"/>
      <c r="SK183" s="2"/>
      <c r="SL183" s="2"/>
      <c r="SM183" s="2"/>
      <c r="SN183" s="2"/>
      <c r="SO183" s="2"/>
      <c r="SP183" s="2"/>
      <c r="SQ183" s="2"/>
      <c r="SR183" s="2"/>
      <c r="SS183" s="2"/>
      <c r="ST183" s="2"/>
      <c r="SU183" s="2"/>
      <c r="SV183" s="2"/>
      <c r="SW183" s="2"/>
      <c r="SX183" s="2"/>
    </row>
    <row r="184" spans="33:518" x14ac:dyDescent="0.25"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  <c r="FK184" s="2"/>
      <c r="FL184" s="2"/>
      <c r="FM184" s="2"/>
      <c r="FN184" s="2"/>
      <c r="FO184" s="2"/>
      <c r="FP184" s="2"/>
      <c r="FQ184" s="2"/>
      <c r="FR184" s="2"/>
      <c r="FS184" s="2"/>
      <c r="FT184" s="2"/>
      <c r="FU184" s="2"/>
      <c r="FV184" s="2"/>
      <c r="FW184" s="2"/>
      <c r="FX184" s="2"/>
      <c r="FY184" s="2"/>
      <c r="FZ184" s="2"/>
      <c r="GA184" s="2"/>
      <c r="GB184" s="2"/>
      <c r="GC184" s="2"/>
      <c r="GD184" s="2"/>
      <c r="GE184" s="2"/>
      <c r="GF184" s="2"/>
      <c r="GG184" s="2"/>
      <c r="GH184" s="2"/>
      <c r="GI184" s="2"/>
      <c r="GJ184" s="2"/>
      <c r="GK184" s="2"/>
      <c r="GL184" s="2"/>
      <c r="GM184" s="2"/>
      <c r="GN184" s="2"/>
      <c r="GO184" s="2"/>
      <c r="GP184" s="2"/>
      <c r="GQ184" s="2"/>
      <c r="GR184" s="2"/>
      <c r="GS184" s="2"/>
      <c r="GT184" s="2"/>
      <c r="GU184" s="2"/>
      <c r="GV184" s="2"/>
      <c r="GW184" s="2"/>
      <c r="GX184" s="2"/>
      <c r="GY184" s="2"/>
      <c r="GZ184" s="2"/>
      <c r="HA184" s="2"/>
      <c r="HB184" s="2"/>
      <c r="HC184" s="2"/>
      <c r="HD184" s="2"/>
      <c r="HE184" s="2"/>
      <c r="HF184" s="2"/>
      <c r="HG184" s="2"/>
      <c r="HH184" s="2"/>
      <c r="HI184" s="2"/>
      <c r="HJ184" s="2"/>
      <c r="HK184" s="2"/>
      <c r="HL184" s="2"/>
      <c r="HM184" s="2"/>
      <c r="HN184" s="2"/>
      <c r="HO184" s="2"/>
      <c r="HP184" s="2"/>
      <c r="HQ184" s="2"/>
      <c r="HR184" s="2"/>
      <c r="HS184" s="2"/>
      <c r="HT184" s="2"/>
      <c r="HU184" s="2"/>
      <c r="HV184" s="2"/>
      <c r="HW184" s="2"/>
      <c r="HX184" s="2"/>
      <c r="HY184" s="2"/>
      <c r="HZ184" s="2"/>
      <c r="IA184" s="2"/>
      <c r="IB184" s="2"/>
      <c r="IC184" s="2"/>
      <c r="ID184" s="2"/>
      <c r="IE184" s="2"/>
      <c r="IF184" s="2"/>
      <c r="IG184" s="2"/>
      <c r="IH184" s="2"/>
      <c r="II184" s="2"/>
      <c r="IJ184" s="2"/>
      <c r="IK184" s="2"/>
      <c r="IL184" s="2"/>
      <c r="IM184" s="2"/>
      <c r="IN184" s="2"/>
      <c r="IO184" s="2"/>
      <c r="IP184" s="2"/>
      <c r="IQ184" s="2"/>
      <c r="IR184" s="2"/>
      <c r="IS184" s="2"/>
      <c r="IT184" s="2"/>
      <c r="IU184" s="2"/>
      <c r="IV184" s="2"/>
      <c r="IW184" s="2"/>
      <c r="IX184" s="2"/>
      <c r="IY184" s="2"/>
      <c r="IZ184" s="2"/>
      <c r="JA184" s="2"/>
      <c r="JB184" s="2"/>
      <c r="JC184" s="2"/>
      <c r="JD184" s="2"/>
      <c r="JE184" s="2"/>
      <c r="JF184" s="2"/>
      <c r="JG184" s="2"/>
      <c r="JH184" s="2"/>
      <c r="JI184" s="2"/>
      <c r="JJ184" s="2"/>
      <c r="JK184" s="2"/>
      <c r="JL184" s="2"/>
      <c r="JM184" s="2"/>
      <c r="JN184" s="2"/>
      <c r="JO184" s="2"/>
      <c r="JP184" s="2"/>
      <c r="JQ184" s="2"/>
      <c r="JR184" s="2"/>
      <c r="JS184" s="2"/>
      <c r="JT184" s="2"/>
      <c r="JU184" s="2"/>
      <c r="JV184" s="2"/>
      <c r="JW184" s="2"/>
      <c r="JX184" s="2"/>
      <c r="JY184" s="2"/>
      <c r="JZ184" s="2"/>
      <c r="KA184" s="2"/>
      <c r="KB184" s="2"/>
      <c r="KC184" s="2"/>
      <c r="KD184" s="2"/>
      <c r="KE184" s="2"/>
      <c r="KF184" s="2"/>
      <c r="KG184" s="2"/>
      <c r="KH184" s="2"/>
      <c r="KI184" s="2"/>
      <c r="KJ184" s="2"/>
      <c r="KK184" s="2"/>
      <c r="KL184" s="2"/>
      <c r="KM184" s="2"/>
      <c r="KN184" s="2"/>
      <c r="KO184" s="2"/>
      <c r="KP184" s="2"/>
      <c r="KQ184" s="2"/>
      <c r="KR184" s="2"/>
      <c r="KS184" s="2"/>
      <c r="KT184" s="2"/>
      <c r="KU184" s="2"/>
      <c r="KV184" s="2"/>
      <c r="KW184" s="2"/>
      <c r="KX184" s="2"/>
      <c r="KY184" s="2"/>
      <c r="KZ184" s="2"/>
      <c r="LA184" s="2"/>
      <c r="LB184" s="2"/>
      <c r="LC184" s="2"/>
      <c r="LD184" s="2"/>
      <c r="LE184" s="2"/>
      <c r="LF184" s="2"/>
      <c r="LG184" s="2"/>
      <c r="LH184" s="2"/>
      <c r="LI184" s="2"/>
      <c r="LJ184" s="2"/>
      <c r="LK184" s="2"/>
      <c r="LL184" s="2"/>
      <c r="LM184" s="2"/>
      <c r="LN184" s="2"/>
      <c r="LO184" s="2"/>
      <c r="LP184" s="2"/>
      <c r="LQ184" s="2"/>
      <c r="LR184" s="2"/>
      <c r="LS184" s="2"/>
      <c r="LT184" s="2"/>
      <c r="LU184" s="2"/>
      <c r="LV184" s="2"/>
      <c r="LW184" s="2"/>
      <c r="LX184" s="2"/>
      <c r="LY184" s="2"/>
      <c r="LZ184" s="2"/>
      <c r="MA184" s="2"/>
      <c r="MB184" s="2"/>
      <c r="MC184" s="2"/>
      <c r="MD184" s="2"/>
      <c r="ME184" s="2"/>
      <c r="MF184" s="2"/>
      <c r="MG184" s="2"/>
      <c r="MH184" s="2"/>
      <c r="MI184" s="2"/>
      <c r="MJ184" s="2"/>
      <c r="MK184" s="2"/>
      <c r="ML184" s="2"/>
      <c r="MM184" s="2"/>
      <c r="MN184" s="2"/>
      <c r="MO184" s="2"/>
      <c r="MP184" s="2"/>
      <c r="MQ184" s="2"/>
      <c r="MR184" s="2"/>
      <c r="MS184" s="2"/>
      <c r="MT184" s="2"/>
      <c r="MU184" s="2"/>
      <c r="MV184" s="2"/>
      <c r="MW184" s="2"/>
      <c r="MX184" s="2"/>
      <c r="MY184" s="2"/>
      <c r="MZ184" s="2"/>
      <c r="NA184" s="2"/>
      <c r="NB184" s="2"/>
      <c r="NC184" s="2"/>
      <c r="ND184" s="2"/>
      <c r="NE184" s="2"/>
      <c r="NF184" s="2"/>
      <c r="NG184" s="2"/>
      <c r="NH184" s="2"/>
      <c r="NI184" s="2"/>
      <c r="NJ184" s="2"/>
      <c r="NK184" s="2"/>
      <c r="NL184" s="2"/>
      <c r="NM184" s="2"/>
      <c r="NN184" s="2"/>
      <c r="NO184" s="2"/>
      <c r="NP184" s="2"/>
      <c r="NQ184" s="2"/>
      <c r="NR184" s="2"/>
      <c r="NS184" s="2"/>
      <c r="NT184" s="2"/>
      <c r="NU184" s="2"/>
      <c r="NV184" s="2"/>
      <c r="NW184" s="2"/>
      <c r="NX184" s="2"/>
      <c r="NY184" s="2"/>
      <c r="NZ184" s="2"/>
      <c r="OA184" s="2"/>
      <c r="OB184" s="2"/>
      <c r="OC184" s="2"/>
      <c r="OD184" s="2"/>
      <c r="OE184" s="2"/>
      <c r="OF184" s="2"/>
      <c r="OG184" s="2"/>
      <c r="OH184" s="2"/>
      <c r="OI184" s="2"/>
      <c r="OJ184" s="2"/>
      <c r="OK184" s="2"/>
      <c r="OL184" s="2"/>
      <c r="OM184" s="2"/>
      <c r="ON184" s="2"/>
      <c r="OO184" s="2"/>
      <c r="OP184" s="2"/>
      <c r="OQ184" s="2"/>
      <c r="OR184" s="2"/>
      <c r="OS184" s="2"/>
      <c r="OT184" s="2"/>
      <c r="OU184" s="2"/>
      <c r="OV184" s="2"/>
      <c r="OW184" s="2"/>
      <c r="OX184" s="2"/>
      <c r="OY184" s="2"/>
      <c r="OZ184" s="2"/>
      <c r="PA184" s="2"/>
      <c r="PB184" s="2"/>
      <c r="PC184" s="2"/>
      <c r="PD184" s="2"/>
      <c r="PE184" s="2"/>
      <c r="PF184" s="2"/>
      <c r="PG184" s="2"/>
      <c r="PH184" s="2"/>
      <c r="PI184" s="2"/>
      <c r="PJ184" s="2"/>
      <c r="PK184" s="2"/>
      <c r="PL184" s="2"/>
      <c r="PM184" s="2"/>
      <c r="PN184" s="2"/>
      <c r="PO184" s="2"/>
      <c r="PP184" s="2"/>
      <c r="PQ184" s="2"/>
      <c r="PR184" s="2"/>
      <c r="PS184" s="2"/>
      <c r="PT184" s="2"/>
      <c r="PU184" s="2"/>
      <c r="PV184" s="2"/>
      <c r="PW184" s="2"/>
      <c r="PX184" s="2"/>
      <c r="PY184" s="2"/>
      <c r="PZ184" s="2"/>
      <c r="QA184" s="2"/>
      <c r="QB184" s="2"/>
      <c r="QC184" s="2"/>
      <c r="QD184" s="2"/>
      <c r="QE184" s="2"/>
      <c r="QF184" s="2"/>
      <c r="QG184" s="2"/>
      <c r="QH184" s="2"/>
      <c r="QI184" s="2"/>
      <c r="QJ184" s="2"/>
      <c r="QK184" s="2"/>
      <c r="QL184" s="2"/>
      <c r="QM184" s="2"/>
      <c r="QN184" s="2"/>
      <c r="QO184" s="2"/>
      <c r="QP184" s="2"/>
      <c r="QQ184" s="2"/>
      <c r="QR184" s="2"/>
      <c r="QS184" s="2"/>
      <c r="QT184" s="2"/>
      <c r="QU184" s="2"/>
      <c r="QV184" s="2"/>
      <c r="QW184" s="2"/>
      <c r="QX184" s="2"/>
      <c r="QY184" s="2"/>
      <c r="QZ184" s="2"/>
      <c r="RA184" s="2"/>
      <c r="RB184" s="2"/>
      <c r="RC184" s="2"/>
      <c r="RD184" s="2"/>
      <c r="RE184" s="2"/>
      <c r="RF184" s="2"/>
      <c r="RG184" s="2"/>
      <c r="RH184" s="2"/>
      <c r="RI184" s="2"/>
      <c r="RJ184" s="2"/>
      <c r="RK184" s="2"/>
      <c r="RL184" s="2"/>
      <c r="RM184" s="2"/>
      <c r="RN184" s="2"/>
      <c r="RO184" s="2"/>
      <c r="RP184" s="2"/>
      <c r="RQ184" s="2"/>
      <c r="RR184" s="2"/>
      <c r="RS184" s="2"/>
      <c r="RT184" s="2"/>
      <c r="RU184" s="2"/>
      <c r="RV184" s="2"/>
      <c r="RW184" s="2"/>
      <c r="RX184" s="2"/>
      <c r="RY184" s="2"/>
      <c r="RZ184" s="2"/>
      <c r="SA184" s="2"/>
      <c r="SB184" s="2"/>
      <c r="SC184" s="2"/>
      <c r="SD184" s="2"/>
      <c r="SE184" s="2"/>
      <c r="SF184" s="2"/>
      <c r="SG184" s="2"/>
      <c r="SH184" s="2"/>
      <c r="SI184" s="2"/>
      <c r="SJ184" s="2"/>
      <c r="SK184" s="2"/>
      <c r="SL184" s="2"/>
      <c r="SM184" s="2"/>
      <c r="SN184" s="2"/>
      <c r="SO184" s="2"/>
      <c r="SP184" s="2"/>
      <c r="SQ184" s="2"/>
      <c r="SR184" s="2"/>
      <c r="SS184" s="2"/>
      <c r="ST184" s="2"/>
      <c r="SU184" s="2"/>
      <c r="SV184" s="2"/>
      <c r="SW184" s="2"/>
      <c r="SX184" s="2"/>
    </row>
    <row r="185" spans="33:518" x14ac:dyDescent="0.25"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  <c r="FK185" s="2"/>
      <c r="FL185" s="2"/>
      <c r="FM185" s="2"/>
      <c r="FN185" s="2"/>
      <c r="FO185" s="2"/>
      <c r="FP185" s="2"/>
      <c r="FQ185" s="2"/>
      <c r="FR185" s="2"/>
      <c r="FS185" s="2"/>
      <c r="FT185" s="2"/>
      <c r="FU185" s="2"/>
      <c r="FV185" s="2"/>
      <c r="FW185" s="2"/>
      <c r="FX185" s="2"/>
      <c r="FY185" s="2"/>
      <c r="FZ185" s="2"/>
      <c r="GA185" s="2"/>
      <c r="GB185" s="2"/>
      <c r="GC185" s="2"/>
      <c r="GD185" s="2"/>
      <c r="GE185" s="2"/>
      <c r="GF185" s="2"/>
      <c r="GG185" s="2"/>
      <c r="GH185" s="2"/>
      <c r="GI185" s="2"/>
      <c r="GJ185" s="2"/>
      <c r="GK185" s="2"/>
      <c r="GL185" s="2"/>
      <c r="GM185" s="2"/>
      <c r="GN185" s="2"/>
      <c r="GO185" s="2"/>
      <c r="GP185" s="2"/>
      <c r="GQ185" s="2"/>
      <c r="GR185" s="2"/>
      <c r="GS185" s="2"/>
      <c r="GT185" s="2"/>
      <c r="GU185" s="2"/>
      <c r="GV185" s="2"/>
      <c r="GW185" s="2"/>
      <c r="GX185" s="2"/>
      <c r="GY185" s="2"/>
      <c r="GZ185" s="2"/>
      <c r="HA185" s="2"/>
      <c r="HB185" s="2"/>
      <c r="HC185" s="2"/>
      <c r="HD185" s="2"/>
      <c r="HE185" s="2"/>
      <c r="HF185" s="2"/>
      <c r="HG185" s="2"/>
      <c r="HH185" s="2"/>
      <c r="HI185" s="2"/>
      <c r="HJ185" s="2"/>
      <c r="HK185" s="2"/>
      <c r="HL185" s="2"/>
      <c r="HM185" s="2"/>
      <c r="HN185" s="2"/>
      <c r="HO185" s="2"/>
      <c r="HP185" s="2"/>
      <c r="HQ185" s="2"/>
      <c r="HR185" s="2"/>
      <c r="HS185" s="2"/>
      <c r="HT185" s="2"/>
      <c r="HU185" s="2"/>
      <c r="HV185" s="2"/>
      <c r="HW185" s="2"/>
      <c r="HX185" s="2"/>
      <c r="HY185" s="2"/>
      <c r="HZ185" s="2"/>
      <c r="IA185" s="2"/>
      <c r="IB185" s="2"/>
      <c r="IC185" s="2"/>
      <c r="ID185" s="2"/>
      <c r="IE185" s="2"/>
      <c r="IF185" s="2"/>
      <c r="IG185" s="2"/>
      <c r="IH185" s="2"/>
      <c r="II185" s="2"/>
      <c r="IJ185" s="2"/>
      <c r="IK185" s="2"/>
      <c r="IL185" s="2"/>
      <c r="IM185" s="2"/>
      <c r="IN185" s="2"/>
      <c r="IO185" s="2"/>
      <c r="IP185" s="2"/>
      <c r="IQ185" s="2"/>
      <c r="IR185" s="2"/>
      <c r="IS185" s="2"/>
      <c r="IT185" s="2"/>
      <c r="IU185" s="2"/>
      <c r="IV185" s="2"/>
      <c r="IW185" s="2"/>
      <c r="IX185" s="2"/>
      <c r="IY185" s="2"/>
      <c r="IZ185" s="2"/>
      <c r="JA185" s="2"/>
      <c r="JB185" s="2"/>
      <c r="JC185" s="2"/>
      <c r="JD185" s="2"/>
      <c r="JE185" s="2"/>
      <c r="JF185" s="2"/>
      <c r="JG185" s="2"/>
      <c r="JH185" s="2"/>
      <c r="JI185" s="2"/>
      <c r="JJ185" s="2"/>
      <c r="JK185" s="2"/>
      <c r="JL185" s="2"/>
      <c r="JM185" s="2"/>
      <c r="JN185" s="2"/>
      <c r="JO185" s="2"/>
      <c r="JP185" s="2"/>
      <c r="JQ185" s="2"/>
      <c r="JR185" s="2"/>
      <c r="JS185" s="2"/>
      <c r="JT185" s="2"/>
      <c r="JU185" s="2"/>
      <c r="JV185" s="2"/>
      <c r="JW185" s="2"/>
      <c r="JX185" s="2"/>
      <c r="JY185" s="2"/>
      <c r="JZ185" s="2"/>
      <c r="KA185" s="2"/>
      <c r="KB185" s="2"/>
      <c r="KC185" s="2"/>
      <c r="KD185" s="2"/>
      <c r="KE185" s="2"/>
      <c r="KF185" s="2"/>
      <c r="KG185" s="2"/>
      <c r="KH185" s="2"/>
      <c r="KI185" s="2"/>
      <c r="KJ185" s="2"/>
      <c r="KK185" s="2"/>
      <c r="KL185" s="2"/>
      <c r="KM185" s="2"/>
      <c r="KN185" s="2"/>
      <c r="KO185" s="2"/>
      <c r="KP185" s="2"/>
      <c r="KQ185" s="2"/>
      <c r="KR185" s="2"/>
      <c r="KS185" s="2"/>
      <c r="KT185" s="2"/>
      <c r="KU185" s="2"/>
      <c r="KV185" s="2"/>
      <c r="KW185" s="2"/>
      <c r="KX185" s="2"/>
      <c r="KY185" s="2"/>
      <c r="KZ185" s="2"/>
      <c r="LA185" s="2"/>
      <c r="LB185" s="2"/>
      <c r="LC185" s="2"/>
      <c r="LD185" s="2"/>
      <c r="LE185" s="2"/>
      <c r="LF185" s="2"/>
      <c r="LG185" s="2"/>
      <c r="LH185" s="2"/>
      <c r="LI185" s="2"/>
      <c r="LJ185" s="2"/>
      <c r="LK185" s="2"/>
      <c r="LL185" s="2"/>
      <c r="LM185" s="2"/>
      <c r="LN185" s="2"/>
      <c r="LO185" s="2"/>
      <c r="LP185" s="2"/>
      <c r="LQ185" s="2"/>
      <c r="LR185" s="2"/>
      <c r="LS185" s="2"/>
      <c r="LT185" s="2"/>
      <c r="LU185" s="2"/>
      <c r="LV185" s="2"/>
      <c r="LW185" s="2"/>
      <c r="LX185" s="2"/>
      <c r="LY185" s="2"/>
      <c r="LZ185" s="2"/>
      <c r="MA185" s="2"/>
      <c r="MB185" s="2"/>
      <c r="MC185" s="2"/>
      <c r="MD185" s="2"/>
      <c r="ME185" s="2"/>
      <c r="MF185" s="2"/>
      <c r="MG185" s="2"/>
      <c r="MH185" s="2"/>
      <c r="MI185" s="2"/>
      <c r="MJ185" s="2"/>
      <c r="MK185" s="2"/>
      <c r="ML185" s="2"/>
      <c r="MM185" s="2"/>
      <c r="MN185" s="2"/>
      <c r="MO185" s="2"/>
      <c r="MP185" s="2"/>
      <c r="MQ185" s="2"/>
      <c r="MR185" s="2"/>
      <c r="MS185" s="2"/>
      <c r="MT185" s="2"/>
      <c r="MU185" s="2"/>
      <c r="MV185" s="2"/>
      <c r="MW185" s="2"/>
      <c r="MX185" s="2"/>
      <c r="MY185" s="2"/>
      <c r="MZ185" s="2"/>
      <c r="NA185" s="2"/>
      <c r="NB185" s="2"/>
      <c r="NC185" s="2"/>
      <c r="ND185" s="2"/>
      <c r="NE185" s="2"/>
      <c r="NF185" s="2"/>
      <c r="NG185" s="2"/>
      <c r="NH185" s="2"/>
      <c r="NI185" s="2"/>
      <c r="NJ185" s="2"/>
      <c r="NK185" s="2"/>
      <c r="NL185" s="2"/>
      <c r="NM185" s="2"/>
      <c r="NN185" s="2"/>
      <c r="NO185" s="2"/>
      <c r="NP185" s="2"/>
      <c r="NQ185" s="2"/>
      <c r="NR185" s="2"/>
      <c r="NS185" s="2"/>
      <c r="NT185" s="2"/>
      <c r="NU185" s="2"/>
      <c r="NV185" s="2"/>
      <c r="NW185" s="2"/>
      <c r="NX185" s="2"/>
      <c r="NY185" s="2"/>
      <c r="NZ185" s="2"/>
      <c r="OA185" s="2"/>
      <c r="OB185" s="2"/>
      <c r="OC185" s="2"/>
      <c r="OD185" s="2"/>
      <c r="OE185" s="2"/>
      <c r="OF185" s="2"/>
      <c r="OG185" s="2"/>
      <c r="OH185" s="2"/>
      <c r="OI185" s="2"/>
      <c r="OJ185" s="2"/>
      <c r="OK185" s="2"/>
      <c r="OL185" s="2"/>
      <c r="OM185" s="2"/>
      <c r="ON185" s="2"/>
      <c r="OO185" s="2"/>
      <c r="OP185" s="2"/>
      <c r="OQ185" s="2"/>
      <c r="OR185" s="2"/>
      <c r="OS185" s="2"/>
      <c r="OT185" s="2"/>
      <c r="OU185" s="2"/>
      <c r="OV185" s="2"/>
      <c r="OW185" s="2"/>
      <c r="OX185" s="2"/>
      <c r="OY185" s="2"/>
      <c r="OZ185" s="2"/>
      <c r="PA185" s="2"/>
      <c r="PB185" s="2"/>
      <c r="PC185" s="2"/>
      <c r="PD185" s="2"/>
      <c r="PE185" s="2"/>
      <c r="PF185" s="2"/>
      <c r="PG185" s="2"/>
      <c r="PH185" s="2"/>
      <c r="PI185" s="2"/>
      <c r="PJ185" s="2"/>
      <c r="PK185" s="2"/>
      <c r="PL185" s="2"/>
      <c r="PM185" s="2"/>
      <c r="PN185" s="2"/>
      <c r="PO185" s="2"/>
      <c r="PP185" s="2"/>
      <c r="PQ185" s="2"/>
      <c r="PR185" s="2"/>
      <c r="PS185" s="2"/>
      <c r="PT185" s="2"/>
      <c r="PU185" s="2"/>
      <c r="PV185" s="2"/>
      <c r="PW185" s="2"/>
      <c r="PX185" s="2"/>
      <c r="PY185" s="2"/>
      <c r="PZ185" s="2"/>
      <c r="QA185" s="2"/>
      <c r="QB185" s="2"/>
      <c r="QC185" s="2"/>
      <c r="QD185" s="2"/>
      <c r="QE185" s="2"/>
      <c r="QF185" s="2"/>
      <c r="QG185" s="2"/>
      <c r="QH185" s="2"/>
      <c r="QI185" s="2"/>
      <c r="QJ185" s="2"/>
      <c r="QK185" s="2"/>
      <c r="QL185" s="2"/>
      <c r="QM185" s="2"/>
      <c r="QN185" s="2"/>
      <c r="QO185" s="2"/>
      <c r="QP185" s="2"/>
      <c r="QQ185" s="2"/>
      <c r="QR185" s="2"/>
      <c r="QS185" s="2"/>
      <c r="QT185" s="2"/>
      <c r="QU185" s="2"/>
      <c r="QV185" s="2"/>
      <c r="QW185" s="2"/>
      <c r="QX185" s="2"/>
      <c r="QY185" s="2"/>
      <c r="QZ185" s="2"/>
      <c r="RA185" s="2"/>
      <c r="RB185" s="2"/>
      <c r="RC185" s="2"/>
      <c r="RD185" s="2"/>
      <c r="RE185" s="2"/>
      <c r="RF185" s="2"/>
      <c r="RG185" s="2"/>
      <c r="RH185" s="2"/>
      <c r="RI185" s="2"/>
      <c r="RJ185" s="2"/>
      <c r="RK185" s="2"/>
      <c r="RL185" s="2"/>
      <c r="RM185" s="2"/>
      <c r="RN185" s="2"/>
      <c r="RO185" s="2"/>
      <c r="RP185" s="2"/>
      <c r="RQ185" s="2"/>
      <c r="RR185" s="2"/>
      <c r="RS185" s="2"/>
      <c r="RT185" s="2"/>
      <c r="RU185" s="2"/>
      <c r="RV185" s="2"/>
      <c r="RW185" s="2"/>
      <c r="RX185" s="2"/>
      <c r="RY185" s="2"/>
      <c r="RZ185" s="2"/>
      <c r="SA185" s="2"/>
      <c r="SB185" s="2"/>
      <c r="SC185" s="2"/>
      <c r="SD185" s="2"/>
      <c r="SE185" s="2"/>
      <c r="SF185" s="2"/>
      <c r="SG185" s="2"/>
      <c r="SH185" s="2"/>
      <c r="SI185" s="2"/>
      <c r="SJ185" s="2"/>
      <c r="SK185" s="2"/>
      <c r="SL185" s="2"/>
      <c r="SM185" s="2"/>
      <c r="SN185" s="2"/>
      <c r="SO185" s="2"/>
      <c r="SP185" s="2"/>
      <c r="SQ185" s="2"/>
      <c r="SR185" s="2"/>
      <c r="SS185" s="2"/>
      <c r="ST185" s="2"/>
      <c r="SU185" s="2"/>
      <c r="SV185" s="2"/>
      <c r="SW185" s="2"/>
      <c r="SX185" s="2"/>
    </row>
    <row r="186" spans="33:518" x14ac:dyDescent="0.25"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  <c r="FK186" s="2"/>
      <c r="FL186" s="2"/>
      <c r="FM186" s="2"/>
      <c r="FN186" s="2"/>
      <c r="FO186" s="2"/>
      <c r="FP186" s="2"/>
      <c r="FQ186" s="2"/>
      <c r="FR186" s="2"/>
      <c r="FS186" s="2"/>
      <c r="FT186" s="2"/>
      <c r="FU186" s="2"/>
      <c r="FV186" s="2"/>
      <c r="FW186" s="2"/>
      <c r="FX186" s="2"/>
      <c r="FY186" s="2"/>
      <c r="FZ186" s="2"/>
      <c r="GA186" s="2"/>
      <c r="GB186" s="2"/>
      <c r="GC186" s="2"/>
      <c r="GD186" s="2"/>
      <c r="GE186" s="2"/>
      <c r="GF186" s="2"/>
      <c r="GG186" s="2"/>
      <c r="GH186" s="2"/>
      <c r="GI186" s="2"/>
      <c r="GJ186" s="2"/>
      <c r="GK186" s="2"/>
      <c r="GL186" s="2"/>
      <c r="GM186" s="2"/>
      <c r="GN186" s="2"/>
      <c r="GO186" s="2"/>
      <c r="GP186" s="2"/>
      <c r="GQ186" s="2"/>
      <c r="GR186" s="2"/>
      <c r="GS186" s="2"/>
      <c r="GT186" s="2"/>
      <c r="GU186" s="2"/>
      <c r="GV186" s="2"/>
      <c r="GW186" s="2"/>
      <c r="GX186" s="2"/>
      <c r="GY186" s="2"/>
      <c r="GZ186" s="2"/>
      <c r="HA186" s="2"/>
      <c r="HB186" s="2"/>
      <c r="HC186" s="2"/>
      <c r="HD186" s="2"/>
      <c r="HE186" s="2"/>
      <c r="HF186" s="2"/>
      <c r="HG186" s="2"/>
      <c r="HH186" s="2"/>
      <c r="HI186" s="2"/>
      <c r="HJ186" s="2"/>
      <c r="HK186" s="2"/>
      <c r="HL186" s="2"/>
      <c r="HM186" s="2"/>
      <c r="HN186" s="2"/>
      <c r="HO186" s="2"/>
      <c r="HP186" s="2"/>
      <c r="HQ186" s="2"/>
      <c r="HR186" s="2"/>
      <c r="HS186" s="2"/>
      <c r="HT186" s="2"/>
      <c r="HU186" s="2"/>
      <c r="HV186" s="2"/>
      <c r="HW186" s="2"/>
      <c r="HX186" s="2"/>
      <c r="HY186" s="2"/>
      <c r="HZ186" s="2"/>
      <c r="IA186" s="2"/>
      <c r="IB186" s="2"/>
      <c r="IC186" s="2"/>
      <c r="ID186" s="2"/>
      <c r="IE186" s="2"/>
      <c r="IF186" s="2"/>
      <c r="IG186" s="2"/>
      <c r="IH186" s="2"/>
      <c r="II186" s="2"/>
      <c r="IJ186" s="2"/>
      <c r="IK186" s="2"/>
      <c r="IL186" s="2"/>
      <c r="IM186" s="2"/>
      <c r="IN186" s="2"/>
      <c r="IO186" s="2"/>
      <c r="IP186" s="2"/>
      <c r="IQ186" s="2"/>
      <c r="IR186" s="2"/>
      <c r="IS186" s="2"/>
      <c r="IT186" s="2"/>
      <c r="IU186" s="2"/>
      <c r="IV186" s="2"/>
      <c r="IW186" s="2"/>
      <c r="IX186" s="2"/>
      <c r="IY186" s="2"/>
      <c r="IZ186" s="2"/>
      <c r="JA186" s="2"/>
      <c r="JB186" s="2"/>
      <c r="JC186" s="2"/>
      <c r="JD186" s="2"/>
      <c r="JE186" s="2"/>
      <c r="JF186" s="2"/>
      <c r="JG186" s="2"/>
      <c r="JH186" s="2"/>
      <c r="JI186" s="2"/>
      <c r="JJ186" s="2"/>
      <c r="JK186" s="2"/>
      <c r="JL186" s="2"/>
      <c r="JM186" s="2"/>
      <c r="JN186" s="2"/>
      <c r="JO186" s="2"/>
      <c r="JP186" s="2"/>
      <c r="JQ186" s="2"/>
      <c r="JR186" s="2"/>
      <c r="JS186" s="2"/>
      <c r="JT186" s="2"/>
      <c r="JU186" s="2"/>
      <c r="JV186" s="2"/>
      <c r="JW186" s="2"/>
      <c r="JX186" s="2"/>
      <c r="JY186" s="2"/>
      <c r="JZ186" s="2"/>
      <c r="KA186" s="2"/>
      <c r="KB186" s="2"/>
      <c r="KC186" s="2"/>
      <c r="KD186" s="2"/>
      <c r="KE186" s="2"/>
      <c r="KF186" s="2"/>
      <c r="KG186" s="2"/>
      <c r="KH186" s="2"/>
      <c r="KI186" s="2"/>
      <c r="KJ186" s="2"/>
      <c r="KK186" s="2"/>
      <c r="KL186" s="2"/>
      <c r="KM186" s="2"/>
      <c r="KN186" s="2"/>
      <c r="KO186" s="2"/>
      <c r="KP186" s="2"/>
      <c r="KQ186" s="2"/>
      <c r="KR186" s="2"/>
      <c r="KS186" s="2"/>
      <c r="KT186" s="2"/>
      <c r="KU186" s="2"/>
      <c r="KV186" s="2"/>
      <c r="KW186" s="2"/>
      <c r="KX186" s="2"/>
      <c r="KY186" s="2"/>
      <c r="KZ186" s="2"/>
      <c r="LA186" s="2"/>
      <c r="LB186" s="2"/>
      <c r="LC186" s="2"/>
      <c r="LD186" s="2"/>
      <c r="LE186" s="2"/>
      <c r="LF186" s="2"/>
      <c r="LG186" s="2"/>
      <c r="LH186" s="2"/>
      <c r="LI186" s="2"/>
      <c r="LJ186" s="2"/>
      <c r="LK186" s="2"/>
      <c r="LL186" s="2"/>
      <c r="LM186" s="2"/>
      <c r="LN186" s="2"/>
      <c r="LO186" s="2"/>
      <c r="LP186" s="2"/>
      <c r="LQ186" s="2"/>
      <c r="LR186" s="2"/>
      <c r="LS186" s="2"/>
      <c r="LT186" s="2"/>
      <c r="LU186" s="2"/>
      <c r="LV186" s="2"/>
      <c r="LW186" s="2"/>
      <c r="LX186" s="2"/>
      <c r="LY186" s="2"/>
      <c r="LZ186" s="2"/>
      <c r="MA186" s="2"/>
      <c r="MB186" s="2"/>
      <c r="MC186" s="2"/>
      <c r="MD186" s="2"/>
      <c r="ME186" s="2"/>
      <c r="MF186" s="2"/>
      <c r="MG186" s="2"/>
      <c r="MH186" s="2"/>
      <c r="MI186" s="2"/>
      <c r="MJ186" s="2"/>
      <c r="MK186" s="2"/>
      <c r="ML186" s="2"/>
      <c r="MM186" s="2"/>
      <c r="MN186" s="2"/>
      <c r="MO186" s="2"/>
      <c r="MP186" s="2"/>
      <c r="MQ186" s="2"/>
      <c r="MR186" s="2"/>
      <c r="MS186" s="2"/>
      <c r="MT186" s="2"/>
      <c r="MU186" s="2"/>
      <c r="MV186" s="2"/>
      <c r="MW186" s="2"/>
      <c r="MX186" s="2"/>
      <c r="MY186" s="2"/>
      <c r="MZ186" s="2"/>
      <c r="NA186" s="2"/>
      <c r="NB186" s="2"/>
      <c r="NC186" s="2"/>
      <c r="ND186" s="2"/>
      <c r="NE186" s="2"/>
      <c r="NF186" s="2"/>
      <c r="NG186" s="2"/>
      <c r="NH186" s="2"/>
      <c r="NI186" s="2"/>
      <c r="NJ186" s="2"/>
      <c r="NK186" s="2"/>
      <c r="NL186" s="2"/>
      <c r="NM186" s="2"/>
      <c r="NN186" s="2"/>
      <c r="NO186" s="2"/>
      <c r="NP186" s="2"/>
      <c r="NQ186" s="2"/>
      <c r="NR186" s="2"/>
      <c r="NS186" s="2"/>
      <c r="NT186" s="2"/>
      <c r="NU186" s="2"/>
      <c r="NV186" s="2"/>
      <c r="NW186" s="2"/>
      <c r="NX186" s="2"/>
      <c r="NY186" s="2"/>
      <c r="NZ186" s="2"/>
      <c r="OA186" s="2"/>
      <c r="OB186" s="2"/>
      <c r="OC186" s="2"/>
      <c r="OD186" s="2"/>
      <c r="OE186" s="2"/>
      <c r="OF186" s="2"/>
      <c r="OG186" s="2"/>
      <c r="OH186" s="2"/>
      <c r="OI186" s="2"/>
      <c r="OJ186" s="2"/>
      <c r="OK186" s="2"/>
      <c r="OL186" s="2"/>
      <c r="OM186" s="2"/>
      <c r="ON186" s="2"/>
      <c r="OO186" s="2"/>
      <c r="OP186" s="2"/>
      <c r="OQ186" s="2"/>
      <c r="OR186" s="2"/>
      <c r="OS186" s="2"/>
      <c r="OT186" s="2"/>
      <c r="OU186" s="2"/>
      <c r="OV186" s="2"/>
      <c r="OW186" s="2"/>
      <c r="OX186" s="2"/>
      <c r="OY186" s="2"/>
      <c r="OZ186" s="2"/>
      <c r="PA186" s="2"/>
      <c r="PB186" s="2"/>
      <c r="PC186" s="2"/>
      <c r="PD186" s="2"/>
      <c r="PE186" s="2"/>
      <c r="PF186" s="2"/>
      <c r="PG186" s="2"/>
      <c r="PH186" s="2"/>
      <c r="PI186" s="2"/>
      <c r="PJ186" s="2"/>
      <c r="PK186" s="2"/>
      <c r="PL186" s="2"/>
      <c r="PM186" s="2"/>
      <c r="PN186" s="2"/>
      <c r="PO186" s="2"/>
      <c r="PP186" s="2"/>
      <c r="PQ186" s="2"/>
      <c r="PR186" s="2"/>
      <c r="PS186" s="2"/>
      <c r="PT186" s="2"/>
      <c r="PU186" s="2"/>
      <c r="PV186" s="2"/>
      <c r="PW186" s="2"/>
      <c r="PX186" s="2"/>
      <c r="PY186" s="2"/>
      <c r="PZ186" s="2"/>
      <c r="QA186" s="2"/>
      <c r="QB186" s="2"/>
      <c r="QC186" s="2"/>
      <c r="QD186" s="2"/>
      <c r="QE186" s="2"/>
      <c r="QF186" s="2"/>
      <c r="QG186" s="2"/>
      <c r="QH186" s="2"/>
      <c r="QI186" s="2"/>
      <c r="QJ186" s="2"/>
      <c r="QK186" s="2"/>
      <c r="QL186" s="2"/>
      <c r="QM186" s="2"/>
      <c r="QN186" s="2"/>
      <c r="QO186" s="2"/>
      <c r="QP186" s="2"/>
      <c r="QQ186" s="2"/>
      <c r="QR186" s="2"/>
      <c r="QS186" s="2"/>
      <c r="QT186" s="2"/>
      <c r="QU186" s="2"/>
      <c r="QV186" s="2"/>
      <c r="QW186" s="2"/>
      <c r="QX186" s="2"/>
      <c r="QY186" s="2"/>
      <c r="QZ186" s="2"/>
      <c r="RA186" s="2"/>
      <c r="RB186" s="2"/>
      <c r="RC186" s="2"/>
      <c r="RD186" s="2"/>
      <c r="RE186" s="2"/>
      <c r="RF186" s="2"/>
      <c r="RG186" s="2"/>
      <c r="RH186" s="2"/>
      <c r="RI186" s="2"/>
      <c r="RJ186" s="2"/>
      <c r="RK186" s="2"/>
      <c r="RL186" s="2"/>
      <c r="RM186" s="2"/>
      <c r="RN186" s="2"/>
      <c r="RO186" s="2"/>
      <c r="RP186" s="2"/>
      <c r="RQ186" s="2"/>
      <c r="RR186" s="2"/>
      <c r="RS186" s="2"/>
      <c r="RT186" s="2"/>
      <c r="RU186" s="2"/>
      <c r="RV186" s="2"/>
      <c r="RW186" s="2"/>
      <c r="RX186" s="2"/>
      <c r="RY186" s="2"/>
      <c r="RZ186" s="2"/>
      <c r="SA186" s="2"/>
      <c r="SB186" s="2"/>
      <c r="SC186" s="2"/>
      <c r="SD186" s="2"/>
      <c r="SE186" s="2"/>
      <c r="SF186" s="2"/>
      <c r="SG186" s="2"/>
      <c r="SH186" s="2"/>
      <c r="SI186" s="2"/>
      <c r="SJ186" s="2"/>
      <c r="SK186" s="2"/>
      <c r="SL186" s="2"/>
      <c r="SM186" s="2"/>
      <c r="SN186" s="2"/>
      <c r="SO186" s="2"/>
      <c r="SP186" s="2"/>
      <c r="SQ186" s="2"/>
      <c r="SR186" s="2"/>
      <c r="SS186" s="2"/>
      <c r="ST186" s="2"/>
      <c r="SU186" s="2"/>
      <c r="SV186" s="2"/>
      <c r="SW186" s="2"/>
      <c r="SX186" s="2"/>
    </row>
    <row r="187" spans="33:518" x14ac:dyDescent="0.25"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  <c r="FK187" s="2"/>
      <c r="FL187" s="2"/>
      <c r="FM187" s="2"/>
      <c r="FN187" s="2"/>
      <c r="FO187" s="2"/>
      <c r="FP187" s="2"/>
      <c r="FQ187" s="2"/>
      <c r="FR187" s="2"/>
      <c r="FS187" s="2"/>
      <c r="FT187" s="2"/>
      <c r="FU187" s="2"/>
      <c r="FV187" s="2"/>
      <c r="FW187" s="2"/>
      <c r="FX187" s="2"/>
      <c r="FY187" s="2"/>
      <c r="FZ187" s="2"/>
      <c r="GA187" s="2"/>
      <c r="GB187" s="2"/>
      <c r="GC187" s="2"/>
      <c r="GD187" s="2"/>
      <c r="GE187" s="2"/>
      <c r="GF187" s="2"/>
      <c r="GG187" s="2"/>
      <c r="GH187" s="2"/>
      <c r="GI187" s="2"/>
      <c r="GJ187" s="2"/>
      <c r="GK187" s="2"/>
      <c r="GL187" s="2"/>
      <c r="GM187" s="2"/>
      <c r="GN187" s="2"/>
      <c r="GO187" s="2"/>
      <c r="GP187" s="2"/>
      <c r="GQ187" s="2"/>
      <c r="GR187" s="2"/>
      <c r="GS187" s="2"/>
      <c r="GT187" s="2"/>
      <c r="GU187" s="2"/>
      <c r="GV187" s="2"/>
      <c r="GW187" s="2"/>
      <c r="GX187" s="2"/>
      <c r="GY187" s="2"/>
      <c r="GZ187" s="2"/>
      <c r="HA187" s="2"/>
      <c r="HB187" s="2"/>
      <c r="HC187" s="2"/>
      <c r="HD187" s="2"/>
      <c r="HE187" s="2"/>
      <c r="HF187" s="2"/>
      <c r="HG187" s="2"/>
      <c r="HH187" s="2"/>
      <c r="HI187" s="2"/>
      <c r="HJ187" s="2"/>
      <c r="HK187" s="2"/>
      <c r="HL187" s="2"/>
      <c r="HM187" s="2"/>
      <c r="HN187" s="2"/>
      <c r="HO187" s="2"/>
      <c r="HP187" s="2"/>
      <c r="HQ187" s="2"/>
      <c r="HR187" s="2"/>
      <c r="HS187" s="2"/>
      <c r="HT187" s="2"/>
      <c r="HU187" s="2"/>
      <c r="HV187" s="2"/>
      <c r="HW187" s="2"/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</row>
    <row r="188" spans="33:518" x14ac:dyDescent="0.25"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  <c r="FK188" s="2"/>
      <c r="FL188" s="2"/>
      <c r="FM188" s="2"/>
      <c r="FN188" s="2"/>
      <c r="FO188" s="2"/>
      <c r="FP188" s="2"/>
      <c r="FQ188" s="2"/>
      <c r="FR188" s="2"/>
      <c r="FS188" s="2"/>
      <c r="FT188" s="2"/>
      <c r="FU188" s="2"/>
      <c r="FV188" s="2"/>
      <c r="FW188" s="2"/>
      <c r="FX188" s="2"/>
      <c r="FY188" s="2"/>
      <c r="FZ188" s="2"/>
      <c r="GA188" s="2"/>
      <c r="GB188" s="2"/>
      <c r="GC188" s="2"/>
      <c r="GD188" s="2"/>
      <c r="GE188" s="2"/>
      <c r="GF188" s="2"/>
      <c r="GG188" s="2"/>
      <c r="GH188" s="2"/>
      <c r="GI188" s="2"/>
      <c r="GJ188" s="2"/>
      <c r="GK188" s="2"/>
      <c r="GL188" s="2"/>
      <c r="GM188" s="2"/>
      <c r="GN188" s="2"/>
      <c r="GO188" s="2"/>
      <c r="GP188" s="2"/>
      <c r="GQ188" s="2"/>
      <c r="GR188" s="2"/>
      <c r="GS188" s="2"/>
      <c r="GT188" s="2"/>
      <c r="GU188" s="2"/>
      <c r="GV188" s="2"/>
      <c r="GW188" s="2"/>
      <c r="GX188" s="2"/>
      <c r="GY188" s="2"/>
      <c r="GZ188" s="2"/>
      <c r="HA188" s="2"/>
      <c r="HB188" s="2"/>
      <c r="HC188" s="2"/>
      <c r="HD188" s="2"/>
      <c r="HE188" s="2"/>
      <c r="HF188" s="2"/>
      <c r="HG188" s="2"/>
      <c r="HH188" s="2"/>
      <c r="HI188" s="2"/>
      <c r="HJ188" s="2"/>
      <c r="HK188" s="2"/>
      <c r="HL188" s="2"/>
      <c r="HM188" s="2"/>
      <c r="HN188" s="2"/>
      <c r="HO188" s="2"/>
      <c r="HP188" s="2"/>
      <c r="HQ188" s="2"/>
      <c r="HR188" s="2"/>
      <c r="HS188" s="2"/>
      <c r="HT188" s="2"/>
      <c r="HU188" s="2"/>
      <c r="HV188" s="2"/>
      <c r="HW188" s="2"/>
      <c r="HX188" s="2"/>
      <c r="HY188" s="2"/>
      <c r="HZ188" s="2"/>
      <c r="IA188" s="2"/>
      <c r="IB188" s="2"/>
      <c r="IC188" s="2"/>
      <c r="ID188" s="2"/>
      <c r="IE188" s="2"/>
      <c r="IF188" s="2"/>
      <c r="IG188" s="2"/>
      <c r="IH188" s="2"/>
      <c r="II188" s="2"/>
      <c r="IJ188" s="2"/>
      <c r="IK188" s="2"/>
      <c r="IL188" s="2"/>
      <c r="IM188" s="2"/>
      <c r="IN188" s="2"/>
      <c r="IO188" s="2"/>
      <c r="IP188" s="2"/>
      <c r="IQ188" s="2"/>
      <c r="IR188" s="2"/>
      <c r="IS188" s="2"/>
      <c r="IT188" s="2"/>
      <c r="IU188" s="2"/>
      <c r="IV188" s="2"/>
      <c r="IW188" s="2"/>
      <c r="IX188" s="2"/>
      <c r="IY188" s="2"/>
      <c r="IZ188" s="2"/>
      <c r="JA188" s="2"/>
      <c r="JB188" s="2"/>
      <c r="JC188" s="2"/>
      <c r="JD188" s="2"/>
      <c r="JE188" s="2"/>
      <c r="JF188" s="2"/>
      <c r="JG188" s="2"/>
      <c r="JH188" s="2"/>
      <c r="JI188" s="2"/>
      <c r="JJ188" s="2"/>
      <c r="JK188" s="2"/>
      <c r="JL188" s="2"/>
      <c r="JM188" s="2"/>
      <c r="JN188" s="2"/>
      <c r="JO188" s="2"/>
      <c r="JP188" s="2"/>
      <c r="JQ188" s="2"/>
      <c r="JR188" s="2"/>
      <c r="JS188" s="2"/>
      <c r="JT188" s="2"/>
      <c r="JU188" s="2"/>
      <c r="JV188" s="2"/>
      <c r="JW188" s="2"/>
      <c r="JX188" s="2"/>
      <c r="JY188" s="2"/>
      <c r="JZ188" s="2"/>
      <c r="KA188" s="2"/>
      <c r="KB188" s="2"/>
      <c r="KC188" s="2"/>
      <c r="KD188" s="2"/>
      <c r="KE188" s="2"/>
      <c r="KF188" s="2"/>
      <c r="KG188" s="2"/>
      <c r="KH188" s="2"/>
      <c r="KI188" s="2"/>
      <c r="KJ188" s="2"/>
      <c r="KK188" s="2"/>
      <c r="KL188" s="2"/>
      <c r="KM188" s="2"/>
      <c r="KN188" s="2"/>
      <c r="KO188" s="2"/>
      <c r="KP188" s="2"/>
      <c r="KQ188" s="2"/>
      <c r="KR188" s="2"/>
      <c r="KS188" s="2"/>
      <c r="KT188" s="2"/>
      <c r="KU188" s="2"/>
      <c r="KV188" s="2"/>
      <c r="KW188" s="2"/>
      <c r="KX188" s="2"/>
      <c r="KY188" s="2"/>
      <c r="KZ188" s="2"/>
      <c r="LA188" s="2"/>
      <c r="LB188" s="2"/>
      <c r="LC188" s="2"/>
      <c r="LD188" s="2"/>
      <c r="LE188" s="2"/>
      <c r="LF188" s="2"/>
      <c r="LG188" s="2"/>
      <c r="LH188" s="2"/>
      <c r="LI188" s="2"/>
      <c r="LJ188" s="2"/>
      <c r="LK188" s="2"/>
      <c r="LL188" s="2"/>
      <c r="LM188" s="2"/>
      <c r="LN188" s="2"/>
      <c r="LO188" s="2"/>
      <c r="LP188" s="2"/>
      <c r="LQ188" s="2"/>
      <c r="LR188" s="2"/>
      <c r="LS188" s="2"/>
      <c r="LT188" s="2"/>
      <c r="LU188" s="2"/>
      <c r="LV188" s="2"/>
      <c r="LW188" s="2"/>
      <c r="LX188" s="2"/>
      <c r="LY188" s="2"/>
      <c r="LZ188" s="2"/>
      <c r="MA188" s="2"/>
      <c r="MB188" s="2"/>
      <c r="MC188" s="2"/>
      <c r="MD188" s="2"/>
      <c r="ME188" s="2"/>
      <c r="MF188" s="2"/>
      <c r="MG188" s="2"/>
      <c r="MH188" s="2"/>
      <c r="MI188" s="2"/>
      <c r="MJ188" s="2"/>
      <c r="MK188" s="2"/>
      <c r="ML188" s="2"/>
      <c r="MM188" s="2"/>
      <c r="MN188" s="2"/>
      <c r="MO188" s="2"/>
      <c r="MP188" s="2"/>
      <c r="MQ188" s="2"/>
      <c r="MR188" s="2"/>
      <c r="MS188" s="2"/>
      <c r="MT188" s="2"/>
      <c r="MU188" s="2"/>
      <c r="MV188" s="2"/>
      <c r="MW188" s="2"/>
      <c r="MX188" s="2"/>
      <c r="MY188" s="2"/>
      <c r="MZ188" s="2"/>
      <c r="NA188" s="2"/>
      <c r="NB188" s="2"/>
      <c r="NC188" s="2"/>
      <c r="ND188" s="2"/>
      <c r="NE188" s="2"/>
      <c r="NF188" s="2"/>
      <c r="NG188" s="2"/>
      <c r="NH188" s="2"/>
      <c r="NI188" s="2"/>
      <c r="NJ188" s="2"/>
      <c r="NK188" s="2"/>
      <c r="NL188" s="2"/>
      <c r="NM188" s="2"/>
      <c r="NN188" s="2"/>
      <c r="NO188" s="2"/>
      <c r="NP188" s="2"/>
      <c r="NQ188" s="2"/>
      <c r="NR188" s="2"/>
      <c r="NS188" s="2"/>
      <c r="NT188" s="2"/>
      <c r="NU188" s="2"/>
      <c r="NV188" s="2"/>
      <c r="NW188" s="2"/>
      <c r="NX188" s="2"/>
      <c r="NY188" s="2"/>
      <c r="NZ188" s="2"/>
      <c r="OA188" s="2"/>
      <c r="OB188" s="2"/>
      <c r="OC188" s="2"/>
      <c r="OD188" s="2"/>
      <c r="OE188" s="2"/>
      <c r="OF188" s="2"/>
      <c r="OG188" s="2"/>
      <c r="OH188" s="2"/>
      <c r="OI188" s="2"/>
      <c r="OJ188" s="2"/>
      <c r="OK188" s="2"/>
      <c r="OL188" s="2"/>
      <c r="OM188" s="2"/>
      <c r="ON188" s="2"/>
      <c r="OO188" s="2"/>
      <c r="OP188" s="2"/>
      <c r="OQ188" s="2"/>
      <c r="OR188" s="2"/>
      <c r="OS188" s="2"/>
      <c r="OT188" s="2"/>
      <c r="OU188" s="2"/>
      <c r="OV188" s="2"/>
      <c r="OW188" s="2"/>
      <c r="OX188" s="2"/>
      <c r="OY188" s="2"/>
      <c r="OZ188" s="2"/>
      <c r="PA188" s="2"/>
      <c r="PB188" s="2"/>
      <c r="PC188" s="2"/>
      <c r="PD188" s="2"/>
      <c r="PE188" s="2"/>
      <c r="PF188" s="2"/>
      <c r="PG188" s="2"/>
      <c r="PH188" s="2"/>
      <c r="PI188" s="2"/>
      <c r="PJ188" s="2"/>
      <c r="PK188" s="2"/>
      <c r="PL188" s="2"/>
      <c r="PM188" s="2"/>
      <c r="PN188" s="2"/>
      <c r="PO188" s="2"/>
      <c r="PP188" s="2"/>
      <c r="PQ188" s="2"/>
      <c r="PR188" s="2"/>
      <c r="PS188" s="2"/>
      <c r="PT188" s="2"/>
      <c r="PU188" s="2"/>
      <c r="PV188" s="2"/>
      <c r="PW188" s="2"/>
      <c r="PX188" s="2"/>
      <c r="PY188" s="2"/>
      <c r="PZ188" s="2"/>
      <c r="QA188" s="2"/>
      <c r="QB188" s="2"/>
      <c r="QC188" s="2"/>
      <c r="QD188" s="2"/>
      <c r="QE188" s="2"/>
      <c r="QF188" s="2"/>
      <c r="QG188" s="2"/>
      <c r="QH188" s="2"/>
      <c r="QI188" s="2"/>
      <c r="QJ188" s="2"/>
      <c r="QK188" s="2"/>
      <c r="QL188" s="2"/>
      <c r="QM188" s="2"/>
      <c r="QN188" s="2"/>
      <c r="QO188" s="2"/>
      <c r="QP188" s="2"/>
      <c r="QQ188" s="2"/>
      <c r="QR188" s="2"/>
      <c r="QS188" s="2"/>
      <c r="QT188" s="2"/>
      <c r="QU188" s="2"/>
      <c r="QV188" s="2"/>
      <c r="QW188" s="2"/>
      <c r="QX188" s="2"/>
      <c r="QY188" s="2"/>
      <c r="QZ188" s="2"/>
      <c r="RA188" s="2"/>
      <c r="RB188" s="2"/>
      <c r="RC188" s="2"/>
      <c r="RD188" s="2"/>
      <c r="RE188" s="2"/>
      <c r="RF188" s="2"/>
      <c r="RG188" s="2"/>
      <c r="RH188" s="2"/>
      <c r="RI188" s="2"/>
      <c r="RJ188" s="2"/>
      <c r="RK188" s="2"/>
      <c r="RL188" s="2"/>
      <c r="RM188" s="2"/>
      <c r="RN188" s="2"/>
      <c r="RO188" s="2"/>
      <c r="RP188" s="2"/>
      <c r="RQ188" s="2"/>
      <c r="RR188" s="2"/>
      <c r="RS188" s="2"/>
      <c r="RT188" s="2"/>
      <c r="RU188" s="2"/>
      <c r="RV188" s="2"/>
      <c r="RW188" s="2"/>
      <c r="RX188" s="2"/>
      <c r="RY188" s="2"/>
      <c r="RZ188" s="2"/>
      <c r="SA188" s="2"/>
      <c r="SB188" s="2"/>
      <c r="SC188" s="2"/>
      <c r="SD188" s="2"/>
      <c r="SE188" s="2"/>
      <c r="SF188" s="2"/>
      <c r="SG188" s="2"/>
      <c r="SH188" s="2"/>
      <c r="SI188" s="2"/>
      <c r="SJ188" s="2"/>
      <c r="SK188" s="2"/>
      <c r="SL188" s="2"/>
      <c r="SM188" s="2"/>
      <c r="SN188" s="2"/>
      <c r="SO188" s="2"/>
      <c r="SP188" s="2"/>
      <c r="SQ188" s="2"/>
      <c r="SR188" s="2"/>
      <c r="SS188" s="2"/>
      <c r="ST188" s="2"/>
      <c r="SU188" s="2"/>
      <c r="SV188" s="2"/>
      <c r="SW188" s="2"/>
      <c r="SX188" s="2"/>
    </row>
    <row r="189" spans="33:518" x14ac:dyDescent="0.25"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  <c r="FK189" s="2"/>
      <c r="FL189" s="2"/>
      <c r="FM189" s="2"/>
      <c r="FN189" s="2"/>
      <c r="FO189" s="2"/>
      <c r="FP189" s="2"/>
      <c r="FQ189" s="2"/>
      <c r="FR189" s="2"/>
      <c r="FS189" s="2"/>
      <c r="FT189" s="2"/>
      <c r="FU189" s="2"/>
      <c r="FV189" s="2"/>
      <c r="FW189" s="2"/>
      <c r="FX189" s="2"/>
      <c r="FY189" s="2"/>
      <c r="FZ189" s="2"/>
      <c r="GA189" s="2"/>
      <c r="GB189" s="2"/>
      <c r="GC189" s="2"/>
      <c r="GD189" s="2"/>
      <c r="GE189" s="2"/>
      <c r="GF189" s="2"/>
      <c r="GG189" s="2"/>
      <c r="GH189" s="2"/>
      <c r="GI189" s="2"/>
      <c r="GJ189" s="2"/>
      <c r="GK189" s="2"/>
      <c r="GL189" s="2"/>
      <c r="GM189" s="2"/>
      <c r="GN189" s="2"/>
      <c r="GO189" s="2"/>
      <c r="GP189" s="2"/>
      <c r="GQ189" s="2"/>
      <c r="GR189" s="2"/>
      <c r="GS189" s="2"/>
      <c r="GT189" s="2"/>
      <c r="GU189" s="2"/>
      <c r="GV189" s="2"/>
      <c r="GW189" s="2"/>
      <c r="GX189" s="2"/>
      <c r="GY189" s="2"/>
      <c r="GZ189" s="2"/>
      <c r="HA189" s="2"/>
      <c r="HB189" s="2"/>
      <c r="HC189" s="2"/>
      <c r="HD189" s="2"/>
      <c r="HE189" s="2"/>
      <c r="HF189" s="2"/>
      <c r="HG189" s="2"/>
      <c r="HH189" s="2"/>
      <c r="HI189" s="2"/>
      <c r="HJ189" s="2"/>
      <c r="HK189" s="2"/>
      <c r="HL189" s="2"/>
      <c r="HM189" s="2"/>
      <c r="HN189" s="2"/>
      <c r="HO189" s="2"/>
      <c r="HP189" s="2"/>
      <c r="HQ189" s="2"/>
      <c r="HR189" s="2"/>
      <c r="HS189" s="2"/>
      <c r="HT189" s="2"/>
      <c r="HU189" s="2"/>
      <c r="HV189" s="2"/>
      <c r="HW189" s="2"/>
      <c r="HX189" s="2"/>
      <c r="HY189" s="2"/>
      <c r="HZ189" s="2"/>
      <c r="IA189" s="2"/>
      <c r="IB189" s="2"/>
      <c r="IC189" s="2"/>
      <c r="ID189" s="2"/>
      <c r="IE189" s="2"/>
      <c r="IF189" s="2"/>
      <c r="IG189" s="2"/>
      <c r="IH189" s="2"/>
      <c r="II189" s="2"/>
      <c r="IJ189" s="2"/>
      <c r="IK189" s="2"/>
      <c r="IL189" s="2"/>
      <c r="IM189" s="2"/>
      <c r="IN189" s="2"/>
      <c r="IO189" s="2"/>
      <c r="IP189" s="2"/>
      <c r="IQ189" s="2"/>
      <c r="IR189" s="2"/>
      <c r="IS189" s="2"/>
      <c r="IT189" s="2"/>
      <c r="IU189" s="2"/>
      <c r="IV189" s="2"/>
      <c r="IW189" s="2"/>
      <c r="IX189" s="2"/>
      <c r="IY189" s="2"/>
      <c r="IZ189" s="2"/>
      <c r="JA189" s="2"/>
      <c r="JB189" s="2"/>
      <c r="JC189" s="2"/>
      <c r="JD189" s="2"/>
      <c r="JE189" s="2"/>
      <c r="JF189" s="2"/>
      <c r="JG189" s="2"/>
      <c r="JH189" s="2"/>
      <c r="JI189" s="2"/>
      <c r="JJ189" s="2"/>
      <c r="JK189" s="2"/>
      <c r="JL189" s="2"/>
      <c r="JM189" s="2"/>
      <c r="JN189" s="2"/>
      <c r="JO189" s="2"/>
      <c r="JP189" s="2"/>
      <c r="JQ189" s="2"/>
      <c r="JR189" s="2"/>
      <c r="JS189" s="2"/>
      <c r="JT189" s="2"/>
      <c r="JU189" s="2"/>
      <c r="JV189" s="2"/>
      <c r="JW189" s="2"/>
      <c r="JX189" s="2"/>
      <c r="JY189" s="2"/>
      <c r="JZ189" s="2"/>
      <c r="KA189" s="2"/>
      <c r="KB189" s="2"/>
      <c r="KC189" s="2"/>
      <c r="KD189" s="2"/>
      <c r="KE189" s="2"/>
      <c r="KF189" s="2"/>
      <c r="KG189" s="2"/>
      <c r="KH189" s="2"/>
      <c r="KI189" s="2"/>
      <c r="KJ189" s="2"/>
      <c r="KK189" s="2"/>
      <c r="KL189" s="2"/>
      <c r="KM189" s="2"/>
      <c r="KN189" s="2"/>
      <c r="KO189" s="2"/>
      <c r="KP189" s="2"/>
      <c r="KQ189" s="2"/>
      <c r="KR189" s="2"/>
      <c r="KS189" s="2"/>
      <c r="KT189" s="2"/>
      <c r="KU189" s="2"/>
      <c r="KV189" s="2"/>
      <c r="KW189" s="2"/>
      <c r="KX189" s="2"/>
      <c r="KY189" s="2"/>
      <c r="KZ189" s="2"/>
      <c r="LA189" s="2"/>
      <c r="LB189" s="2"/>
      <c r="LC189" s="2"/>
      <c r="LD189" s="2"/>
      <c r="LE189" s="2"/>
      <c r="LF189" s="2"/>
      <c r="LG189" s="2"/>
      <c r="LH189" s="2"/>
      <c r="LI189" s="2"/>
      <c r="LJ189" s="2"/>
      <c r="LK189" s="2"/>
      <c r="LL189" s="2"/>
      <c r="LM189" s="2"/>
      <c r="LN189" s="2"/>
      <c r="LO189" s="2"/>
      <c r="LP189" s="2"/>
      <c r="LQ189" s="2"/>
      <c r="LR189" s="2"/>
      <c r="LS189" s="2"/>
      <c r="LT189" s="2"/>
      <c r="LU189" s="2"/>
      <c r="LV189" s="2"/>
      <c r="LW189" s="2"/>
      <c r="LX189" s="2"/>
      <c r="LY189" s="2"/>
      <c r="LZ189" s="2"/>
      <c r="MA189" s="2"/>
      <c r="MB189" s="2"/>
      <c r="MC189" s="2"/>
      <c r="MD189" s="2"/>
      <c r="ME189" s="2"/>
      <c r="MF189" s="2"/>
      <c r="MG189" s="2"/>
      <c r="MH189" s="2"/>
      <c r="MI189" s="2"/>
      <c r="MJ189" s="2"/>
      <c r="MK189" s="2"/>
      <c r="ML189" s="2"/>
      <c r="MM189" s="2"/>
      <c r="MN189" s="2"/>
      <c r="MO189" s="2"/>
      <c r="MP189" s="2"/>
      <c r="MQ189" s="2"/>
      <c r="MR189" s="2"/>
      <c r="MS189" s="2"/>
      <c r="MT189" s="2"/>
      <c r="MU189" s="2"/>
      <c r="MV189" s="2"/>
      <c r="MW189" s="2"/>
      <c r="MX189" s="2"/>
      <c r="MY189" s="2"/>
      <c r="MZ189" s="2"/>
      <c r="NA189" s="2"/>
      <c r="NB189" s="2"/>
      <c r="NC189" s="2"/>
      <c r="ND189" s="2"/>
      <c r="NE189" s="2"/>
      <c r="NF189" s="2"/>
      <c r="NG189" s="2"/>
      <c r="NH189" s="2"/>
      <c r="NI189" s="2"/>
      <c r="NJ189" s="2"/>
      <c r="NK189" s="2"/>
      <c r="NL189" s="2"/>
      <c r="NM189" s="2"/>
      <c r="NN189" s="2"/>
      <c r="NO189" s="2"/>
      <c r="NP189" s="2"/>
      <c r="NQ189" s="2"/>
      <c r="NR189" s="2"/>
      <c r="NS189" s="2"/>
      <c r="NT189" s="2"/>
      <c r="NU189" s="2"/>
      <c r="NV189" s="2"/>
      <c r="NW189" s="2"/>
      <c r="NX189" s="2"/>
      <c r="NY189" s="2"/>
      <c r="NZ189" s="2"/>
      <c r="OA189" s="2"/>
      <c r="OB189" s="2"/>
      <c r="OC189" s="2"/>
      <c r="OD189" s="2"/>
      <c r="OE189" s="2"/>
      <c r="OF189" s="2"/>
      <c r="OG189" s="2"/>
      <c r="OH189" s="2"/>
      <c r="OI189" s="2"/>
      <c r="OJ189" s="2"/>
      <c r="OK189" s="2"/>
      <c r="OL189" s="2"/>
      <c r="OM189" s="2"/>
      <c r="ON189" s="2"/>
      <c r="OO189" s="2"/>
      <c r="OP189" s="2"/>
      <c r="OQ189" s="2"/>
      <c r="OR189" s="2"/>
      <c r="OS189" s="2"/>
      <c r="OT189" s="2"/>
      <c r="OU189" s="2"/>
      <c r="OV189" s="2"/>
      <c r="OW189" s="2"/>
      <c r="OX189" s="2"/>
      <c r="OY189" s="2"/>
      <c r="OZ189" s="2"/>
      <c r="PA189" s="2"/>
      <c r="PB189" s="2"/>
      <c r="PC189" s="2"/>
      <c r="PD189" s="2"/>
      <c r="PE189" s="2"/>
      <c r="PF189" s="2"/>
      <c r="PG189" s="2"/>
      <c r="PH189" s="2"/>
      <c r="PI189" s="2"/>
      <c r="PJ189" s="2"/>
      <c r="PK189" s="2"/>
      <c r="PL189" s="2"/>
      <c r="PM189" s="2"/>
      <c r="PN189" s="2"/>
      <c r="PO189" s="2"/>
      <c r="PP189" s="2"/>
      <c r="PQ189" s="2"/>
      <c r="PR189" s="2"/>
      <c r="PS189" s="2"/>
      <c r="PT189" s="2"/>
      <c r="PU189" s="2"/>
      <c r="PV189" s="2"/>
      <c r="PW189" s="2"/>
      <c r="PX189" s="2"/>
      <c r="PY189" s="2"/>
      <c r="PZ189" s="2"/>
      <c r="QA189" s="2"/>
      <c r="QB189" s="2"/>
      <c r="QC189" s="2"/>
      <c r="QD189" s="2"/>
      <c r="QE189" s="2"/>
      <c r="QF189" s="2"/>
      <c r="QG189" s="2"/>
      <c r="QH189" s="2"/>
      <c r="QI189" s="2"/>
      <c r="QJ189" s="2"/>
      <c r="QK189" s="2"/>
      <c r="QL189" s="2"/>
      <c r="QM189" s="2"/>
      <c r="QN189" s="2"/>
      <c r="QO189" s="2"/>
      <c r="QP189" s="2"/>
      <c r="QQ189" s="2"/>
      <c r="QR189" s="2"/>
      <c r="QS189" s="2"/>
      <c r="QT189" s="2"/>
      <c r="QU189" s="2"/>
      <c r="QV189" s="2"/>
      <c r="QW189" s="2"/>
      <c r="QX189" s="2"/>
      <c r="QY189" s="2"/>
      <c r="QZ189" s="2"/>
      <c r="RA189" s="2"/>
      <c r="RB189" s="2"/>
      <c r="RC189" s="2"/>
      <c r="RD189" s="2"/>
      <c r="RE189" s="2"/>
      <c r="RF189" s="2"/>
      <c r="RG189" s="2"/>
      <c r="RH189" s="2"/>
      <c r="RI189" s="2"/>
      <c r="RJ189" s="2"/>
      <c r="RK189" s="2"/>
      <c r="RL189" s="2"/>
      <c r="RM189" s="2"/>
      <c r="RN189" s="2"/>
      <c r="RO189" s="2"/>
      <c r="RP189" s="2"/>
      <c r="RQ189" s="2"/>
      <c r="RR189" s="2"/>
      <c r="RS189" s="2"/>
      <c r="RT189" s="2"/>
      <c r="RU189" s="2"/>
      <c r="RV189" s="2"/>
      <c r="RW189" s="2"/>
      <c r="RX189" s="2"/>
      <c r="RY189" s="2"/>
      <c r="RZ189" s="2"/>
      <c r="SA189" s="2"/>
      <c r="SB189" s="2"/>
      <c r="SC189" s="2"/>
      <c r="SD189" s="2"/>
      <c r="SE189" s="2"/>
      <c r="SF189" s="2"/>
      <c r="SG189" s="2"/>
      <c r="SH189" s="2"/>
      <c r="SI189" s="2"/>
      <c r="SJ189" s="2"/>
      <c r="SK189" s="2"/>
      <c r="SL189" s="2"/>
      <c r="SM189" s="2"/>
      <c r="SN189" s="2"/>
      <c r="SO189" s="2"/>
      <c r="SP189" s="2"/>
      <c r="SQ189" s="2"/>
      <c r="SR189" s="2"/>
      <c r="SS189" s="2"/>
      <c r="ST189" s="2"/>
      <c r="SU189" s="2"/>
      <c r="SV189" s="2"/>
      <c r="SW189" s="2"/>
      <c r="SX189" s="2"/>
    </row>
    <row r="190" spans="33:518" x14ac:dyDescent="0.25"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  <c r="FK190" s="2"/>
      <c r="FL190" s="2"/>
      <c r="FM190" s="2"/>
      <c r="FN190" s="2"/>
      <c r="FO190" s="2"/>
      <c r="FP190" s="2"/>
      <c r="FQ190" s="2"/>
      <c r="FR190" s="2"/>
      <c r="FS190" s="2"/>
      <c r="FT190" s="2"/>
      <c r="FU190" s="2"/>
      <c r="FV190" s="2"/>
      <c r="FW190" s="2"/>
      <c r="FX190" s="2"/>
      <c r="FY190" s="2"/>
      <c r="FZ190" s="2"/>
      <c r="GA190" s="2"/>
      <c r="GB190" s="2"/>
      <c r="GC190" s="2"/>
      <c r="GD190" s="2"/>
      <c r="GE190" s="2"/>
      <c r="GF190" s="2"/>
      <c r="GG190" s="2"/>
      <c r="GH190" s="2"/>
      <c r="GI190" s="2"/>
      <c r="GJ190" s="2"/>
      <c r="GK190" s="2"/>
      <c r="GL190" s="2"/>
      <c r="GM190" s="2"/>
      <c r="GN190" s="2"/>
      <c r="GO190" s="2"/>
      <c r="GP190" s="2"/>
      <c r="GQ190" s="2"/>
      <c r="GR190" s="2"/>
      <c r="GS190" s="2"/>
      <c r="GT190" s="2"/>
      <c r="GU190" s="2"/>
      <c r="GV190" s="2"/>
      <c r="GW190" s="2"/>
      <c r="GX190" s="2"/>
      <c r="GY190" s="2"/>
      <c r="GZ190" s="2"/>
      <c r="HA190" s="2"/>
      <c r="HB190" s="2"/>
      <c r="HC190" s="2"/>
      <c r="HD190" s="2"/>
      <c r="HE190" s="2"/>
      <c r="HF190" s="2"/>
      <c r="HG190" s="2"/>
      <c r="HH190" s="2"/>
      <c r="HI190" s="2"/>
      <c r="HJ190" s="2"/>
      <c r="HK190" s="2"/>
      <c r="HL190" s="2"/>
      <c r="HM190" s="2"/>
      <c r="HN190" s="2"/>
      <c r="HO190" s="2"/>
      <c r="HP190" s="2"/>
      <c r="HQ190" s="2"/>
      <c r="HR190" s="2"/>
      <c r="HS190" s="2"/>
      <c r="HT190" s="2"/>
      <c r="HU190" s="2"/>
      <c r="HV190" s="2"/>
      <c r="HW190" s="2"/>
      <c r="HX190" s="2"/>
      <c r="HY190" s="2"/>
      <c r="HZ190" s="2"/>
      <c r="IA190" s="2"/>
      <c r="IB190" s="2"/>
      <c r="IC190" s="2"/>
      <c r="ID190" s="2"/>
      <c r="IE190" s="2"/>
      <c r="IF190" s="2"/>
      <c r="IG190" s="2"/>
      <c r="IH190" s="2"/>
      <c r="II190" s="2"/>
      <c r="IJ190" s="2"/>
      <c r="IK190" s="2"/>
      <c r="IL190" s="2"/>
      <c r="IM190" s="2"/>
      <c r="IN190" s="2"/>
      <c r="IO190" s="2"/>
      <c r="IP190" s="2"/>
      <c r="IQ190" s="2"/>
      <c r="IR190" s="2"/>
      <c r="IS190" s="2"/>
      <c r="IT190" s="2"/>
      <c r="IU190" s="2"/>
      <c r="IV190" s="2"/>
      <c r="IW190" s="2"/>
      <c r="IX190" s="2"/>
      <c r="IY190" s="2"/>
      <c r="IZ190" s="2"/>
      <c r="JA190" s="2"/>
      <c r="JB190" s="2"/>
      <c r="JC190" s="2"/>
      <c r="JD190" s="2"/>
      <c r="JE190" s="2"/>
      <c r="JF190" s="2"/>
      <c r="JG190" s="2"/>
      <c r="JH190" s="2"/>
      <c r="JI190" s="2"/>
      <c r="JJ190" s="2"/>
      <c r="JK190" s="2"/>
      <c r="JL190" s="2"/>
      <c r="JM190" s="2"/>
      <c r="JN190" s="2"/>
      <c r="JO190" s="2"/>
      <c r="JP190" s="2"/>
      <c r="JQ190" s="2"/>
      <c r="JR190" s="2"/>
      <c r="JS190" s="2"/>
      <c r="JT190" s="2"/>
      <c r="JU190" s="2"/>
      <c r="JV190" s="2"/>
      <c r="JW190" s="2"/>
      <c r="JX190" s="2"/>
      <c r="JY190" s="2"/>
      <c r="JZ190" s="2"/>
      <c r="KA190" s="2"/>
      <c r="KB190" s="2"/>
      <c r="KC190" s="2"/>
      <c r="KD190" s="2"/>
      <c r="KE190" s="2"/>
      <c r="KF190" s="2"/>
      <c r="KG190" s="2"/>
      <c r="KH190" s="2"/>
      <c r="KI190" s="2"/>
      <c r="KJ190" s="2"/>
      <c r="KK190" s="2"/>
      <c r="KL190" s="2"/>
      <c r="KM190" s="2"/>
      <c r="KN190" s="2"/>
      <c r="KO190" s="2"/>
      <c r="KP190" s="2"/>
      <c r="KQ190" s="2"/>
      <c r="KR190" s="2"/>
      <c r="KS190" s="2"/>
      <c r="KT190" s="2"/>
      <c r="KU190" s="2"/>
      <c r="KV190" s="2"/>
      <c r="KW190" s="2"/>
      <c r="KX190" s="2"/>
      <c r="KY190" s="2"/>
      <c r="KZ190" s="2"/>
      <c r="LA190" s="2"/>
      <c r="LB190" s="2"/>
      <c r="LC190" s="2"/>
      <c r="LD190" s="2"/>
      <c r="LE190" s="2"/>
      <c r="LF190" s="2"/>
      <c r="LG190" s="2"/>
      <c r="LH190" s="2"/>
      <c r="LI190" s="2"/>
      <c r="LJ190" s="2"/>
      <c r="LK190" s="2"/>
      <c r="LL190" s="2"/>
      <c r="LM190" s="2"/>
      <c r="LN190" s="2"/>
      <c r="LO190" s="2"/>
      <c r="LP190" s="2"/>
      <c r="LQ190" s="2"/>
      <c r="LR190" s="2"/>
      <c r="LS190" s="2"/>
      <c r="LT190" s="2"/>
      <c r="LU190" s="2"/>
      <c r="LV190" s="2"/>
      <c r="LW190" s="2"/>
      <c r="LX190" s="2"/>
      <c r="LY190" s="2"/>
      <c r="LZ190" s="2"/>
      <c r="MA190" s="2"/>
      <c r="MB190" s="2"/>
      <c r="MC190" s="2"/>
      <c r="MD190" s="2"/>
      <c r="ME190" s="2"/>
      <c r="MF190" s="2"/>
      <c r="MG190" s="2"/>
      <c r="MH190" s="2"/>
      <c r="MI190" s="2"/>
      <c r="MJ190" s="2"/>
      <c r="MK190" s="2"/>
      <c r="ML190" s="2"/>
      <c r="MM190" s="2"/>
      <c r="MN190" s="2"/>
      <c r="MO190" s="2"/>
      <c r="MP190" s="2"/>
      <c r="MQ190" s="2"/>
      <c r="MR190" s="2"/>
      <c r="MS190" s="2"/>
      <c r="MT190" s="2"/>
      <c r="MU190" s="2"/>
      <c r="MV190" s="2"/>
      <c r="MW190" s="2"/>
      <c r="MX190" s="2"/>
      <c r="MY190" s="2"/>
      <c r="MZ190" s="2"/>
      <c r="NA190" s="2"/>
      <c r="NB190" s="2"/>
      <c r="NC190" s="2"/>
      <c r="ND190" s="2"/>
      <c r="NE190" s="2"/>
      <c r="NF190" s="2"/>
      <c r="NG190" s="2"/>
      <c r="NH190" s="2"/>
      <c r="NI190" s="2"/>
      <c r="NJ190" s="2"/>
      <c r="NK190" s="2"/>
      <c r="NL190" s="2"/>
      <c r="NM190" s="2"/>
      <c r="NN190" s="2"/>
      <c r="NO190" s="2"/>
      <c r="NP190" s="2"/>
      <c r="NQ190" s="2"/>
      <c r="NR190" s="2"/>
      <c r="NS190" s="2"/>
      <c r="NT190" s="2"/>
      <c r="NU190" s="2"/>
      <c r="NV190" s="2"/>
      <c r="NW190" s="2"/>
      <c r="NX190" s="2"/>
      <c r="NY190" s="2"/>
      <c r="NZ190" s="2"/>
      <c r="OA190" s="2"/>
      <c r="OB190" s="2"/>
      <c r="OC190" s="2"/>
      <c r="OD190" s="2"/>
      <c r="OE190" s="2"/>
      <c r="OF190" s="2"/>
      <c r="OG190" s="2"/>
      <c r="OH190" s="2"/>
      <c r="OI190" s="2"/>
      <c r="OJ190" s="2"/>
      <c r="OK190" s="2"/>
      <c r="OL190" s="2"/>
      <c r="OM190" s="2"/>
      <c r="ON190" s="2"/>
      <c r="OO190" s="2"/>
      <c r="OP190" s="2"/>
      <c r="OQ190" s="2"/>
      <c r="OR190" s="2"/>
      <c r="OS190" s="2"/>
      <c r="OT190" s="2"/>
      <c r="OU190" s="2"/>
      <c r="OV190" s="2"/>
      <c r="OW190" s="2"/>
      <c r="OX190" s="2"/>
      <c r="OY190" s="2"/>
      <c r="OZ190" s="2"/>
      <c r="PA190" s="2"/>
      <c r="PB190" s="2"/>
      <c r="PC190" s="2"/>
      <c r="PD190" s="2"/>
      <c r="PE190" s="2"/>
      <c r="PF190" s="2"/>
      <c r="PG190" s="2"/>
      <c r="PH190" s="2"/>
      <c r="PI190" s="2"/>
      <c r="PJ190" s="2"/>
      <c r="PK190" s="2"/>
      <c r="PL190" s="2"/>
      <c r="PM190" s="2"/>
      <c r="PN190" s="2"/>
      <c r="PO190" s="2"/>
      <c r="PP190" s="2"/>
      <c r="PQ190" s="2"/>
      <c r="PR190" s="2"/>
      <c r="PS190" s="2"/>
      <c r="PT190" s="2"/>
      <c r="PU190" s="2"/>
      <c r="PV190" s="2"/>
      <c r="PW190" s="2"/>
      <c r="PX190" s="2"/>
      <c r="PY190" s="2"/>
      <c r="PZ190" s="2"/>
      <c r="QA190" s="2"/>
      <c r="QB190" s="2"/>
      <c r="QC190" s="2"/>
      <c r="QD190" s="2"/>
      <c r="QE190" s="2"/>
      <c r="QF190" s="2"/>
      <c r="QG190" s="2"/>
      <c r="QH190" s="2"/>
      <c r="QI190" s="2"/>
      <c r="QJ190" s="2"/>
      <c r="QK190" s="2"/>
      <c r="QL190" s="2"/>
      <c r="QM190" s="2"/>
      <c r="QN190" s="2"/>
      <c r="QO190" s="2"/>
      <c r="QP190" s="2"/>
      <c r="QQ190" s="2"/>
      <c r="QR190" s="2"/>
      <c r="QS190" s="2"/>
      <c r="QT190" s="2"/>
      <c r="QU190" s="2"/>
      <c r="QV190" s="2"/>
      <c r="QW190" s="2"/>
      <c r="QX190" s="2"/>
      <c r="QY190" s="2"/>
      <c r="QZ190" s="2"/>
      <c r="RA190" s="2"/>
      <c r="RB190" s="2"/>
      <c r="RC190" s="2"/>
      <c r="RD190" s="2"/>
      <c r="RE190" s="2"/>
      <c r="RF190" s="2"/>
      <c r="RG190" s="2"/>
      <c r="RH190" s="2"/>
      <c r="RI190" s="2"/>
      <c r="RJ190" s="2"/>
      <c r="RK190" s="2"/>
      <c r="RL190" s="2"/>
      <c r="RM190" s="2"/>
      <c r="RN190" s="2"/>
      <c r="RO190" s="2"/>
      <c r="RP190" s="2"/>
      <c r="RQ190" s="2"/>
      <c r="RR190" s="2"/>
      <c r="RS190" s="2"/>
      <c r="RT190" s="2"/>
      <c r="RU190" s="2"/>
      <c r="RV190" s="2"/>
      <c r="RW190" s="2"/>
      <c r="RX190" s="2"/>
      <c r="RY190" s="2"/>
      <c r="RZ190" s="2"/>
      <c r="SA190" s="2"/>
      <c r="SB190" s="2"/>
      <c r="SC190" s="2"/>
      <c r="SD190" s="2"/>
      <c r="SE190" s="2"/>
      <c r="SF190" s="2"/>
      <c r="SG190" s="2"/>
      <c r="SH190" s="2"/>
      <c r="SI190" s="2"/>
      <c r="SJ190" s="2"/>
      <c r="SK190" s="2"/>
      <c r="SL190" s="2"/>
      <c r="SM190" s="2"/>
      <c r="SN190" s="2"/>
      <c r="SO190" s="2"/>
      <c r="SP190" s="2"/>
      <c r="SQ190" s="2"/>
      <c r="SR190" s="2"/>
      <c r="SS190" s="2"/>
      <c r="ST190" s="2"/>
      <c r="SU190" s="2"/>
      <c r="SV190" s="2"/>
      <c r="SW190" s="2"/>
      <c r="SX190" s="2"/>
    </row>
    <row r="191" spans="33:518" x14ac:dyDescent="0.25"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  <c r="FK191" s="2"/>
      <c r="FL191" s="2"/>
      <c r="FM191" s="2"/>
      <c r="FN191" s="2"/>
      <c r="FO191" s="2"/>
      <c r="FP191" s="2"/>
      <c r="FQ191" s="2"/>
      <c r="FR191" s="2"/>
      <c r="FS191" s="2"/>
      <c r="FT191" s="2"/>
      <c r="FU191" s="2"/>
      <c r="FV191" s="2"/>
      <c r="FW191" s="2"/>
      <c r="FX191" s="2"/>
      <c r="FY191" s="2"/>
      <c r="FZ191" s="2"/>
      <c r="GA191" s="2"/>
      <c r="GB191" s="2"/>
      <c r="GC191" s="2"/>
      <c r="GD191" s="2"/>
      <c r="GE191" s="2"/>
      <c r="GF191" s="2"/>
      <c r="GG191" s="2"/>
      <c r="GH191" s="2"/>
      <c r="GI191" s="2"/>
      <c r="GJ191" s="2"/>
      <c r="GK191" s="2"/>
      <c r="GL191" s="2"/>
      <c r="GM191" s="2"/>
      <c r="GN191" s="2"/>
      <c r="GO191" s="2"/>
      <c r="GP191" s="2"/>
      <c r="GQ191" s="2"/>
      <c r="GR191" s="2"/>
      <c r="GS191" s="2"/>
      <c r="GT191" s="2"/>
      <c r="GU191" s="2"/>
      <c r="GV191" s="2"/>
      <c r="GW191" s="2"/>
      <c r="GX191" s="2"/>
      <c r="GY191" s="2"/>
      <c r="GZ191" s="2"/>
      <c r="HA191" s="2"/>
      <c r="HB191" s="2"/>
      <c r="HC191" s="2"/>
      <c r="HD191" s="2"/>
      <c r="HE191" s="2"/>
      <c r="HF191" s="2"/>
      <c r="HG191" s="2"/>
      <c r="HH191" s="2"/>
      <c r="HI191" s="2"/>
      <c r="HJ191" s="2"/>
      <c r="HK191" s="2"/>
      <c r="HL191" s="2"/>
      <c r="HM191" s="2"/>
      <c r="HN191" s="2"/>
      <c r="HO191" s="2"/>
      <c r="HP191" s="2"/>
      <c r="HQ191" s="2"/>
      <c r="HR191" s="2"/>
      <c r="HS191" s="2"/>
      <c r="HT191" s="2"/>
      <c r="HU191" s="2"/>
      <c r="HV191" s="2"/>
      <c r="HW191" s="2"/>
      <c r="HX191" s="2"/>
      <c r="HY191" s="2"/>
      <c r="HZ191" s="2"/>
      <c r="IA191" s="2"/>
      <c r="IB191" s="2"/>
      <c r="IC191" s="2"/>
      <c r="ID191" s="2"/>
      <c r="IE191" s="2"/>
      <c r="IF191" s="2"/>
      <c r="IG191" s="2"/>
      <c r="IH191" s="2"/>
      <c r="II191" s="2"/>
      <c r="IJ191" s="2"/>
      <c r="IK191" s="2"/>
      <c r="IL191" s="2"/>
      <c r="IM191" s="2"/>
      <c r="IN191" s="2"/>
      <c r="IO191" s="2"/>
      <c r="IP191" s="2"/>
      <c r="IQ191" s="2"/>
      <c r="IR191" s="2"/>
      <c r="IS191" s="2"/>
      <c r="IT191" s="2"/>
      <c r="IU191" s="2"/>
      <c r="IV191" s="2"/>
      <c r="IW191" s="2"/>
      <c r="IX191" s="2"/>
      <c r="IY191" s="2"/>
      <c r="IZ191" s="2"/>
      <c r="JA191" s="2"/>
      <c r="JB191" s="2"/>
      <c r="JC191" s="2"/>
      <c r="JD191" s="2"/>
      <c r="JE191" s="2"/>
      <c r="JF191" s="2"/>
      <c r="JG191" s="2"/>
      <c r="JH191" s="2"/>
      <c r="JI191" s="2"/>
      <c r="JJ191" s="2"/>
      <c r="JK191" s="2"/>
      <c r="JL191" s="2"/>
      <c r="JM191" s="2"/>
      <c r="JN191" s="2"/>
      <c r="JO191" s="2"/>
      <c r="JP191" s="2"/>
      <c r="JQ191" s="2"/>
      <c r="JR191" s="2"/>
      <c r="JS191" s="2"/>
      <c r="JT191" s="2"/>
      <c r="JU191" s="2"/>
      <c r="JV191" s="2"/>
      <c r="JW191" s="2"/>
      <c r="JX191" s="2"/>
      <c r="JY191" s="2"/>
      <c r="JZ191" s="2"/>
      <c r="KA191" s="2"/>
      <c r="KB191" s="2"/>
      <c r="KC191" s="2"/>
      <c r="KD191" s="2"/>
      <c r="KE191" s="2"/>
      <c r="KF191" s="2"/>
      <c r="KG191" s="2"/>
      <c r="KH191" s="2"/>
      <c r="KI191" s="2"/>
      <c r="KJ191" s="2"/>
      <c r="KK191" s="2"/>
      <c r="KL191" s="2"/>
      <c r="KM191" s="2"/>
      <c r="KN191" s="2"/>
      <c r="KO191" s="2"/>
      <c r="KP191" s="2"/>
      <c r="KQ191" s="2"/>
      <c r="KR191" s="2"/>
      <c r="KS191" s="2"/>
      <c r="KT191" s="2"/>
      <c r="KU191" s="2"/>
      <c r="KV191" s="2"/>
      <c r="KW191" s="2"/>
      <c r="KX191" s="2"/>
      <c r="KY191" s="2"/>
      <c r="KZ191" s="2"/>
      <c r="LA191" s="2"/>
      <c r="LB191" s="2"/>
      <c r="LC191" s="2"/>
      <c r="LD191" s="2"/>
      <c r="LE191" s="2"/>
      <c r="LF191" s="2"/>
      <c r="LG191" s="2"/>
      <c r="LH191" s="2"/>
      <c r="LI191" s="2"/>
      <c r="LJ191" s="2"/>
      <c r="LK191" s="2"/>
      <c r="LL191" s="2"/>
      <c r="LM191" s="2"/>
      <c r="LN191" s="2"/>
      <c r="LO191" s="2"/>
      <c r="LP191" s="2"/>
      <c r="LQ191" s="2"/>
      <c r="LR191" s="2"/>
      <c r="LS191" s="2"/>
      <c r="LT191" s="2"/>
      <c r="LU191" s="2"/>
      <c r="LV191" s="2"/>
      <c r="LW191" s="2"/>
      <c r="LX191" s="2"/>
      <c r="LY191" s="2"/>
      <c r="LZ191" s="2"/>
      <c r="MA191" s="2"/>
      <c r="MB191" s="2"/>
      <c r="MC191" s="2"/>
      <c r="MD191" s="2"/>
      <c r="ME191" s="2"/>
      <c r="MF191" s="2"/>
      <c r="MG191" s="2"/>
      <c r="MH191" s="2"/>
      <c r="MI191" s="2"/>
      <c r="MJ191" s="2"/>
      <c r="MK191" s="2"/>
      <c r="ML191" s="2"/>
      <c r="MM191" s="2"/>
      <c r="MN191" s="2"/>
      <c r="MO191" s="2"/>
      <c r="MP191" s="2"/>
      <c r="MQ191" s="2"/>
      <c r="MR191" s="2"/>
      <c r="MS191" s="2"/>
      <c r="MT191" s="2"/>
      <c r="MU191" s="2"/>
      <c r="MV191" s="2"/>
      <c r="MW191" s="2"/>
      <c r="MX191" s="2"/>
      <c r="MY191" s="2"/>
      <c r="MZ191" s="2"/>
      <c r="NA191" s="2"/>
      <c r="NB191" s="2"/>
      <c r="NC191" s="2"/>
      <c r="ND191" s="2"/>
      <c r="NE191" s="2"/>
      <c r="NF191" s="2"/>
      <c r="NG191" s="2"/>
      <c r="NH191" s="2"/>
      <c r="NI191" s="2"/>
      <c r="NJ191" s="2"/>
      <c r="NK191" s="2"/>
      <c r="NL191" s="2"/>
      <c r="NM191" s="2"/>
      <c r="NN191" s="2"/>
      <c r="NO191" s="2"/>
      <c r="NP191" s="2"/>
      <c r="NQ191" s="2"/>
      <c r="NR191" s="2"/>
      <c r="NS191" s="2"/>
      <c r="NT191" s="2"/>
      <c r="NU191" s="2"/>
      <c r="NV191" s="2"/>
      <c r="NW191" s="2"/>
      <c r="NX191" s="2"/>
      <c r="NY191" s="2"/>
      <c r="NZ191" s="2"/>
      <c r="OA191" s="2"/>
      <c r="OB191" s="2"/>
      <c r="OC191" s="2"/>
      <c r="OD191" s="2"/>
      <c r="OE191" s="2"/>
      <c r="OF191" s="2"/>
      <c r="OG191" s="2"/>
      <c r="OH191" s="2"/>
      <c r="OI191" s="2"/>
      <c r="OJ191" s="2"/>
      <c r="OK191" s="2"/>
      <c r="OL191" s="2"/>
      <c r="OM191" s="2"/>
      <c r="ON191" s="2"/>
      <c r="OO191" s="2"/>
      <c r="OP191" s="2"/>
      <c r="OQ191" s="2"/>
      <c r="OR191" s="2"/>
      <c r="OS191" s="2"/>
      <c r="OT191" s="2"/>
      <c r="OU191" s="2"/>
      <c r="OV191" s="2"/>
      <c r="OW191" s="2"/>
      <c r="OX191" s="2"/>
      <c r="OY191" s="2"/>
      <c r="OZ191" s="2"/>
      <c r="PA191" s="2"/>
      <c r="PB191" s="2"/>
      <c r="PC191" s="2"/>
      <c r="PD191" s="2"/>
      <c r="PE191" s="2"/>
      <c r="PF191" s="2"/>
      <c r="PG191" s="2"/>
      <c r="PH191" s="2"/>
      <c r="PI191" s="2"/>
      <c r="PJ191" s="2"/>
      <c r="PK191" s="2"/>
      <c r="PL191" s="2"/>
      <c r="PM191" s="2"/>
      <c r="PN191" s="2"/>
      <c r="PO191" s="2"/>
      <c r="PP191" s="2"/>
      <c r="PQ191" s="2"/>
      <c r="PR191" s="2"/>
      <c r="PS191" s="2"/>
      <c r="PT191" s="2"/>
      <c r="PU191" s="2"/>
      <c r="PV191" s="2"/>
      <c r="PW191" s="2"/>
      <c r="PX191" s="2"/>
      <c r="PY191" s="2"/>
      <c r="PZ191" s="2"/>
      <c r="QA191" s="2"/>
      <c r="QB191" s="2"/>
      <c r="QC191" s="2"/>
      <c r="QD191" s="2"/>
      <c r="QE191" s="2"/>
      <c r="QF191" s="2"/>
      <c r="QG191" s="2"/>
      <c r="QH191" s="2"/>
      <c r="QI191" s="2"/>
      <c r="QJ191" s="2"/>
      <c r="QK191" s="2"/>
      <c r="QL191" s="2"/>
      <c r="QM191" s="2"/>
      <c r="QN191" s="2"/>
      <c r="QO191" s="2"/>
      <c r="QP191" s="2"/>
      <c r="QQ191" s="2"/>
      <c r="QR191" s="2"/>
      <c r="QS191" s="2"/>
      <c r="QT191" s="2"/>
      <c r="QU191" s="2"/>
      <c r="QV191" s="2"/>
      <c r="QW191" s="2"/>
      <c r="QX191" s="2"/>
      <c r="QY191" s="2"/>
      <c r="QZ191" s="2"/>
      <c r="RA191" s="2"/>
      <c r="RB191" s="2"/>
      <c r="RC191" s="2"/>
      <c r="RD191" s="2"/>
      <c r="RE191" s="2"/>
      <c r="RF191" s="2"/>
      <c r="RG191" s="2"/>
      <c r="RH191" s="2"/>
      <c r="RI191" s="2"/>
      <c r="RJ191" s="2"/>
      <c r="RK191" s="2"/>
      <c r="RL191" s="2"/>
      <c r="RM191" s="2"/>
      <c r="RN191" s="2"/>
      <c r="RO191" s="2"/>
      <c r="RP191" s="2"/>
      <c r="RQ191" s="2"/>
      <c r="RR191" s="2"/>
      <c r="RS191" s="2"/>
      <c r="RT191" s="2"/>
      <c r="RU191" s="2"/>
      <c r="RV191" s="2"/>
      <c r="RW191" s="2"/>
      <c r="RX191" s="2"/>
      <c r="RY191" s="2"/>
      <c r="RZ191" s="2"/>
      <c r="SA191" s="2"/>
      <c r="SB191" s="2"/>
      <c r="SC191" s="2"/>
      <c r="SD191" s="2"/>
      <c r="SE191" s="2"/>
      <c r="SF191" s="2"/>
      <c r="SG191" s="2"/>
      <c r="SH191" s="2"/>
      <c r="SI191" s="2"/>
      <c r="SJ191" s="2"/>
      <c r="SK191" s="2"/>
      <c r="SL191" s="2"/>
      <c r="SM191" s="2"/>
      <c r="SN191" s="2"/>
      <c r="SO191" s="2"/>
      <c r="SP191" s="2"/>
      <c r="SQ191" s="2"/>
      <c r="SR191" s="2"/>
      <c r="SS191" s="2"/>
      <c r="ST191" s="2"/>
      <c r="SU191" s="2"/>
      <c r="SV191" s="2"/>
      <c r="SW191" s="2"/>
      <c r="SX191" s="2"/>
    </row>
    <row r="192" spans="33:518" x14ac:dyDescent="0.25"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  <c r="FK192" s="2"/>
      <c r="FL192" s="2"/>
      <c r="FM192" s="2"/>
      <c r="FN192" s="2"/>
      <c r="FO192" s="2"/>
      <c r="FP192" s="2"/>
      <c r="FQ192" s="2"/>
      <c r="FR192" s="2"/>
      <c r="FS192" s="2"/>
      <c r="FT192" s="2"/>
      <c r="FU192" s="2"/>
      <c r="FV192" s="2"/>
      <c r="FW192" s="2"/>
      <c r="FX192" s="2"/>
      <c r="FY192" s="2"/>
      <c r="FZ192" s="2"/>
      <c r="GA192" s="2"/>
      <c r="GB192" s="2"/>
      <c r="GC192" s="2"/>
      <c r="GD192" s="2"/>
      <c r="GE192" s="2"/>
      <c r="GF192" s="2"/>
      <c r="GG192" s="2"/>
      <c r="GH192" s="2"/>
      <c r="GI192" s="2"/>
      <c r="GJ192" s="2"/>
      <c r="GK192" s="2"/>
      <c r="GL192" s="2"/>
      <c r="GM192" s="2"/>
      <c r="GN192" s="2"/>
      <c r="GO192" s="2"/>
      <c r="GP192" s="2"/>
      <c r="GQ192" s="2"/>
      <c r="GR192" s="2"/>
      <c r="GS192" s="2"/>
      <c r="GT192" s="2"/>
      <c r="GU192" s="2"/>
      <c r="GV192" s="2"/>
      <c r="GW192" s="2"/>
      <c r="GX192" s="2"/>
      <c r="GY192" s="2"/>
      <c r="GZ192" s="2"/>
      <c r="HA192" s="2"/>
      <c r="HB192" s="2"/>
      <c r="HC192" s="2"/>
      <c r="HD192" s="2"/>
      <c r="HE192" s="2"/>
      <c r="HF192" s="2"/>
      <c r="HG192" s="2"/>
      <c r="HH192" s="2"/>
      <c r="HI192" s="2"/>
      <c r="HJ192" s="2"/>
      <c r="HK192" s="2"/>
      <c r="HL192" s="2"/>
      <c r="HM192" s="2"/>
      <c r="HN192" s="2"/>
      <c r="HO192" s="2"/>
      <c r="HP192" s="2"/>
      <c r="HQ192" s="2"/>
      <c r="HR192" s="2"/>
      <c r="HS192" s="2"/>
      <c r="HT192" s="2"/>
      <c r="HU192" s="2"/>
      <c r="HV192" s="2"/>
      <c r="HW192" s="2"/>
      <c r="HX192" s="2"/>
      <c r="HY192" s="2"/>
      <c r="HZ192" s="2"/>
      <c r="IA192" s="2"/>
      <c r="IB192" s="2"/>
      <c r="IC192" s="2"/>
      <c r="ID192" s="2"/>
      <c r="IE192" s="2"/>
      <c r="IF192" s="2"/>
      <c r="IG192" s="2"/>
      <c r="IH192" s="2"/>
      <c r="II192" s="2"/>
      <c r="IJ192" s="2"/>
      <c r="IK192" s="2"/>
      <c r="IL192" s="2"/>
      <c r="IM192" s="2"/>
      <c r="IN192" s="2"/>
      <c r="IO192" s="2"/>
      <c r="IP192" s="2"/>
      <c r="IQ192" s="2"/>
      <c r="IR192" s="2"/>
      <c r="IS192" s="2"/>
      <c r="IT192" s="2"/>
      <c r="IU192" s="2"/>
      <c r="IV192" s="2"/>
      <c r="IW192" s="2"/>
      <c r="IX192" s="2"/>
      <c r="IY192" s="2"/>
      <c r="IZ192" s="2"/>
      <c r="JA192" s="2"/>
      <c r="JB192" s="2"/>
      <c r="JC192" s="2"/>
      <c r="JD192" s="2"/>
      <c r="JE192" s="2"/>
      <c r="JF192" s="2"/>
      <c r="JG192" s="2"/>
      <c r="JH192" s="2"/>
      <c r="JI192" s="2"/>
      <c r="JJ192" s="2"/>
      <c r="JK192" s="2"/>
      <c r="JL192" s="2"/>
      <c r="JM192" s="2"/>
      <c r="JN192" s="2"/>
      <c r="JO192" s="2"/>
      <c r="JP192" s="2"/>
      <c r="JQ192" s="2"/>
      <c r="JR192" s="2"/>
      <c r="JS192" s="2"/>
      <c r="JT192" s="2"/>
      <c r="JU192" s="2"/>
      <c r="JV192" s="2"/>
      <c r="JW192" s="2"/>
      <c r="JX192" s="2"/>
      <c r="JY192" s="2"/>
      <c r="JZ192" s="2"/>
      <c r="KA192" s="2"/>
      <c r="KB192" s="2"/>
      <c r="KC192" s="2"/>
      <c r="KD192" s="2"/>
      <c r="KE192" s="2"/>
      <c r="KF192" s="2"/>
      <c r="KG192" s="2"/>
      <c r="KH192" s="2"/>
      <c r="KI192" s="2"/>
      <c r="KJ192" s="2"/>
      <c r="KK192" s="2"/>
      <c r="KL192" s="2"/>
      <c r="KM192" s="2"/>
      <c r="KN192" s="2"/>
      <c r="KO192" s="2"/>
      <c r="KP192" s="2"/>
      <c r="KQ192" s="2"/>
      <c r="KR192" s="2"/>
      <c r="KS192" s="2"/>
      <c r="KT192" s="2"/>
      <c r="KU192" s="2"/>
      <c r="KV192" s="2"/>
      <c r="KW192" s="2"/>
      <c r="KX192" s="2"/>
      <c r="KY192" s="2"/>
      <c r="KZ192" s="2"/>
      <c r="LA192" s="2"/>
      <c r="LB192" s="2"/>
      <c r="LC192" s="2"/>
      <c r="LD192" s="2"/>
      <c r="LE192" s="2"/>
      <c r="LF192" s="2"/>
      <c r="LG192" s="2"/>
      <c r="LH192" s="2"/>
      <c r="LI192" s="2"/>
      <c r="LJ192" s="2"/>
      <c r="LK192" s="2"/>
      <c r="LL192" s="2"/>
      <c r="LM192" s="2"/>
      <c r="LN192" s="2"/>
      <c r="LO192" s="2"/>
      <c r="LP192" s="2"/>
      <c r="LQ192" s="2"/>
      <c r="LR192" s="2"/>
      <c r="LS192" s="2"/>
      <c r="LT192" s="2"/>
      <c r="LU192" s="2"/>
      <c r="LV192" s="2"/>
      <c r="LW192" s="2"/>
      <c r="LX192" s="2"/>
      <c r="LY192" s="2"/>
      <c r="LZ192" s="2"/>
      <c r="MA192" s="2"/>
      <c r="MB192" s="2"/>
      <c r="MC192" s="2"/>
      <c r="MD192" s="2"/>
      <c r="ME192" s="2"/>
      <c r="MF192" s="2"/>
      <c r="MG192" s="2"/>
      <c r="MH192" s="2"/>
      <c r="MI192" s="2"/>
      <c r="MJ192" s="2"/>
      <c r="MK192" s="2"/>
      <c r="ML192" s="2"/>
      <c r="MM192" s="2"/>
      <c r="MN192" s="2"/>
      <c r="MO192" s="2"/>
      <c r="MP192" s="2"/>
      <c r="MQ192" s="2"/>
      <c r="MR192" s="2"/>
      <c r="MS192" s="2"/>
      <c r="MT192" s="2"/>
      <c r="MU192" s="2"/>
      <c r="MV192" s="2"/>
      <c r="MW192" s="2"/>
      <c r="MX192" s="2"/>
      <c r="MY192" s="2"/>
      <c r="MZ192" s="2"/>
      <c r="NA192" s="2"/>
      <c r="NB192" s="2"/>
      <c r="NC192" s="2"/>
      <c r="ND192" s="2"/>
      <c r="NE192" s="2"/>
      <c r="NF192" s="2"/>
      <c r="NG192" s="2"/>
      <c r="NH192" s="2"/>
      <c r="NI192" s="2"/>
      <c r="NJ192" s="2"/>
      <c r="NK192" s="2"/>
      <c r="NL192" s="2"/>
      <c r="NM192" s="2"/>
      <c r="NN192" s="2"/>
      <c r="NO192" s="2"/>
      <c r="NP192" s="2"/>
      <c r="NQ192" s="2"/>
      <c r="NR192" s="2"/>
      <c r="NS192" s="2"/>
      <c r="NT192" s="2"/>
      <c r="NU192" s="2"/>
      <c r="NV192" s="2"/>
      <c r="NW192" s="2"/>
      <c r="NX192" s="2"/>
      <c r="NY192" s="2"/>
      <c r="NZ192" s="2"/>
      <c r="OA192" s="2"/>
      <c r="OB192" s="2"/>
      <c r="OC192" s="2"/>
      <c r="OD192" s="2"/>
      <c r="OE192" s="2"/>
      <c r="OF192" s="2"/>
      <c r="OG192" s="2"/>
      <c r="OH192" s="2"/>
      <c r="OI192" s="2"/>
      <c r="OJ192" s="2"/>
      <c r="OK192" s="2"/>
      <c r="OL192" s="2"/>
      <c r="OM192" s="2"/>
      <c r="ON192" s="2"/>
      <c r="OO192" s="2"/>
      <c r="OP192" s="2"/>
      <c r="OQ192" s="2"/>
      <c r="OR192" s="2"/>
      <c r="OS192" s="2"/>
      <c r="OT192" s="2"/>
      <c r="OU192" s="2"/>
      <c r="OV192" s="2"/>
      <c r="OW192" s="2"/>
      <c r="OX192" s="2"/>
      <c r="OY192" s="2"/>
      <c r="OZ192" s="2"/>
      <c r="PA192" s="2"/>
      <c r="PB192" s="2"/>
      <c r="PC192" s="2"/>
      <c r="PD192" s="2"/>
      <c r="PE192" s="2"/>
      <c r="PF192" s="2"/>
      <c r="PG192" s="2"/>
      <c r="PH192" s="2"/>
      <c r="PI192" s="2"/>
      <c r="PJ192" s="2"/>
      <c r="PK192" s="2"/>
      <c r="PL192" s="2"/>
      <c r="PM192" s="2"/>
      <c r="PN192" s="2"/>
      <c r="PO192" s="2"/>
      <c r="PP192" s="2"/>
      <c r="PQ192" s="2"/>
      <c r="PR192" s="2"/>
      <c r="PS192" s="2"/>
      <c r="PT192" s="2"/>
      <c r="PU192" s="2"/>
      <c r="PV192" s="2"/>
      <c r="PW192" s="2"/>
      <c r="PX192" s="2"/>
      <c r="PY192" s="2"/>
      <c r="PZ192" s="2"/>
      <c r="QA192" s="2"/>
      <c r="QB192" s="2"/>
      <c r="QC192" s="2"/>
      <c r="QD192" s="2"/>
      <c r="QE192" s="2"/>
      <c r="QF192" s="2"/>
      <c r="QG192" s="2"/>
      <c r="QH192" s="2"/>
      <c r="QI192" s="2"/>
      <c r="QJ192" s="2"/>
      <c r="QK192" s="2"/>
      <c r="QL192" s="2"/>
      <c r="QM192" s="2"/>
      <c r="QN192" s="2"/>
      <c r="QO192" s="2"/>
      <c r="QP192" s="2"/>
      <c r="QQ192" s="2"/>
      <c r="QR192" s="2"/>
      <c r="QS192" s="2"/>
      <c r="QT192" s="2"/>
      <c r="QU192" s="2"/>
      <c r="QV192" s="2"/>
      <c r="QW192" s="2"/>
      <c r="QX192" s="2"/>
      <c r="QY192" s="2"/>
      <c r="QZ192" s="2"/>
      <c r="RA192" s="2"/>
      <c r="RB192" s="2"/>
      <c r="RC192" s="2"/>
      <c r="RD192" s="2"/>
      <c r="RE192" s="2"/>
      <c r="RF192" s="2"/>
      <c r="RG192" s="2"/>
      <c r="RH192" s="2"/>
      <c r="RI192" s="2"/>
      <c r="RJ192" s="2"/>
      <c r="RK192" s="2"/>
      <c r="RL192" s="2"/>
      <c r="RM192" s="2"/>
      <c r="RN192" s="2"/>
      <c r="RO192" s="2"/>
      <c r="RP192" s="2"/>
      <c r="RQ192" s="2"/>
      <c r="RR192" s="2"/>
      <c r="RS192" s="2"/>
      <c r="RT192" s="2"/>
      <c r="RU192" s="2"/>
      <c r="RV192" s="2"/>
      <c r="RW192" s="2"/>
      <c r="RX192" s="2"/>
      <c r="RY192" s="2"/>
      <c r="RZ192" s="2"/>
      <c r="SA192" s="2"/>
      <c r="SB192" s="2"/>
      <c r="SC192" s="2"/>
      <c r="SD192" s="2"/>
      <c r="SE192" s="2"/>
      <c r="SF192" s="2"/>
      <c r="SG192" s="2"/>
      <c r="SH192" s="2"/>
      <c r="SI192" s="2"/>
      <c r="SJ192" s="2"/>
      <c r="SK192" s="2"/>
      <c r="SL192" s="2"/>
      <c r="SM192" s="2"/>
      <c r="SN192" s="2"/>
      <c r="SO192" s="2"/>
      <c r="SP192" s="2"/>
      <c r="SQ192" s="2"/>
      <c r="SR192" s="2"/>
      <c r="SS192" s="2"/>
      <c r="ST192" s="2"/>
      <c r="SU192" s="2"/>
      <c r="SV192" s="2"/>
      <c r="SW192" s="2"/>
      <c r="SX192" s="2"/>
    </row>
    <row r="193" spans="33:518" x14ac:dyDescent="0.25"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  <c r="FK193" s="2"/>
      <c r="FL193" s="2"/>
      <c r="FM193" s="2"/>
      <c r="FN193" s="2"/>
      <c r="FO193" s="2"/>
      <c r="FP193" s="2"/>
      <c r="FQ193" s="2"/>
      <c r="FR193" s="2"/>
      <c r="FS193" s="2"/>
      <c r="FT193" s="2"/>
      <c r="FU193" s="2"/>
      <c r="FV193" s="2"/>
      <c r="FW193" s="2"/>
      <c r="FX193" s="2"/>
      <c r="FY193" s="2"/>
      <c r="FZ193" s="2"/>
      <c r="GA193" s="2"/>
      <c r="GB193" s="2"/>
      <c r="GC193" s="2"/>
      <c r="GD193" s="2"/>
      <c r="GE193" s="2"/>
      <c r="GF193" s="2"/>
      <c r="GG193" s="2"/>
      <c r="GH193" s="2"/>
      <c r="GI193" s="2"/>
      <c r="GJ193" s="2"/>
      <c r="GK193" s="2"/>
      <c r="GL193" s="2"/>
      <c r="GM193" s="2"/>
      <c r="GN193" s="2"/>
      <c r="GO193" s="2"/>
      <c r="GP193" s="2"/>
      <c r="GQ193" s="2"/>
      <c r="GR193" s="2"/>
      <c r="GS193" s="2"/>
      <c r="GT193" s="2"/>
      <c r="GU193" s="2"/>
      <c r="GV193" s="2"/>
      <c r="GW193" s="2"/>
      <c r="GX193" s="2"/>
      <c r="GY193" s="2"/>
      <c r="GZ193" s="2"/>
      <c r="HA193" s="2"/>
      <c r="HB193" s="2"/>
      <c r="HC193" s="2"/>
      <c r="HD193" s="2"/>
      <c r="HE193" s="2"/>
      <c r="HF193" s="2"/>
      <c r="HG193" s="2"/>
      <c r="HH193" s="2"/>
      <c r="HI193" s="2"/>
      <c r="HJ193" s="2"/>
      <c r="HK193" s="2"/>
      <c r="HL193" s="2"/>
      <c r="HM193" s="2"/>
      <c r="HN193" s="2"/>
      <c r="HO193" s="2"/>
      <c r="HP193" s="2"/>
      <c r="HQ193" s="2"/>
      <c r="HR193" s="2"/>
      <c r="HS193" s="2"/>
      <c r="HT193" s="2"/>
      <c r="HU193" s="2"/>
      <c r="HV193" s="2"/>
      <c r="HW193" s="2"/>
      <c r="HX193" s="2"/>
      <c r="HY193" s="2"/>
      <c r="HZ193" s="2"/>
      <c r="IA193" s="2"/>
      <c r="IB193" s="2"/>
      <c r="IC193" s="2"/>
      <c r="ID193" s="2"/>
      <c r="IE193" s="2"/>
      <c r="IF193" s="2"/>
      <c r="IG193" s="2"/>
      <c r="IH193" s="2"/>
      <c r="II193" s="2"/>
      <c r="IJ193" s="2"/>
      <c r="IK193" s="2"/>
      <c r="IL193" s="2"/>
      <c r="IM193" s="2"/>
      <c r="IN193" s="2"/>
      <c r="IO193" s="2"/>
      <c r="IP193" s="2"/>
      <c r="IQ193" s="2"/>
      <c r="IR193" s="2"/>
      <c r="IS193" s="2"/>
      <c r="IT193" s="2"/>
      <c r="IU193" s="2"/>
      <c r="IV193" s="2"/>
      <c r="IW193" s="2"/>
      <c r="IX193" s="2"/>
      <c r="IY193" s="2"/>
      <c r="IZ193" s="2"/>
      <c r="JA193" s="2"/>
      <c r="JB193" s="2"/>
      <c r="JC193" s="2"/>
      <c r="JD193" s="2"/>
      <c r="JE193" s="2"/>
      <c r="JF193" s="2"/>
      <c r="JG193" s="2"/>
      <c r="JH193" s="2"/>
      <c r="JI193" s="2"/>
      <c r="JJ193" s="2"/>
      <c r="JK193" s="2"/>
      <c r="JL193" s="2"/>
      <c r="JM193" s="2"/>
      <c r="JN193" s="2"/>
      <c r="JO193" s="2"/>
      <c r="JP193" s="2"/>
      <c r="JQ193" s="2"/>
      <c r="JR193" s="2"/>
      <c r="JS193" s="2"/>
      <c r="JT193" s="2"/>
      <c r="JU193" s="2"/>
      <c r="JV193" s="2"/>
      <c r="JW193" s="2"/>
      <c r="JX193" s="2"/>
      <c r="JY193" s="2"/>
      <c r="JZ193" s="2"/>
      <c r="KA193" s="2"/>
      <c r="KB193" s="2"/>
      <c r="KC193" s="2"/>
      <c r="KD193" s="2"/>
      <c r="KE193" s="2"/>
      <c r="KF193" s="2"/>
      <c r="KG193" s="2"/>
      <c r="KH193" s="2"/>
      <c r="KI193" s="2"/>
      <c r="KJ193" s="2"/>
      <c r="KK193" s="2"/>
      <c r="KL193" s="2"/>
      <c r="KM193" s="2"/>
      <c r="KN193" s="2"/>
      <c r="KO193" s="2"/>
      <c r="KP193" s="2"/>
      <c r="KQ193" s="2"/>
      <c r="KR193" s="2"/>
      <c r="KS193" s="2"/>
      <c r="KT193" s="2"/>
      <c r="KU193" s="2"/>
      <c r="KV193" s="2"/>
      <c r="KW193" s="2"/>
      <c r="KX193" s="2"/>
      <c r="KY193" s="2"/>
      <c r="KZ193" s="2"/>
      <c r="LA193" s="2"/>
      <c r="LB193" s="2"/>
      <c r="LC193" s="2"/>
      <c r="LD193" s="2"/>
      <c r="LE193" s="2"/>
      <c r="LF193" s="2"/>
      <c r="LG193" s="2"/>
      <c r="LH193" s="2"/>
      <c r="LI193" s="2"/>
      <c r="LJ193" s="2"/>
      <c r="LK193" s="2"/>
      <c r="LL193" s="2"/>
      <c r="LM193" s="2"/>
      <c r="LN193" s="2"/>
      <c r="LO193" s="2"/>
      <c r="LP193" s="2"/>
      <c r="LQ193" s="2"/>
      <c r="LR193" s="2"/>
      <c r="LS193" s="2"/>
      <c r="LT193" s="2"/>
      <c r="LU193" s="2"/>
      <c r="LV193" s="2"/>
      <c r="LW193" s="2"/>
      <c r="LX193" s="2"/>
      <c r="LY193" s="2"/>
      <c r="LZ193" s="2"/>
      <c r="MA193" s="2"/>
      <c r="MB193" s="2"/>
      <c r="MC193" s="2"/>
      <c r="MD193" s="2"/>
      <c r="ME193" s="2"/>
      <c r="MF193" s="2"/>
      <c r="MG193" s="2"/>
      <c r="MH193" s="2"/>
      <c r="MI193" s="2"/>
      <c r="MJ193" s="2"/>
      <c r="MK193" s="2"/>
      <c r="ML193" s="2"/>
      <c r="MM193" s="2"/>
      <c r="MN193" s="2"/>
      <c r="MO193" s="2"/>
      <c r="MP193" s="2"/>
      <c r="MQ193" s="2"/>
      <c r="MR193" s="2"/>
      <c r="MS193" s="2"/>
      <c r="MT193" s="2"/>
      <c r="MU193" s="2"/>
      <c r="MV193" s="2"/>
      <c r="MW193" s="2"/>
      <c r="MX193" s="2"/>
      <c r="MY193" s="2"/>
      <c r="MZ193" s="2"/>
      <c r="NA193" s="2"/>
      <c r="NB193" s="2"/>
      <c r="NC193" s="2"/>
      <c r="ND193" s="2"/>
      <c r="NE193" s="2"/>
      <c r="NF193" s="2"/>
      <c r="NG193" s="2"/>
      <c r="NH193" s="2"/>
      <c r="NI193" s="2"/>
      <c r="NJ193" s="2"/>
      <c r="NK193" s="2"/>
      <c r="NL193" s="2"/>
      <c r="NM193" s="2"/>
      <c r="NN193" s="2"/>
      <c r="NO193" s="2"/>
      <c r="NP193" s="2"/>
      <c r="NQ193" s="2"/>
      <c r="NR193" s="2"/>
      <c r="NS193" s="2"/>
      <c r="NT193" s="2"/>
      <c r="NU193" s="2"/>
      <c r="NV193" s="2"/>
      <c r="NW193" s="2"/>
      <c r="NX193" s="2"/>
      <c r="NY193" s="2"/>
      <c r="NZ193" s="2"/>
      <c r="OA193" s="2"/>
      <c r="OB193" s="2"/>
      <c r="OC193" s="2"/>
      <c r="OD193" s="2"/>
      <c r="OE193" s="2"/>
      <c r="OF193" s="2"/>
      <c r="OG193" s="2"/>
      <c r="OH193" s="2"/>
      <c r="OI193" s="2"/>
      <c r="OJ193" s="2"/>
      <c r="OK193" s="2"/>
      <c r="OL193" s="2"/>
      <c r="OM193" s="2"/>
      <c r="ON193" s="2"/>
      <c r="OO193" s="2"/>
      <c r="OP193" s="2"/>
      <c r="OQ193" s="2"/>
      <c r="OR193" s="2"/>
      <c r="OS193" s="2"/>
      <c r="OT193" s="2"/>
      <c r="OU193" s="2"/>
      <c r="OV193" s="2"/>
      <c r="OW193" s="2"/>
      <c r="OX193" s="2"/>
      <c r="OY193" s="2"/>
      <c r="OZ193" s="2"/>
      <c r="PA193" s="2"/>
      <c r="PB193" s="2"/>
      <c r="PC193" s="2"/>
      <c r="PD193" s="2"/>
      <c r="PE193" s="2"/>
      <c r="PF193" s="2"/>
      <c r="PG193" s="2"/>
      <c r="PH193" s="2"/>
      <c r="PI193" s="2"/>
      <c r="PJ193" s="2"/>
      <c r="PK193" s="2"/>
      <c r="PL193" s="2"/>
      <c r="PM193" s="2"/>
      <c r="PN193" s="2"/>
      <c r="PO193" s="2"/>
      <c r="PP193" s="2"/>
      <c r="PQ193" s="2"/>
      <c r="PR193" s="2"/>
      <c r="PS193" s="2"/>
      <c r="PT193" s="2"/>
      <c r="PU193" s="2"/>
      <c r="PV193" s="2"/>
      <c r="PW193" s="2"/>
      <c r="PX193" s="2"/>
      <c r="PY193" s="2"/>
      <c r="PZ193" s="2"/>
      <c r="QA193" s="2"/>
      <c r="QB193" s="2"/>
      <c r="QC193" s="2"/>
      <c r="QD193" s="2"/>
      <c r="QE193" s="2"/>
      <c r="QF193" s="2"/>
      <c r="QG193" s="2"/>
      <c r="QH193" s="2"/>
      <c r="QI193" s="2"/>
      <c r="QJ193" s="2"/>
      <c r="QK193" s="2"/>
      <c r="QL193" s="2"/>
      <c r="QM193" s="2"/>
      <c r="QN193" s="2"/>
      <c r="QO193" s="2"/>
      <c r="QP193" s="2"/>
      <c r="QQ193" s="2"/>
      <c r="QR193" s="2"/>
      <c r="QS193" s="2"/>
      <c r="QT193" s="2"/>
      <c r="QU193" s="2"/>
      <c r="QV193" s="2"/>
      <c r="QW193" s="2"/>
      <c r="QX193" s="2"/>
      <c r="QY193" s="2"/>
      <c r="QZ193" s="2"/>
      <c r="RA193" s="2"/>
      <c r="RB193" s="2"/>
      <c r="RC193" s="2"/>
      <c r="RD193" s="2"/>
      <c r="RE193" s="2"/>
      <c r="RF193" s="2"/>
      <c r="RG193" s="2"/>
      <c r="RH193" s="2"/>
      <c r="RI193" s="2"/>
      <c r="RJ193" s="2"/>
      <c r="RK193" s="2"/>
      <c r="RL193" s="2"/>
      <c r="RM193" s="2"/>
      <c r="RN193" s="2"/>
      <c r="RO193" s="2"/>
      <c r="RP193" s="2"/>
      <c r="RQ193" s="2"/>
      <c r="RR193" s="2"/>
      <c r="RS193" s="2"/>
      <c r="RT193" s="2"/>
      <c r="RU193" s="2"/>
      <c r="RV193" s="2"/>
      <c r="RW193" s="2"/>
      <c r="RX193" s="2"/>
      <c r="RY193" s="2"/>
      <c r="RZ193" s="2"/>
      <c r="SA193" s="2"/>
      <c r="SB193" s="2"/>
      <c r="SC193" s="2"/>
      <c r="SD193" s="2"/>
      <c r="SE193" s="2"/>
      <c r="SF193" s="2"/>
      <c r="SG193" s="2"/>
      <c r="SH193" s="2"/>
      <c r="SI193" s="2"/>
      <c r="SJ193" s="2"/>
      <c r="SK193" s="2"/>
      <c r="SL193" s="2"/>
      <c r="SM193" s="2"/>
      <c r="SN193" s="2"/>
      <c r="SO193" s="2"/>
      <c r="SP193" s="2"/>
      <c r="SQ193" s="2"/>
      <c r="SR193" s="2"/>
      <c r="SS193" s="2"/>
      <c r="ST193" s="2"/>
      <c r="SU193" s="2"/>
      <c r="SV193" s="2"/>
      <c r="SW193" s="2"/>
      <c r="SX193" s="2"/>
    </row>
    <row r="194" spans="33:518" x14ac:dyDescent="0.25"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  <c r="CD194" s="2"/>
      <c r="CE194" s="2"/>
      <c r="CF194" s="2"/>
      <c r="CG194" s="2"/>
      <c r="CH194" s="2"/>
      <c r="CI194" s="2"/>
      <c r="CJ194" s="2"/>
      <c r="CK194" s="2"/>
      <c r="CL194" s="2"/>
      <c r="CM194" s="2"/>
      <c r="CN194" s="2"/>
      <c r="CO194" s="2"/>
      <c r="CP194" s="2"/>
      <c r="CQ194" s="2"/>
      <c r="CR194" s="2"/>
      <c r="CS194" s="2"/>
      <c r="CT194" s="2"/>
      <c r="CU194" s="2"/>
      <c r="CV194" s="2"/>
      <c r="CW194" s="2"/>
      <c r="CX194" s="2"/>
      <c r="CY194" s="2"/>
      <c r="CZ194" s="2"/>
      <c r="DA194" s="2"/>
      <c r="DB194" s="2"/>
      <c r="DC194" s="2"/>
      <c r="DD194" s="2"/>
      <c r="DE194" s="2"/>
      <c r="DF194" s="2"/>
      <c r="DG194" s="2"/>
      <c r="DH194" s="2"/>
      <c r="DI194" s="2"/>
      <c r="DJ194" s="2"/>
      <c r="DK194" s="2"/>
      <c r="DL194" s="2"/>
      <c r="DM194" s="2"/>
      <c r="DN194" s="2"/>
      <c r="DO194" s="2"/>
      <c r="DP194" s="2"/>
      <c r="DQ194" s="2"/>
      <c r="DR194" s="2"/>
      <c r="DS194" s="2"/>
      <c r="DT194" s="2"/>
      <c r="DU194" s="2"/>
      <c r="DV194" s="2"/>
      <c r="DW194" s="2"/>
      <c r="DX194" s="2"/>
      <c r="DY194" s="2"/>
      <c r="DZ194" s="2"/>
      <c r="EA194" s="2"/>
      <c r="EB194" s="2"/>
      <c r="EC194" s="2"/>
      <c r="ED194" s="2"/>
      <c r="EE194" s="2"/>
      <c r="EF194" s="2"/>
      <c r="EG194" s="2"/>
      <c r="EH194" s="2"/>
      <c r="EI194" s="2"/>
      <c r="EJ194" s="2"/>
      <c r="EK194" s="2"/>
      <c r="EL194" s="2"/>
      <c r="EM194" s="2"/>
      <c r="EN194" s="2"/>
      <c r="EO194" s="2"/>
      <c r="EP194" s="2"/>
      <c r="EQ194" s="2"/>
      <c r="ER194" s="2"/>
      <c r="ES194" s="2"/>
      <c r="ET194" s="2"/>
      <c r="EU194" s="2"/>
      <c r="EV194" s="2"/>
      <c r="EW194" s="2"/>
      <c r="EX194" s="2"/>
      <c r="EY194" s="2"/>
      <c r="EZ194" s="2"/>
      <c r="FA194" s="2"/>
      <c r="FB194" s="2"/>
      <c r="FC194" s="2"/>
      <c r="FD194" s="2"/>
      <c r="FE194" s="2"/>
      <c r="FF194" s="2"/>
      <c r="FG194" s="2"/>
      <c r="FH194" s="2"/>
      <c r="FI194" s="2"/>
      <c r="FJ194" s="2"/>
      <c r="FK194" s="2"/>
      <c r="FL194" s="2"/>
      <c r="FM194" s="2"/>
      <c r="FN194" s="2"/>
      <c r="FO194" s="2"/>
      <c r="FP194" s="2"/>
      <c r="FQ194" s="2"/>
      <c r="FR194" s="2"/>
      <c r="FS194" s="2"/>
      <c r="FT194" s="2"/>
      <c r="FU194" s="2"/>
      <c r="FV194" s="2"/>
      <c r="FW194" s="2"/>
      <c r="FX194" s="2"/>
      <c r="FY194" s="2"/>
      <c r="FZ194" s="2"/>
      <c r="GA194" s="2"/>
      <c r="GB194" s="2"/>
      <c r="GC194" s="2"/>
      <c r="GD194" s="2"/>
      <c r="GE194" s="2"/>
      <c r="GF194" s="2"/>
      <c r="GG194" s="2"/>
      <c r="GH194" s="2"/>
      <c r="GI194" s="2"/>
      <c r="GJ194" s="2"/>
      <c r="GK194" s="2"/>
      <c r="GL194" s="2"/>
      <c r="GM194" s="2"/>
      <c r="GN194" s="2"/>
      <c r="GO194" s="2"/>
      <c r="GP194" s="2"/>
      <c r="GQ194" s="2"/>
      <c r="GR194" s="2"/>
      <c r="GS194" s="2"/>
      <c r="GT194" s="2"/>
      <c r="GU194" s="2"/>
      <c r="GV194" s="2"/>
      <c r="GW194" s="2"/>
      <c r="GX194" s="2"/>
      <c r="GY194" s="2"/>
      <c r="GZ194" s="2"/>
      <c r="HA194" s="2"/>
      <c r="HB194" s="2"/>
      <c r="HC194" s="2"/>
      <c r="HD194" s="2"/>
      <c r="HE194" s="2"/>
      <c r="HF194" s="2"/>
      <c r="HG194" s="2"/>
      <c r="HH194" s="2"/>
      <c r="HI194" s="2"/>
      <c r="HJ194" s="2"/>
      <c r="HK194" s="2"/>
      <c r="HL194" s="2"/>
      <c r="HM194" s="2"/>
      <c r="HN194" s="2"/>
      <c r="HO194" s="2"/>
      <c r="HP194" s="2"/>
      <c r="HQ194" s="2"/>
      <c r="HR194" s="2"/>
      <c r="HS194" s="2"/>
      <c r="HT194" s="2"/>
      <c r="HU194" s="2"/>
      <c r="HV194" s="2"/>
      <c r="HW194" s="2"/>
      <c r="HX194" s="2"/>
      <c r="HY194" s="2"/>
      <c r="HZ194" s="2"/>
      <c r="IA194" s="2"/>
      <c r="IB194" s="2"/>
      <c r="IC194" s="2"/>
      <c r="ID194" s="2"/>
      <c r="IE194" s="2"/>
      <c r="IF194" s="2"/>
      <c r="IG194" s="2"/>
      <c r="IH194" s="2"/>
      <c r="II194" s="2"/>
      <c r="IJ194" s="2"/>
      <c r="IK194" s="2"/>
      <c r="IL194" s="2"/>
      <c r="IM194" s="2"/>
      <c r="IN194" s="2"/>
      <c r="IO194" s="2"/>
      <c r="IP194" s="2"/>
      <c r="IQ194" s="2"/>
      <c r="IR194" s="2"/>
      <c r="IS194" s="2"/>
      <c r="IT194" s="2"/>
      <c r="IU194" s="2"/>
      <c r="IV194" s="2"/>
      <c r="IW194" s="2"/>
      <c r="IX194" s="2"/>
      <c r="IY194" s="2"/>
      <c r="IZ194" s="2"/>
      <c r="JA194" s="2"/>
      <c r="JB194" s="2"/>
      <c r="JC194" s="2"/>
      <c r="JD194" s="2"/>
      <c r="JE194" s="2"/>
      <c r="JF194" s="2"/>
      <c r="JG194" s="2"/>
      <c r="JH194" s="2"/>
      <c r="JI194" s="2"/>
      <c r="JJ194" s="2"/>
      <c r="JK194" s="2"/>
      <c r="JL194" s="2"/>
      <c r="JM194" s="2"/>
      <c r="JN194" s="2"/>
      <c r="JO194" s="2"/>
      <c r="JP194" s="2"/>
      <c r="JQ194" s="2"/>
      <c r="JR194" s="2"/>
      <c r="JS194" s="2"/>
      <c r="JT194" s="2"/>
      <c r="JU194" s="2"/>
      <c r="JV194" s="2"/>
      <c r="JW194" s="2"/>
      <c r="JX194" s="2"/>
      <c r="JY194" s="2"/>
      <c r="JZ194" s="2"/>
      <c r="KA194" s="2"/>
      <c r="KB194" s="2"/>
      <c r="KC194" s="2"/>
      <c r="KD194" s="2"/>
      <c r="KE194" s="2"/>
      <c r="KF194" s="2"/>
      <c r="KG194" s="2"/>
      <c r="KH194" s="2"/>
      <c r="KI194" s="2"/>
      <c r="KJ194" s="2"/>
      <c r="KK194" s="2"/>
      <c r="KL194" s="2"/>
      <c r="KM194" s="2"/>
      <c r="KN194" s="2"/>
      <c r="KO194" s="2"/>
      <c r="KP194" s="2"/>
      <c r="KQ194" s="2"/>
      <c r="KR194" s="2"/>
      <c r="KS194" s="2"/>
      <c r="KT194" s="2"/>
      <c r="KU194" s="2"/>
      <c r="KV194" s="2"/>
      <c r="KW194" s="2"/>
      <c r="KX194" s="2"/>
      <c r="KY194" s="2"/>
      <c r="KZ194" s="2"/>
      <c r="LA194" s="2"/>
      <c r="LB194" s="2"/>
      <c r="LC194" s="2"/>
      <c r="LD194" s="2"/>
      <c r="LE194" s="2"/>
      <c r="LF194" s="2"/>
      <c r="LG194" s="2"/>
      <c r="LH194" s="2"/>
      <c r="LI194" s="2"/>
      <c r="LJ194" s="2"/>
      <c r="LK194" s="2"/>
      <c r="LL194" s="2"/>
      <c r="LM194" s="2"/>
      <c r="LN194" s="2"/>
      <c r="LO194" s="2"/>
      <c r="LP194" s="2"/>
      <c r="LQ194" s="2"/>
      <c r="LR194" s="2"/>
      <c r="LS194" s="2"/>
      <c r="LT194" s="2"/>
      <c r="LU194" s="2"/>
      <c r="LV194" s="2"/>
      <c r="LW194" s="2"/>
      <c r="LX194" s="2"/>
      <c r="LY194" s="2"/>
      <c r="LZ194" s="2"/>
      <c r="MA194" s="2"/>
      <c r="MB194" s="2"/>
      <c r="MC194" s="2"/>
      <c r="MD194" s="2"/>
      <c r="ME194" s="2"/>
      <c r="MF194" s="2"/>
      <c r="MG194" s="2"/>
      <c r="MH194" s="2"/>
      <c r="MI194" s="2"/>
      <c r="MJ194" s="2"/>
      <c r="MK194" s="2"/>
      <c r="ML194" s="2"/>
      <c r="MM194" s="2"/>
      <c r="MN194" s="2"/>
      <c r="MO194" s="2"/>
      <c r="MP194" s="2"/>
      <c r="MQ194" s="2"/>
      <c r="MR194" s="2"/>
      <c r="MS194" s="2"/>
      <c r="MT194" s="2"/>
      <c r="MU194" s="2"/>
      <c r="MV194" s="2"/>
      <c r="MW194" s="2"/>
      <c r="MX194" s="2"/>
      <c r="MY194" s="2"/>
      <c r="MZ194" s="2"/>
      <c r="NA194" s="2"/>
      <c r="NB194" s="2"/>
      <c r="NC194" s="2"/>
      <c r="ND194" s="2"/>
      <c r="NE194" s="2"/>
      <c r="NF194" s="2"/>
      <c r="NG194" s="2"/>
      <c r="NH194" s="2"/>
      <c r="NI194" s="2"/>
      <c r="NJ194" s="2"/>
      <c r="NK194" s="2"/>
      <c r="NL194" s="2"/>
      <c r="NM194" s="2"/>
      <c r="NN194" s="2"/>
      <c r="NO194" s="2"/>
      <c r="NP194" s="2"/>
      <c r="NQ194" s="2"/>
      <c r="NR194" s="2"/>
      <c r="NS194" s="2"/>
      <c r="NT194" s="2"/>
      <c r="NU194" s="2"/>
      <c r="NV194" s="2"/>
      <c r="NW194" s="2"/>
      <c r="NX194" s="2"/>
      <c r="NY194" s="2"/>
      <c r="NZ194" s="2"/>
      <c r="OA194" s="2"/>
      <c r="OB194" s="2"/>
      <c r="OC194" s="2"/>
      <c r="OD194" s="2"/>
      <c r="OE194" s="2"/>
      <c r="OF194" s="2"/>
      <c r="OG194" s="2"/>
      <c r="OH194" s="2"/>
      <c r="OI194" s="2"/>
      <c r="OJ194" s="2"/>
      <c r="OK194" s="2"/>
      <c r="OL194" s="2"/>
      <c r="OM194" s="2"/>
      <c r="ON194" s="2"/>
      <c r="OO194" s="2"/>
      <c r="OP194" s="2"/>
      <c r="OQ194" s="2"/>
      <c r="OR194" s="2"/>
      <c r="OS194" s="2"/>
      <c r="OT194" s="2"/>
      <c r="OU194" s="2"/>
      <c r="OV194" s="2"/>
      <c r="OW194" s="2"/>
      <c r="OX194" s="2"/>
      <c r="OY194" s="2"/>
      <c r="OZ194" s="2"/>
      <c r="PA194" s="2"/>
      <c r="PB194" s="2"/>
      <c r="PC194" s="2"/>
      <c r="PD194" s="2"/>
      <c r="PE194" s="2"/>
      <c r="PF194" s="2"/>
      <c r="PG194" s="2"/>
      <c r="PH194" s="2"/>
      <c r="PI194" s="2"/>
      <c r="PJ194" s="2"/>
      <c r="PK194" s="2"/>
      <c r="PL194" s="2"/>
      <c r="PM194" s="2"/>
      <c r="PN194" s="2"/>
      <c r="PO194" s="2"/>
      <c r="PP194" s="2"/>
      <c r="PQ194" s="2"/>
      <c r="PR194" s="2"/>
      <c r="PS194" s="2"/>
      <c r="PT194" s="2"/>
      <c r="PU194" s="2"/>
      <c r="PV194" s="2"/>
      <c r="PW194" s="2"/>
      <c r="PX194" s="2"/>
      <c r="PY194" s="2"/>
      <c r="PZ194" s="2"/>
      <c r="QA194" s="2"/>
      <c r="QB194" s="2"/>
      <c r="QC194" s="2"/>
      <c r="QD194" s="2"/>
      <c r="QE194" s="2"/>
      <c r="QF194" s="2"/>
      <c r="QG194" s="2"/>
      <c r="QH194" s="2"/>
      <c r="QI194" s="2"/>
      <c r="QJ194" s="2"/>
      <c r="QK194" s="2"/>
      <c r="QL194" s="2"/>
      <c r="QM194" s="2"/>
      <c r="QN194" s="2"/>
      <c r="QO194" s="2"/>
      <c r="QP194" s="2"/>
      <c r="QQ194" s="2"/>
      <c r="QR194" s="2"/>
      <c r="QS194" s="2"/>
      <c r="QT194" s="2"/>
      <c r="QU194" s="2"/>
      <c r="QV194" s="2"/>
      <c r="QW194" s="2"/>
      <c r="QX194" s="2"/>
      <c r="QY194" s="2"/>
      <c r="QZ194" s="2"/>
      <c r="RA194" s="2"/>
      <c r="RB194" s="2"/>
      <c r="RC194" s="2"/>
      <c r="RD194" s="2"/>
      <c r="RE194" s="2"/>
      <c r="RF194" s="2"/>
      <c r="RG194" s="2"/>
      <c r="RH194" s="2"/>
      <c r="RI194" s="2"/>
      <c r="RJ194" s="2"/>
      <c r="RK194" s="2"/>
      <c r="RL194" s="2"/>
      <c r="RM194" s="2"/>
      <c r="RN194" s="2"/>
      <c r="RO194" s="2"/>
      <c r="RP194" s="2"/>
      <c r="RQ194" s="2"/>
      <c r="RR194" s="2"/>
      <c r="RS194" s="2"/>
      <c r="RT194" s="2"/>
      <c r="RU194" s="2"/>
      <c r="RV194" s="2"/>
      <c r="RW194" s="2"/>
      <c r="RX194" s="2"/>
      <c r="RY194" s="2"/>
      <c r="RZ194" s="2"/>
      <c r="SA194" s="2"/>
      <c r="SB194" s="2"/>
      <c r="SC194" s="2"/>
      <c r="SD194" s="2"/>
      <c r="SE194" s="2"/>
      <c r="SF194" s="2"/>
      <c r="SG194" s="2"/>
      <c r="SH194" s="2"/>
      <c r="SI194" s="2"/>
      <c r="SJ194" s="2"/>
      <c r="SK194" s="2"/>
      <c r="SL194" s="2"/>
      <c r="SM194" s="2"/>
      <c r="SN194" s="2"/>
      <c r="SO194" s="2"/>
      <c r="SP194" s="2"/>
      <c r="SQ194" s="2"/>
      <c r="SR194" s="2"/>
      <c r="SS194" s="2"/>
      <c r="ST194" s="2"/>
      <c r="SU194" s="2"/>
      <c r="SV194" s="2"/>
      <c r="SW194" s="2"/>
      <c r="SX194" s="2"/>
    </row>
    <row r="195" spans="33:518" x14ac:dyDescent="0.25"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  <c r="FK195" s="2"/>
      <c r="FL195" s="2"/>
      <c r="FM195" s="2"/>
      <c r="FN195" s="2"/>
      <c r="FO195" s="2"/>
      <c r="FP195" s="2"/>
      <c r="FQ195" s="2"/>
      <c r="FR195" s="2"/>
      <c r="FS195" s="2"/>
      <c r="FT195" s="2"/>
      <c r="FU195" s="2"/>
      <c r="FV195" s="2"/>
      <c r="FW195" s="2"/>
      <c r="FX195" s="2"/>
      <c r="FY195" s="2"/>
      <c r="FZ195" s="2"/>
      <c r="GA195" s="2"/>
      <c r="GB195" s="2"/>
      <c r="GC195" s="2"/>
      <c r="GD195" s="2"/>
      <c r="GE195" s="2"/>
      <c r="GF195" s="2"/>
      <c r="GG195" s="2"/>
      <c r="GH195" s="2"/>
      <c r="GI195" s="2"/>
      <c r="GJ195" s="2"/>
      <c r="GK195" s="2"/>
      <c r="GL195" s="2"/>
      <c r="GM195" s="2"/>
      <c r="GN195" s="2"/>
      <c r="GO195" s="2"/>
      <c r="GP195" s="2"/>
      <c r="GQ195" s="2"/>
      <c r="GR195" s="2"/>
      <c r="GS195" s="2"/>
      <c r="GT195" s="2"/>
      <c r="GU195" s="2"/>
      <c r="GV195" s="2"/>
      <c r="GW195" s="2"/>
      <c r="GX195" s="2"/>
      <c r="GY195" s="2"/>
      <c r="GZ195" s="2"/>
      <c r="HA195" s="2"/>
      <c r="HB195" s="2"/>
      <c r="HC195" s="2"/>
      <c r="HD195" s="2"/>
      <c r="HE195" s="2"/>
      <c r="HF195" s="2"/>
      <c r="HG195" s="2"/>
      <c r="HH195" s="2"/>
      <c r="HI195" s="2"/>
      <c r="HJ195" s="2"/>
      <c r="HK195" s="2"/>
      <c r="HL195" s="2"/>
      <c r="HM195" s="2"/>
      <c r="HN195" s="2"/>
      <c r="HO195" s="2"/>
      <c r="HP195" s="2"/>
      <c r="HQ195" s="2"/>
      <c r="HR195" s="2"/>
      <c r="HS195" s="2"/>
      <c r="HT195" s="2"/>
      <c r="HU195" s="2"/>
      <c r="HV195" s="2"/>
      <c r="HW195" s="2"/>
      <c r="HX195" s="2"/>
      <c r="HY195" s="2"/>
      <c r="HZ195" s="2"/>
      <c r="IA195" s="2"/>
      <c r="IB195" s="2"/>
      <c r="IC195" s="2"/>
      <c r="ID195" s="2"/>
      <c r="IE195" s="2"/>
      <c r="IF195" s="2"/>
      <c r="IG195" s="2"/>
      <c r="IH195" s="2"/>
      <c r="II195" s="2"/>
      <c r="IJ195" s="2"/>
      <c r="IK195" s="2"/>
      <c r="IL195" s="2"/>
      <c r="IM195" s="2"/>
      <c r="IN195" s="2"/>
      <c r="IO195" s="2"/>
      <c r="IP195" s="2"/>
      <c r="IQ195" s="2"/>
      <c r="IR195" s="2"/>
      <c r="IS195" s="2"/>
      <c r="IT195" s="2"/>
      <c r="IU195" s="2"/>
      <c r="IV195" s="2"/>
      <c r="IW195" s="2"/>
      <c r="IX195" s="2"/>
      <c r="IY195" s="2"/>
      <c r="IZ195" s="2"/>
      <c r="JA195" s="2"/>
      <c r="JB195" s="2"/>
      <c r="JC195" s="2"/>
      <c r="JD195" s="2"/>
      <c r="JE195" s="2"/>
      <c r="JF195" s="2"/>
      <c r="JG195" s="2"/>
      <c r="JH195" s="2"/>
      <c r="JI195" s="2"/>
      <c r="JJ195" s="2"/>
      <c r="JK195" s="2"/>
      <c r="JL195" s="2"/>
      <c r="JM195" s="2"/>
      <c r="JN195" s="2"/>
      <c r="JO195" s="2"/>
      <c r="JP195" s="2"/>
      <c r="JQ195" s="2"/>
      <c r="JR195" s="2"/>
      <c r="JS195" s="2"/>
      <c r="JT195" s="2"/>
      <c r="JU195" s="2"/>
      <c r="JV195" s="2"/>
      <c r="JW195" s="2"/>
      <c r="JX195" s="2"/>
      <c r="JY195" s="2"/>
      <c r="JZ195" s="2"/>
      <c r="KA195" s="2"/>
      <c r="KB195" s="2"/>
      <c r="KC195" s="2"/>
      <c r="KD195" s="2"/>
      <c r="KE195" s="2"/>
      <c r="KF195" s="2"/>
      <c r="KG195" s="2"/>
      <c r="KH195" s="2"/>
      <c r="KI195" s="2"/>
      <c r="KJ195" s="2"/>
      <c r="KK195" s="2"/>
      <c r="KL195" s="2"/>
      <c r="KM195" s="2"/>
      <c r="KN195" s="2"/>
      <c r="KO195" s="2"/>
      <c r="KP195" s="2"/>
      <c r="KQ195" s="2"/>
      <c r="KR195" s="2"/>
      <c r="KS195" s="2"/>
      <c r="KT195" s="2"/>
      <c r="KU195" s="2"/>
      <c r="KV195" s="2"/>
      <c r="KW195" s="2"/>
      <c r="KX195" s="2"/>
      <c r="KY195" s="2"/>
      <c r="KZ195" s="2"/>
      <c r="LA195" s="2"/>
      <c r="LB195" s="2"/>
      <c r="LC195" s="2"/>
      <c r="LD195" s="2"/>
      <c r="LE195" s="2"/>
      <c r="LF195" s="2"/>
      <c r="LG195" s="2"/>
      <c r="LH195" s="2"/>
      <c r="LI195" s="2"/>
      <c r="LJ195" s="2"/>
      <c r="LK195" s="2"/>
      <c r="LL195" s="2"/>
      <c r="LM195" s="2"/>
      <c r="LN195" s="2"/>
      <c r="LO195" s="2"/>
      <c r="LP195" s="2"/>
      <c r="LQ195" s="2"/>
      <c r="LR195" s="2"/>
      <c r="LS195" s="2"/>
      <c r="LT195" s="2"/>
      <c r="LU195" s="2"/>
      <c r="LV195" s="2"/>
      <c r="LW195" s="2"/>
      <c r="LX195" s="2"/>
      <c r="LY195" s="2"/>
      <c r="LZ195" s="2"/>
      <c r="MA195" s="2"/>
      <c r="MB195" s="2"/>
      <c r="MC195" s="2"/>
      <c r="MD195" s="2"/>
      <c r="ME195" s="2"/>
      <c r="MF195" s="2"/>
      <c r="MG195" s="2"/>
      <c r="MH195" s="2"/>
      <c r="MI195" s="2"/>
      <c r="MJ195" s="2"/>
      <c r="MK195" s="2"/>
      <c r="ML195" s="2"/>
      <c r="MM195" s="2"/>
      <c r="MN195" s="2"/>
      <c r="MO195" s="2"/>
      <c r="MP195" s="2"/>
      <c r="MQ195" s="2"/>
      <c r="MR195" s="2"/>
      <c r="MS195" s="2"/>
      <c r="MT195" s="2"/>
      <c r="MU195" s="2"/>
      <c r="MV195" s="2"/>
      <c r="MW195" s="2"/>
      <c r="MX195" s="2"/>
      <c r="MY195" s="2"/>
      <c r="MZ195" s="2"/>
      <c r="NA195" s="2"/>
      <c r="NB195" s="2"/>
      <c r="NC195" s="2"/>
      <c r="ND195" s="2"/>
      <c r="NE195" s="2"/>
      <c r="NF195" s="2"/>
      <c r="NG195" s="2"/>
      <c r="NH195" s="2"/>
      <c r="NI195" s="2"/>
      <c r="NJ195" s="2"/>
      <c r="NK195" s="2"/>
      <c r="NL195" s="2"/>
      <c r="NM195" s="2"/>
      <c r="NN195" s="2"/>
      <c r="NO195" s="2"/>
      <c r="NP195" s="2"/>
      <c r="NQ195" s="2"/>
      <c r="NR195" s="2"/>
      <c r="NS195" s="2"/>
      <c r="NT195" s="2"/>
      <c r="NU195" s="2"/>
      <c r="NV195" s="2"/>
      <c r="NW195" s="2"/>
      <c r="NX195" s="2"/>
      <c r="NY195" s="2"/>
      <c r="NZ195" s="2"/>
      <c r="OA195" s="2"/>
      <c r="OB195" s="2"/>
      <c r="OC195" s="2"/>
      <c r="OD195" s="2"/>
      <c r="OE195" s="2"/>
      <c r="OF195" s="2"/>
      <c r="OG195" s="2"/>
      <c r="OH195" s="2"/>
      <c r="OI195" s="2"/>
      <c r="OJ195" s="2"/>
      <c r="OK195" s="2"/>
      <c r="OL195" s="2"/>
      <c r="OM195" s="2"/>
      <c r="ON195" s="2"/>
      <c r="OO195" s="2"/>
      <c r="OP195" s="2"/>
      <c r="OQ195" s="2"/>
      <c r="OR195" s="2"/>
      <c r="OS195" s="2"/>
      <c r="OT195" s="2"/>
      <c r="OU195" s="2"/>
      <c r="OV195" s="2"/>
      <c r="OW195" s="2"/>
      <c r="OX195" s="2"/>
      <c r="OY195" s="2"/>
      <c r="OZ195" s="2"/>
      <c r="PA195" s="2"/>
      <c r="PB195" s="2"/>
      <c r="PC195" s="2"/>
      <c r="PD195" s="2"/>
      <c r="PE195" s="2"/>
      <c r="PF195" s="2"/>
      <c r="PG195" s="2"/>
      <c r="PH195" s="2"/>
      <c r="PI195" s="2"/>
      <c r="PJ195" s="2"/>
      <c r="PK195" s="2"/>
      <c r="PL195" s="2"/>
      <c r="PM195" s="2"/>
      <c r="PN195" s="2"/>
      <c r="PO195" s="2"/>
      <c r="PP195" s="2"/>
      <c r="PQ195" s="2"/>
      <c r="PR195" s="2"/>
      <c r="PS195" s="2"/>
      <c r="PT195" s="2"/>
      <c r="PU195" s="2"/>
      <c r="PV195" s="2"/>
      <c r="PW195" s="2"/>
      <c r="PX195" s="2"/>
      <c r="PY195" s="2"/>
      <c r="PZ195" s="2"/>
      <c r="QA195" s="2"/>
      <c r="QB195" s="2"/>
      <c r="QC195" s="2"/>
      <c r="QD195" s="2"/>
      <c r="QE195" s="2"/>
      <c r="QF195" s="2"/>
      <c r="QG195" s="2"/>
      <c r="QH195" s="2"/>
      <c r="QI195" s="2"/>
      <c r="QJ195" s="2"/>
      <c r="QK195" s="2"/>
      <c r="QL195" s="2"/>
      <c r="QM195" s="2"/>
      <c r="QN195" s="2"/>
      <c r="QO195" s="2"/>
      <c r="QP195" s="2"/>
      <c r="QQ195" s="2"/>
      <c r="QR195" s="2"/>
      <c r="QS195" s="2"/>
      <c r="QT195" s="2"/>
      <c r="QU195" s="2"/>
      <c r="QV195" s="2"/>
      <c r="QW195" s="2"/>
      <c r="QX195" s="2"/>
      <c r="QY195" s="2"/>
      <c r="QZ195" s="2"/>
      <c r="RA195" s="2"/>
      <c r="RB195" s="2"/>
      <c r="RC195" s="2"/>
      <c r="RD195" s="2"/>
      <c r="RE195" s="2"/>
      <c r="RF195" s="2"/>
      <c r="RG195" s="2"/>
      <c r="RH195" s="2"/>
      <c r="RI195" s="2"/>
      <c r="RJ195" s="2"/>
      <c r="RK195" s="2"/>
      <c r="RL195" s="2"/>
      <c r="RM195" s="2"/>
      <c r="RN195" s="2"/>
      <c r="RO195" s="2"/>
      <c r="RP195" s="2"/>
      <c r="RQ195" s="2"/>
      <c r="RR195" s="2"/>
      <c r="RS195" s="2"/>
      <c r="RT195" s="2"/>
      <c r="RU195" s="2"/>
      <c r="RV195" s="2"/>
      <c r="RW195" s="2"/>
      <c r="RX195" s="2"/>
      <c r="RY195" s="2"/>
      <c r="RZ195" s="2"/>
      <c r="SA195" s="2"/>
      <c r="SB195" s="2"/>
      <c r="SC195" s="2"/>
      <c r="SD195" s="2"/>
      <c r="SE195" s="2"/>
      <c r="SF195" s="2"/>
      <c r="SG195" s="2"/>
      <c r="SH195" s="2"/>
      <c r="SI195" s="2"/>
      <c r="SJ195" s="2"/>
      <c r="SK195" s="2"/>
      <c r="SL195" s="2"/>
      <c r="SM195" s="2"/>
      <c r="SN195" s="2"/>
      <c r="SO195" s="2"/>
      <c r="SP195" s="2"/>
      <c r="SQ195" s="2"/>
      <c r="SR195" s="2"/>
      <c r="SS195" s="2"/>
      <c r="ST195" s="2"/>
      <c r="SU195" s="2"/>
      <c r="SV195" s="2"/>
      <c r="SW195" s="2"/>
      <c r="SX195" s="2"/>
    </row>
    <row r="196" spans="33:518" x14ac:dyDescent="0.25"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  <c r="FK196" s="2"/>
      <c r="FL196" s="2"/>
      <c r="FM196" s="2"/>
      <c r="FN196" s="2"/>
      <c r="FO196" s="2"/>
      <c r="FP196" s="2"/>
      <c r="FQ196" s="2"/>
      <c r="FR196" s="2"/>
      <c r="FS196" s="2"/>
      <c r="FT196" s="2"/>
      <c r="FU196" s="2"/>
      <c r="FV196" s="2"/>
      <c r="FW196" s="2"/>
      <c r="FX196" s="2"/>
      <c r="FY196" s="2"/>
      <c r="FZ196" s="2"/>
      <c r="GA196" s="2"/>
      <c r="GB196" s="2"/>
      <c r="GC196" s="2"/>
      <c r="GD196" s="2"/>
      <c r="GE196" s="2"/>
      <c r="GF196" s="2"/>
      <c r="GG196" s="2"/>
      <c r="GH196" s="2"/>
      <c r="GI196" s="2"/>
      <c r="GJ196" s="2"/>
      <c r="GK196" s="2"/>
      <c r="GL196" s="2"/>
      <c r="GM196" s="2"/>
      <c r="GN196" s="2"/>
      <c r="GO196" s="2"/>
      <c r="GP196" s="2"/>
      <c r="GQ196" s="2"/>
      <c r="GR196" s="2"/>
      <c r="GS196" s="2"/>
      <c r="GT196" s="2"/>
      <c r="GU196" s="2"/>
      <c r="GV196" s="2"/>
      <c r="GW196" s="2"/>
      <c r="GX196" s="2"/>
      <c r="GY196" s="2"/>
      <c r="GZ196" s="2"/>
      <c r="HA196" s="2"/>
      <c r="HB196" s="2"/>
      <c r="HC196" s="2"/>
      <c r="HD196" s="2"/>
      <c r="HE196" s="2"/>
      <c r="HF196" s="2"/>
      <c r="HG196" s="2"/>
      <c r="HH196" s="2"/>
      <c r="HI196" s="2"/>
      <c r="HJ196" s="2"/>
      <c r="HK196" s="2"/>
      <c r="HL196" s="2"/>
      <c r="HM196" s="2"/>
      <c r="HN196" s="2"/>
      <c r="HO196" s="2"/>
      <c r="HP196" s="2"/>
      <c r="HQ196" s="2"/>
      <c r="HR196" s="2"/>
      <c r="HS196" s="2"/>
      <c r="HT196" s="2"/>
      <c r="HU196" s="2"/>
      <c r="HV196" s="2"/>
      <c r="HW196" s="2"/>
      <c r="HX196" s="2"/>
      <c r="HY196" s="2"/>
      <c r="HZ196" s="2"/>
      <c r="IA196" s="2"/>
      <c r="IB196" s="2"/>
      <c r="IC196" s="2"/>
      <c r="ID196" s="2"/>
      <c r="IE196" s="2"/>
      <c r="IF196" s="2"/>
      <c r="IG196" s="2"/>
      <c r="IH196" s="2"/>
      <c r="II196" s="2"/>
      <c r="IJ196" s="2"/>
      <c r="IK196" s="2"/>
      <c r="IL196" s="2"/>
      <c r="IM196" s="2"/>
      <c r="IN196" s="2"/>
      <c r="IO196" s="2"/>
      <c r="IP196" s="2"/>
      <c r="IQ196" s="2"/>
      <c r="IR196" s="2"/>
      <c r="IS196" s="2"/>
      <c r="IT196" s="2"/>
      <c r="IU196" s="2"/>
      <c r="IV196" s="2"/>
      <c r="IW196" s="2"/>
      <c r="IX196" s="2"/>
      <c r="IY196" s="2"/>
      <c r="IZ196" s="2"/>
      <c r="JA196" s="2"/>
      <c r="JB196" s="2"/>
      <c r="JC196" s="2"/>
      <c r="JD196" s="2"/>
      <c r="JE196" s="2"/>
      <c r="JF196" s="2"/>
      <c r="JG196" s="2"/>
      <c r="JH196" s="2"/>
      <c r="JI196" s="2"/>
      <c r="JJ196" s="2"/>
      <c r="JK196" s="2"/>
      <c r="JL196" s="2"/>
      <c r="JM196" s="2"/>
      <c r="JN196" s="2"/>
      <c r="JO196" s="2"/>
      <c r="JP196" s="2"/>
      <c r="JQ196" s="2"/>
      <c r="JR196" s="2"/>
      <c r="JS196" s="2"/>
      <c r="JT196" s="2"/>
      <c r="JU196" s="2"/>
      <c r="JV196" s="2"/>
      <c r="JW196" s="2"/>
      <c r="JX196" s="2"/>
      <c r="JY196" s="2"/>
      <c r="JZ196" s="2"/>
      <c r="KA196" s="2"/>
      <c r="KB196" s="2"/>
      <c r="KC196" s="2"/>
      <c r="KD196" s="2"/>
      <c r="KE196" s="2"/>
      <c r="KF196" s="2"/>
      <c r="KG196" s="2"/>
      <c r="KH196" s="2"/>
      <c r="KI196" s="2"/>
      <c r="KJ196" s="2"/>
      <c r="KK196" s="2"/>
      <c r="KL196" s="2"/>
      <c r="KM196" s="2"/>
      <c r="KN196" s="2"/>
      <c r="KO196" s="2"/>
      <c r="KP196" s="2"/>
      <c r="KQ196" s="2"/>
      <c r="KR196" s="2"/>
      <c r="KS196" s="2"/>
      <c r="KT196" s="2"/>
      <c r="KU196" s="2"/>
      <c r="KV196" s="2"/>
      <c r="KW196" s="2"/>
      <c r="KX196" s="2"/>
      <c r="KY196" s="2"/>
      <c r="KZ196" s="2"/>
      <c r="LA196" s="2"/>
      <c r="LB196" s="2"/>
      <c r="LC196" s="2"/>
      <c r="LD196" s="2"/>
      <c r="LE196" s="2"/>
      <c r="LF196" s="2"/>
      <c r="LG196" s="2"/>
      <c r="LH196" s="2"/>
      <c r="LI196" s="2"/>
      <c r="LJ196" s="2"/>
      <c r="LK196" s="2"/>
      <c r="LL196" s="2"/>
      <c r="LM196" s="2"/>
      <c r="LN196" s="2"/>
      <c r="LO196" s="2"/>
      <c r="LP196" s="2"/>
      <c r="LQ196" s="2"/>
      <c r="LR196" s="2"/>
      <c r="LS196" s="2"/>
      <c r="LT196" s="2"/>
      <c r="LU196" s="2"/>
      <c r="LV196" s="2"/>
      <c r="LW196" s="2"/>
      <c r="LX196" s="2"/>
      <c r="LY196" s="2"/>
      <c r="LZ196" s="2"/>
      <c r="MA196" s="2"/>
      <c r="MB196" s="2"/>
      <c r="MC196" s="2"/>
      <c r="MD196" s="2"/>
      <c r="ME196" s="2"/>
      <c r="MF196" s="2"/>
      <c r="MG196" s="2"/>
      <c r="MH196" s="2"/>
      <c r="MI196" s="2"/>
      <c r="MJ196" s="2"/>
      <c r="MK196" s="2"/>
      <c r="ML196" s="2"/>
      <c r="MM196" s="2"/>
      <c r="MN196" s="2"/>
      <c r="MO196" s="2"/>
      <c r="MP196" s="2"/>
      <c r="MQ196" s="2"/>
      <c r="MR196" s="2"/>
      <c r="MS196" s="2"/>
      <c r="MT196" s="2"/>
      <c r="MU196" s="2"/>
      <c r="MV196" s="2"/>
      <c r="MW196" s="2"/>
      <c r="MX196" s="2"/>
      <c r="MY196" s="2"/>
      <c r="MZ196" s="2"/>
      <c r="NA196" s="2"/>
      <c r="NB196" s="2"/>
      <c r="NC196" s="2"/>
      <c r="ND196" s="2"/>
      <c r="NE196" s="2"/>
      <c r="NF196" s="2"/>
      <c r="NG196" s="2"/>
      <c r="NH196" s="2"/>
      <c r="NI196" s="2"/>
      <c r="NJ196" s="2"/>
      <c r="NK196" s="2"/>
      <c r="NL196" s="2"/>
      <c r="NM196" s="2"/>
      <c r="NN196" s="2"/>
      <c r="NO196" s="2"/>
      <c r="NP196" s="2"/>
      <c r="NQ196" s="2"/>
      <c r="NR196" s="2"/>
      <c r="NS196" s="2"/>
      <c r="NT196" s="2"/>
      <c r="NU196" s="2"/>
      <c r="NV196" s="2"/>
      <c r="NW196" s="2"/>
      <c r="NX196" s="2"/>
      <c r="NY196" s="2"/>
      <c r="NZ196" s="2"/>
      <c r="OA196" s="2"/>
      <c r="OB196" s="2"/>
      <c r="OC196" s="2"/>
      <c r="OD196" s="2"/>
      <c r="OE196" s="2"/>
      <c r="OF196" s="2"/>
      <c r="OG196" s="2"/>
      <c r="OH196" s="2"/>
      <c r="OI196" s="2"/>
      <c r="OJ196" s="2"/>
      <c r="OK196" s="2"/>
      <c r="OL196" s="2"/>
      <c r="OM196" s="2"/>
      <c r="ON196" s="2"/>
      <c r="OO196" s="2"/>
      <c r="OP196" s="2"/>
      <c r="OQ196" s="2"/>
      <c r="OR196" s="2"/>
      <c r="OS196" s="2"/>
      <c r="OT196" s="2"/>
      <c r="OU196" s="2"/>
      <c r="OV196" s="2"/>
      <c r="OW196" s="2"/>
      <c r="OX196" s="2"/>
      <c r="OY196" s="2"/>
      <c r="OZ196" s="2"/>
      <c r="PA196" s="2"/>
      <c r="PB196" s="2"/>
      <c r="PC196" s="2"/>
      <c r="PD196" s="2"/>
      <c r="PE196" s="2"/>
      <c r="PF196" s="2"/>
      <c r="PG196" s="2"/>
      <c r="PH196" s="2"/>
      <c r="PI196" s="2"/>
      <c r="PJ196" s="2"/>
      <c r="PK196" s="2"/>
      <c r="PL196" s="2"/>
      <c r="PM196" s="2"/>
      <c r="PN196" s="2"/>
      <c r="PO196" s="2"/>
      <c r="PP196" s="2"/>
      <c r="PQ196" s="2"/>
      <c r="PR196" s="2"/>
      <c r="PS196" s="2"/>
      <c r="PT196" s="2"/>
      <c r="PU196" s="2"/>
      <c r="PV196" s="2"/>
      <c r="PW196" s="2"/>
      <c r="PX196" s="2"/>
      <c r="PY196" s="2"/>
      <c r="PZ196" s="2"/>
      <c r="QA196" s="2"/>
      <c r="QB196" s="2"/>
      <c r="QC196" s="2"/>
      <c r="QD196" s="2"/>
      <c r="QE196" s="2"/>
      <c r="QF196" s="2"/>
      <c r="QG196" s="2"/>
      <c r="QH196" s="2"/>
      <c r="QI196" s="2"/>
      <c r="QJ196" s="2"/>
      <c r="QK196" s="2"/>
      <c r="QL196" s="2"/>
      <c r="QM196" s="2"/>
      <c r="QN196" s="2"/>
      <c r="QO196" s="2"/>
      <c r="QP196" s="2"/>
      <c r="QQ196" s="2"/>
      <c r="QR196" s="2"/>
      <c r="QS196" s="2"/>
      <c r="QT196" s="2"/>
      <c r="QU196" s="2"/>
      <c r="QV196" s="2"/>
      <c r="QW196" s="2"/>
      <c r="QX196" s="2"/>
      <c r="QY196" s="2"/>
      <c r="QZ196" s="2"/>
      <c r="RA196" s="2"/>
      <c r="RB196" s="2"/>
      <c r="RC196" s="2"/>
      <c r="RD196" s="2"/>
      <c r="RE196" s="2"/>
      <c r="RF196" s="2"/>
      <c r="RG196" s="2"/>
      <c r="RH196" s="2"/>
      <c r="RI196" s="2"/>
      <c r="RJ196" s="2"/>
      <c r="RK196" s="2"/>
      <c r="RL196" s="2"/>
      <c r="RM196" s="2"/>
      <c r="RN196" s="2"/>
      <c r="RO196" s="2"/>
      <c r="RP196" s="2"/>
      <c r="RQ196" s="2"/>
      <c r="RR196" s="2"/>
      <c r="RS196" s="2"/>
      <c r="RT196" s="2"/>
      <c r="RU196" s="2"/>
      <c r="RV196" s="2"/>
      <c r="RW196" s="2"/>
      <c r="RX196" s="2"/>
      <c r="RY196" s="2"/>
      <c r="RZ196" s="2"/>
      <c r="SA196" s="2"/>
      <c r="SB196" s="2"/>
      <c r="SC196" s="2"/>
      <c r="SD196" s="2"/>
      <c r="SE196" s="2"/>
      <c r="SF196" s="2"/>
      <c r="SG196" s="2"/>
      <c r="SH196" s="2"/>
      <c r="SI196" s="2"/>
      <c r="SJ196" s="2"/>
      <c r="SK196" s="2"/>
      <c r="SL196" s="2"/>
      <c r="SM196" s="2"/>
      <c r="SN196" s="2"/>
      <c r="SO196" s="2"/>
      <c r="SP196" s="2"/>
      <c r="SQ196" s="2"/>
      <c r="SR196" s="2"/>
      <c r="SS196" s="2"/>
      <c r="ST196" s="2"/>
      <c r="SU196" s="2"/>
      <c r="SV196" s="2"/>
      <c r="SW196" s="2"/>
      <c r="SX196" s="2"/>
    </row>
    <row r="197" spans="33:518" x14ac:dyDescent="0.25"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  <c r="CD197" s="2"/>
      <c r="CE197" s="2"/>
      <c r="CF197" s="2"/>
      <c r="CG197" s="2"/>
      <c r="CH197" s="2"/>
      <c r="CI197" s="2"/>
      <c r="CJ197" s="2"/>
      <c r="CK197" s="2"/>
      <c r="CL197" s="2"/>
      <c r="CM197" s="2"/>
      <c r="CN197" s="2"/>
      <c r="CO197" s="2"/>
      <c r="CP197" s="2"/>
      <c r="CQ197" s="2"/>
      <c r="CR197" s="2"/>
      <c r="CS197" s="2"/>
      <c r="CT197" s="2"/>
      <c r="CU197" s="2"/>
      <c r="CV197" s="2"/>
      <c r="CW197" s="2"/>
      <c r="CX197" s="2"/>
      <c r="CY197" s="2"/>
      <c r="CZ197" s="2"/>
      <c r="DA197" s="2"/>
      <c r="DB197" s="2"/>
      <c r="DC197" s="2"/>
      <c r="DD197" s="2"/>
      <c r="DE197" s="2"/>
      <c r="DF197" s="2"/>
      <c r="DG197" s="2"/>
      <c r="DH197" s="2"/>
      <c r="DI197" s="2"/>
      <c r="DJ197" s="2"/>
      <c r="DK197" s="2"/>
      <c r="DL197" s="2"/>
      <c r="DM197" s="2"/>
      <c r="DN197" s="2"/>
      <c r="DO197" s="2"/>
      <c r="DP197" s="2"/>
      <c r="DQ197" s="2"/>
      <c r="DR197" s="2"/>
      <c r="DS197" s="2"/>
      <c r="DT197" s="2"/>
      <c r="DU197" s="2"/>
      <c r="DV197" s="2"/>
      <c r="DW197" s="2"/>
      <c r="DX197" s="2"/>
      <c r="DY197" s="2"/>
      <c r="DZ197" s="2"/>
      <c r="EA197" s="2"/>
      <c r="EB197" s="2"/>
      <c r="EC197" s="2"/>
      <c r="ED197" s="2"/>
      <c r="EE197" s="2"/>
      <c r="EF197" s="2"/>
      <c r="EG197" s="2"/>
      <c r="EH197" s="2"/>
      <c r="EI197" s="2"/>
      <c r="EJ197" s="2"/>
      <c r="EK197" s="2"/>
      <c r="EL197" s="2"/>
      <c r="EM197" s="2"/>
      <c r="EN197" s="2"/>
      <c r="EO197" s="2"/>
      <c r="EP197" s="2"/>
      <c r="EQ197" s="2"/>
      <c r="ER197" s="2"/>
      <c r="ES197" s="2"/>
      <c r="ET197" s="2"/>
      <c r="EU197" s="2"/>
      <c r="EV197" s="2"/>
      <c r="EW197" s="2"/>
      <c r="EX197" s="2"/>
      <c r="EY197" s="2"/>
      <c r="EZ197" s="2"/>
      <c r="FA197" s="2"/>
      <c r="FB197" s="2"/>
      <c r="FC197" s="2"/>
      <c r="FD197" s="2"/>
      <c r="FE197" s="2"/>
      <c r="FF197" s="2"/>
      <c r="FG197" s="2"/>
      <c r="FH197" s="2"/>
      <c r="FI197" s="2"/>
      <c r="FJ197" s="2"/>
      <c r="FK197" s="2"/>
      <c r="FL197" s="2"/>
      <c r="FM197" s="2"/>
      <c r="FN197" s="2"/>
      <c r="FO197" s="2"/>
      <c r="FP197" s="2"/>
      <c r="FQ197" s="2"/>
      <c r="FR197" s="2"/>
      <c r="FS197" s="2"/>
      <c r="FT197" s="2"/>
      <c r="FU197" s="2"/>
      <c r="FV197" s="2"/>
      <c r="FW197" s="2"/>
      <c r="FX197" s="2"/>
      <c r="FY197" s="2"/>
      <c r="FZ197" s="2"/>
      <c r="GA197" s="2"/>
      <c r="GB197" s="2"/>
      <c r="GC197" s="2"/>
      <c r="GD197" s="2"/>
      <c r="GE197" s="2"/>
      <c r="GF197" s="2"/>
      <c r="GG197" s="2"/>
      <c r="GH197" s="2"/>
      <c r="GI197" s="2"/>
      <c r="GJ197" s="2"/>
      <c r="GK197" s="2"/>
      <c r="GL197" s="2"/>
      <c r="GM197" s="2"/>
      <c r="GN197" s="2"/>
      <c r="GO197" s="2"/>
      <c r="GP197" s="2"/>
      <c r="GQ197" s="2"/>
      <c r="GR197" s="2"/>
      <c r="GS197" s="2"/>
      <c r="GT197" s="2"/>
      <c r="GU197" s="2"/>
      <c r="GV197" s="2"/>
      <c r="GW197" s="2"/>
      <c r="GX197" s="2"/>
      <c r="GY197" s="2"/>
      <c r="GZ197" s="2"/>
      <c r="HA197" s="2"/>
      <c r="HB197" s="2"/>
      <c r="HC197" s="2"/>
      <c r="HD197" s="2"/>
      <c r="HE197" s="2"/>
      <c r="HF197" s="2"/>
      <c r="HG197" s="2"/>
      <c r="HH197" s="2"/>
      <c r="HI197" s="2"/>
      <c r="HJ197" s="2"/>
      <c r="HK197" s="2"/>
      <c r="HL197" s="2"/>
      <c r="HM197" s="2"/>
      <c r="HN197" s="2"/>
      <c r="HO197" s="2"/>
      <c r="HP197" s="2"/>
      <c r="HQ197" s="2"/>
      <c r="HR197" s="2"/>
      <c r="HS197" s="2"/>
      <c r="HT197" s="2"/>
      <c r="HU197" s="2"/>
      <c r="HV197" s="2"/>
      <c r="HW197" s="2"/>
      <c r="HX197" s="2"/>
      <c r="HY197" s="2"/>
      <c r="HZ197" s="2"/>
      <c r="IA197" s="2"/>
      <c r="IB197" s="2"/>
      <c r="IC197" s="2"/>
      <c r="ID197" s="2"/>
      <c r="IE197" s="2"/>
      <c r="IF197" s="2"/>
      <c r="IG197" s="2"/>
      <c r="IH197" s="2"/>
      <c r="II197" s="2"/>
      <c r="IJ197" s="2"/>
      <c r="IK197" s="2"/>
      <c r="IL197" s="2"/>
      <c r="IM197" s="2"/>
      <c r="IN197" s="2"/>
      <c r="IO197" s="2"/>
      <c r="IP197" s="2"/>
      <c r="IQ197" s="2"/>
      <c r="IR197" s="2"/>
      <c r="IS197" s="2"/>
      <c r="IT197" s="2"/>
      <c r="IU197" s="2"/>
      <c r="IV197" s="2"/>
      <c r="IW197" s="2"/>
      <c r="IX197" s="2"/>
      <c r="IY197" s="2"/>
      <c r="IZ197" s="2"/>
      <c r="JA197" s="2"/>
      <c r="JB197" s="2"/>
      <c r="JC197" s="2"/>
      <c r="JD197" s="2"/>
      <c r="JE197" s="2"/>
      <c r="JF197" s="2"/>
      <c r="JG197" s="2"/>
      <c r="JH197" s="2"/>
      <c r="JI197" s="2"/>
      <c r="JJ197" s="2"/>
      <c r="JK197" s="2"/>
      <c r="JL197" s="2"/>
      <c r="JM197" s="2"/>
      <c r="JN197" s="2"/>
      <c r="JO197" s="2"/>
      <c r="JP197" s="2"/>
      <c r="JQ197" s="2"/>
      <c r="JR197" s="2"/>
      <c r="JS197" s="2"/>
      <c r="JT197" s="2"/>
      <c r="JU197" s="2"/>
      <c r="JV197" s="2"/>
      <c r="JW197" s="2"/>
      <c r="JX197" s="2"/>
      <c r="JY197" s="2"/>
      <c r="JZ197" s="2"/>
      <c r="KA197" s="2"/>
      <c r="KB197" s="2"/>
      <c r="KC197" s="2"/>
      <c r="KD197" s="2"/>
      <c r="KE197" s="2"/>
      <c r="KF197" s="2"/>
      <c r="KG197" s="2"/>
      <c r="KH197" s="2"/>
      <c r="KI197" s="2"/>
      <c r="KJ197" s="2"/>
      <c r="KK197" s="2"/>
      <c r="KL197" s="2"/>
      <c r="KM197" s="2"/>
      <c r="KN197" s="2"/>
      <c r="KO197" s="2"/>
      <c r="KP197" s="2"/>
      <c r="KQ197" s="2"/>
      <c r="KR197" s="2"/>
      <c r="KS197" s="2"/>
      <c r="KT197" s="2"/>
      <c r="KU197" s="2"/>
      <c r="KV197" s="2"/>
      <c r="KW197" s="2"/>
      <c r="KX197" s="2"/>
      <c r="KY197" s="2"/>
      <c r="KZ197" s="2"/>
      <c r="LA197" s="2"/>
      <c r="LB197" s="2"/>
      <c r="LC197" s="2"/>
      <c r="LD197" s="2"/>
      <c r="LE197" s="2"/>
      <c r="LF197" s="2"/>
      <c r="LG197" s="2"/>
      <c r="LH197" s="2"/>
      <c r="LI197" s="2"/>
      <c r="LJ197" s="2"/>
      <c r="LK197" s="2"/>
      <c r="LL197" s="2"/>
      <c r="LM197" s="2"/>
      <c r="LN197" s="2"/>
      <c r="LO197" s="2"/>
      <c r="LP197" s="2"/>
      <c r="LQ197" s="2"/>
      <c r="LR197" s="2"/>
      <c r="LS197" s="2"/>
      <c r="LT197" s="2"/>
      <c r="LU197" s="2"/>
      <c r="LV197" s="2"/>
      <c r="LW197" s="2"/>
      <c r="LX197" s="2"/>
      <c r="LY197" s="2"/>
      <c r="LZ197" s="2"/>
      <c r="MA197" s="2"/>
      <c r="MB197" s="2"/>
      <c r="MC197" s="2"/>
      <c r="MD197" s="2"/>
      <c r="ME197" s="2"/>
      <c r="MF197" s="2"/>
      <c r="MG197" s="2"/>
      <c r="MH197" s="2"/>
      <c r="MI197" s="2"/>
      <c r="MJ197" s="2"/>
      <c r="MK197" s="2"/>
      <c r="ML197" s="2"/>
      <c r="MM197" s="2"/>
      <c r="MN197" s="2"/>
      <c r="MO197" s="2"/>
      <c r="MP197" s="2"/>
      <c r="MQ197" s="2"/>
      <c r="MR197" s="2"/>
      <c r="MS197" s="2"/>
      <c r="MT197" s="2"/>
      <c r="MU197" s="2"/>
      <c r="MV197" s="2"/>
      <c r="MW197" s="2"/>
      <c r="MX197" s="2"/>
      <c r="MY197" s="2"/>
      <c r="MZ197" s="2"/>
      <c r="NA197" s="2"/>
      <c r="NB197" s="2"/>
      <c r="NC197" s="2"/>
      <c r="ND197" s="2"/>
      <c r="NE197" s="2"/>
      <c r="NF197" s="2"/>
      <c r="NG197" s="2"/>
      <c r="NH197" s="2"/>
      <c r="NI197" s="2"/>
      <c r="NJ197" s="2"/>
      <c r="NK197" s="2"/>
      <c r="NL197" s="2"/>
      <c r="NM197" s="2"/>
      <c r="NN197" s="2"/>
      <c r="NO197" s="2"/>
      <c r="NP197" s="2"/>
      <c r="NQ197" s="2"/>
      <c r="NR197" s="2"/>
      <c r="NS197" s="2"/>
      <c r="NT197" s="2"/>
      <c r="NU197" s="2"/>
      <c r="NV197" s="2"/>
      <c r="NW197" s="2"/>
      <c r="NX197" s="2"/>
      <c r="NY197" s="2"/>
      <c r="NZ197" s="2"/>
      <c r="OA197" s="2"/>
      <c r="OB197" s="2"/>
      <c r="OC197" s="2"/>
      <c r="OD197" s="2"/>
      <c r="OE197" s="2"/>
      <c r="OF197" s="2"/>
      <c r="OG197" s="2"/>
      <c r="OH197" s="2"/>
      <c r="OI197" s="2"/>
      <c r="OJ197" s="2"/>
      <c r="OK197" s="2"/>
      <c r="OL197" s="2"/>
      <c r="OM197" s="2"/>
      <c r="ON197" s="2"/>
      <c r="OO197" s="2"/>
      <c r="OP197" s="2"/>
      <c r="OQ197" s="2"/>
      <c r="OR197" s="2"/>
      <c r="OS197" s="2"/>
      <c r="OT197" s="2"/>
      <c r="OU197" s="2"/>
      <c r="OV197" s="2"/>
      <c r="OW197" s="2"/>
      <c r="OX197" s="2"/>
      <c r="OY197" s="2"/>
      <c r="OZ197" s="2"/>
      <c r="PA197" s="2"/>
      <c r="PB197" s="2"/>
      <c r="PC197" s="2"/>
      <c r="PD197" s="2"/>
      <c r="PE197" s="2"/>
      <c r="PF197" s="2"/>
      <c r="PG197" s="2"/>
      <c r="PH197" s="2"/>
      <c r="PI197" s="2"/>
      <c r="PJ197" s="2"/>
      <c r="PK197" s="2"/>
      <c r="PL197" s="2"/>
      <c r="PM197" s="2"/>
      <c r="PN197" s="2"/>
      <c r="PO197" s="2"/>
      <c r="PP197" s="2"/>
      <c r="PQ197" s="2"/>
      <c r="PR197" s="2"/>
      <c r="PS197" s="2"/>
      <c r="PT197" s="2"/>
      <c r="PU197" s="2"/>
      <c r="PV197" s="2"/>
      <c r="PW197" s="2"/>
      <c r="PX197" s="2"/>
      <c r="PY197" s="2"/>
      <c r="PZ197" s="2"/>
      <c r="QA197" s="2"/>
      <c r="QB197" s="2"/>
      <c r="QC197" s="2"/>
      <c r="QD197" s="2"/>
      <c r="QE197" s="2"/>
      <c r="QF197" s="2"/>
      <c r="QG197" s="2"/>
      <c r="QH197" s="2"/>
      <c r="QI197" s="2"/>
      <c r="QJ197" s="2"/>
      <c r="QK197" s="2"/>
      <c r="QL197" s="2"/>
      <c r="QM197" s="2"/>
      <c r="QN197" s="2"/>
      <c r="QO197" s="2"/>
      <c r="QP197" s="2"/>
      <c r="QQ197" s="2"/>
      <c r="QR197" s="2"/>
      <c r="QS197" s="2"/>
      <c r="QT197" s="2"/>
      <c r="QU197" s="2"/>
      <c r="QV197" s="2"/>
      <c r="QW197" s="2"/>
      <c r="QX197" s="2"/>
      <c r="QY197" s="2"/>
      <c r="QZ197" s="2"/>
      <c r="RA197" s="2"/>
      <c r="RB197" s="2"/>
      <c r="RC197" s="2"/>
      <c r="RD197" s="2"/>
      <c r="RE197" s="2"/>
      <c r="RF197" s="2"/>
      <c r="RG197" s="2"/>
      <c r="RH197" s="2"/>
      <c r="RI197" s="2"/>
      <c r="RJ197" s="2"/>
      <c r="RK197" s="2"/>
      <c r="RL197" s="2"/>
      <c r="RM197" s="2"/>
      <c r="RN197" s="2"/>
      <c r="RO197" s="2"/>
      <c r="RP197" s="2"/>
      <c r="RQ197" s="2"/>
      <c r="RR197" s="2"/>
      <c r="RS197" s="2"/>
      <c r="RT197" s="2"/>
      <c r="RU197" s="2"/>
      <c r="RV197" s="2"/>
      <c r="RW197" s="2"/>
      <c r="RX197" s="2"/>
      <c r="RY197" s="2"/>
      <c r="RZ197" s="2"/>
      <c r="SA197" s="2"/>
      <c r="SB197" s="2"/>
      <c r="SC197" s="2"/>
      <c r="SD197" s="2"/>
      <c r="SE197" s="2"/>
      <c r="SF197" s="2"/>
      <c r="SG197" s="2"/>
      <c r="SH197" s="2"/>
      <c r="SI197" s="2"/>
      <c r="SJ197" s="2"/>
      <c r="SK197" s="2"/>
      <c r="SL197" s="2"/>
      <c r="SM197" s="2"/>
      <c r="SN197" s="2"/>
      <c r="SO197" s="2"/>
      <c r="SP197" s="2"/>
      <c r="SQ197" s="2"/>
      <c r="SR197" s="2"/>
      <c r="SS197" s="2"/>
      <c r="ST197" s="2"/>
      <c r="SU197" s="2"/>
      <c r="SV197" s="2"/>
      <c r="SW197" s="2"/>
      <c r="SX197" s="2"/>
    </row>
    <row r="198" spans="33:518" x14ac:dyDescent="0.25"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  <c r="FK198" s="2"/>
      <c r="FL198" s="2"/>
      <c r="FM198" s="2"/>
      <c r="FN198" s="2"/>
      <c r="FO198" s="2"/>
      <c r="FP198" s="2"/>
      <c r="FQ198" s="2"/>
      <c r="FR198" s="2"/>
      <c r="FS198" s="2"/>
      <c r="FT198" s="2"/>
      <c r="FU198" s="2"/>
      <c r="FV198" s="2"/>
      <c r="FW198" s="2"/>
      <c r="FX198" s="2"/>
      <c r="FY198" s="2"/>
      <c r="FZ198" s="2"/>
      <c r="GA198" s="2"/>
      <c r="GB198" s="2"/>
      <c r="GC198" s="2"/>
      <c r="GD198" s="2"/>
      <c r="GE198" s="2"/>
      <c r="GF198" s="2"/>
      <c r="GG198" s="2"/>
      <c r="GH198" s="2"/>
      <c r="GI198" s="2"/>
      <c r="GJ198" s="2"/>
      <c r="GK198" s="2"/>
      <c r="GL198" s="2"/>
      <c r="GM198" s="2"/>
      <c r="GN198" s="2"/>
      <c r="GO198" s="2"/>
      <c r="GP198" s="2"/>
      <c r="GQ198" s="2"/>
      <c r="GR198" s="2"/>
      <c r="GS198" s="2"/>
      <c r="GT198" s="2"/>
      <c r="GU198" s="2"/>
      <c r="GV198" s="2"/>
      <c r="GW198" s="2"/>
      <c r="GX198" s="2"/>
      <c r="GY198" s="2"/>
      <c r="GZ198" s="2"/>
      <c r="HA198" s="2"/>
      <c r="HB198" s="2"/>
      <c r="HC198" s="2"/>
      <c r="HD198" s="2"/>
      <c r="HE198" s="2"/>
      <c r="HF198" s="2"/>
      <c r="HG198" s="2"/>
      <c r="HH198" s="2"/>
      <c r="HI198" s="2"/>
      <c r="HJ198" s="2"/>
      <c r="HK198" s="2"/>
      <c r="HL198" s="2"/>
      <c r="HM198" s="2"/>
      <c r="HN198" s="2"/>
      <c r="HO198" s="2"/>
      <c r="HP198" s="2"/>
      <c r="HQ198" s="2"/>
      <c r="HR198" s="2"/>
      <c r="HS198" s="2"/>
      <c r="HT198" s="2"/>
      <c r="HU198" s="2"/>
      <c r="HV198" s="2"/>
      <c r="HW198" s="2"/>
      <c r="HX198" s="2"/>
      <c r="HY198" s="2"/>
      <c r="HZ198" s="2"/>
      <c r="IA198" s="2"/>
      <c r="IB198" s="2"/>
      <c r="IC198" s="2"/>
      <c r="ID198" s="2"/>
      <c r="IE198" s="2"/>
      <c r="IF198" s="2"/>
      <c r="IG198" s="2"/>
      <c r="IH198" s="2"/>
      <c r="II198" s="2"/>
      <c r="IJ198" s="2"/>
      <c r="IK198" s="2"/>
      <c r="IL198" s="2"/>
      <c r="IM198" s="2"/>
      <c r="IN198" s="2"/>
      <c r="IO198" s="2"/>
      <c r="IP198" s="2"/>
      <c r="IQ198" s="2"/>
      <c r="IR198" s="2"/>
      <c r="IS198" s="2"/>
      <c r="IT198" s="2"/>
      <c r="IU198" s="2"/>
      <c r="IV198" s="2"/>
      <c r="IW198" s="2"/>
      <c r="IX198" s="2"/>
      <c r="IY198" s="2"/>
      <c r="IZ198" s="2"/>
      <c r="JA198" s="2"/>
      <c r="JB198" s="2"/>
      <c r="JC198" s="2"/>
      <c r="JD198" s="2"/>
      <c r="JE198" s="2"/>
      <c r="JF198" s="2"/>
      <c r="JG198" s="2"/>
      <c r="JH198" s="2"/>
      <c r="JI198" s="2"/>
      <c r="JJ198" s="2"/>
      <c r="JK198" s="2"/>
      <c r="JL198" s="2"/>
      <c r="JM198" s="2"/>
      <c r="JN198" s="2"/>
      <c r="JO198" s="2"/>
      <c r="JP198" s="2"/>
      <c r="JQ198" s="2"/>
      <c r="JR198" s="2"/>
      <c r="JS198" s="2"/>
      <c r="JT198" s="2"/>
      <c r="JU198" s="2"/>
      <c r="JV198" s="2"/>
      <c r="JW198" s="2"/>
      <c r="JX198" s="2"/>
      <c r="JY198" s="2"/>
      <c r="JZ198" s="2"/>
      <c r="KA198" s="2"/>
      <c r="KB198" s="2"/>
      <c r="KC198" s="2"/>
      <c r="KD198" s="2"/>
      <c r="KE198" s="2"/>
      <c r="KF198" s="2"/>
      <c r="KG198" s="2"/>
      <c r="KH198" s="2"/>
      <c r="KI198" s="2"/>
      <c r="KJ198" s="2"/>
      <c r="KK198" s="2"/>
      <c r="KL198" s="2"/>
      <c r="KM198" s="2"/>
      <c r="KN198" s="2"/>
      <c r="KO198" s="2"/>
      <c r="KP198" s="2"/>
      <c r="KQ198" s="2"/>
      <c r="KR198" s="2"/>
      <c r="KS198" s="2"/>
      <c r="KT198" s="2"/>
      <c r="KU198" s="2"/>
      <c r="KV198" s="2"/>
      <c r="KW198" s="2"/>
      <c r="KX198" s="2"/>
      <c r="KY198" s="2"/>
      <c r="KZ198" s="2"/>
      <c r="LA198" s="2"/>
      <c r="LB198" s="2"/>
      <c r="LC198" s="2"/>
      <c r="LD198" s="2"/>
      <c r="LE198" s="2"/>
      <c r="LF198" s="2"/>
      <c r="LG198" s="2"/>
      <c r="LH198" s="2"/>
      <c r="LI198" s="2"/>
      <c r="LJ198" s="2"/>
      <c r="LK198" s="2"/>
      <c r="LL198" s="2"/>
      <c r="LM198" s="2"/>
      <c r="LN198" s="2"/>
      <c r="LO198" s="2"/>
      <c r="LP198" s="2"/>
      <c r="LQ198" s="2"/>
      <c r="LR198" s="2"/>
      <c r="LS198" s="2"/>
      <c r="LT198" s="2"/>
      <c r="LU198" s="2"/>
      <c r="LV198" s="2"/>
      <c r="LW198" s="2"/>
      <c r="LX198" s="2"/>
      <c r="LY198" s="2"/>
      <c r="LZ198" s="2"/>
      <c r="MA198" s="2"/>
      <c r="MB198" s="2"/>
      <c r="MC198" s="2"/>
      <c r="MD198" s="2"/>
      <c r="ME198" s="2"/>
      <c r="MF198" s="2"/>
      <c r="MG198" s="2"/>
      <c r="MH198" s="2"/>
      <c r="MI198" s="2"/>
      <c r="MJ198" s="2"/>
      <c r="MK198" s="2"/>
      <c r="ML198" s="2"/>
      <c r="MM198" s="2"/>
      <c r="MN198" s="2"/>
      <c r="MO198" s="2"/>
      <c r="MP198" s="2"/>
      <c r="MQ198" s="2"/>
      <c r="MR198" s="2"/>
      <c r="MS198" s="2"/>
      <c r="MT198" s="2"/>
      <c r="MU198" s="2"/>
      <c r="MV198" s="2"/>
      <c r="MW198" s="2"/>
      <c r="MX198" s="2"/>
      <c r="MY198" s="2"/>
      <c r="MZ198" s="2"/>
      <c r="NA198" s="2"/>
      <c r="NB198" s="2"/>
      <c r="NC198" s="2"/>
      <c r="ND198" s="2"/>
      <c r="NE198" s="2"/>
      <c r="NF198" s="2"/>
      <c r="NG198" s="2"/>
      <c r="NH198" s="2"/>
      <c r="NI198" s="2"/>
      <c r="NJ198" s="2"/>
      <c r="NK198" s="2"/>
      <c r="NL198" s="2"/>
      <c r="NM198" s="2"/>
      <c r="NN198" s="2"/>
      <c r="NO198" s="2"/>
      <c r="NP198" s="2"/>
      <c r="NQ198" s="2"/>
      <c r="NR198" s="2"/>
      <c r="NS198" s="2"/>
      <c r="NT198" s="2"/>
      <c r="NU198" s="2"/>
      <c r="NV198" s="2"/>
      <c r="NW198" s="2"/>
      <c r="NX198" s="2"/>
      <c r="NY198" s="2"/>
      <c r="NZ198" s="2"/>
      <c r="OA198" s="2"/>
      <c r="OB198" s="2"/>
      <c r="OC198" s="2"/>
      <c r="OD198" s="2"/>
      <c r="OE198" s="2"/>
      <c r="OF198" s="2"/>
      <c r="OG198" s="2"/>
      <c r="OH198" s="2"/>
      <c r="OI198" s="2"/>
      <c r="OJ198" s="2"/>
      <c r="OK198" s="2"/>
      <c r="OL198" s="2"/>
      <c r="OM198" s="2"/>
      <c r="ON198" s="2"/>
      <c r="OO198" s="2"/>
      <c r="OP198" s="2"/>
      <c r="OQ198" s="2"/>
      <c r="OR198" s="2"/>
      <c r="OS198" s="2"/>
      <c r="OT198" s="2"/>
      <c r="OU198" s="2"/>
      <c r="OV198" s="2"/>
      <c r="OW198" s="2"/>
      <c r="OX198" s="2"/>
      <c r="OY198" s="2"/>
      <c r="OZ198" s="2"/>
      <c r="PA198" s="2"/>
      <c r="PB198" s="2"/>
      <c r="PC198" s="2"/>
      <c r="PD198" s="2"/>
      <c r="PE198" s="2"/>
      <c r="PF198" s="2"/>
      <c r="PG198" s="2"/>
      <c r="PH198" s="2"/>
      <c r="PI198" s="2"/>
      <c r="PJ198" s="2"/>
      <c r="PK198" s="2"/>
      <c r="PL198" s="2"/>
      <c r="PM198" s="2"/>
      <c r="PN198" s="2"/>
      <c r="PO198" s="2"/>
      <c r="PP198" s="2"/>
      <c r="PQ198" s="2"/>
      <c r="PR198" s="2"/>
      <c r="PS198" s="2"/>
      <c r="PT198" s="2"/>
      <c r="PU198" s="2"/>
      <c r="PV198" s="2"/>
      <c r="PW198" s="2"/>
      <c r="PX198" s="2"/>
      <c r="PY198" s="2"/>
      <c r="PZ198" s="2"/>
      <c r="QA198" s="2"/>
      <c r="QB198" s="2"/>
      <c r="QC198" s="2"/>
      <c r="QD198" s="2"/>
      <c r="QE198" s="2"/>
      <c r="QF198" s="2"/>
      <c r="QG198" s="2"/>
      <c r="QH198" s="2"/>
      <c r="QI198" s="2"/>
      <c r="QJ198" s="2"/>
      <c r="QK198" s="2"/>
      <c r="QL198" s="2"/>
      <c r="QM198" s="2"/>
      <c r="QN198" s="2"/>
      <c r="QO198" s="2"/>
      <c r="QP198" s="2"/>
      <c r="QQ198" s="2"/>
      <c r="QR198" s="2"/>
      <c r="QS198" s="2"/>
      <c r="QT198" s="2"/>
      <c r="QU198" s="2"/>
      <c r="QV198" s="2"/>
      <c r="QW198" s="2"/>
      <c r="QX198" s="2"/>
      <c r="QY198" s="2"/>
      <c r="QZ198" s="2"/>
      <c r="RA198" s="2"/>
      <c r="RB198" s="2"/>
      <c r="RC198" s="2"/>
      <c r="RD198" s="2"/>
      <c r="RE198" s="2"/>
      <c r="RF198" s="2"/>
      <c r="RG198" s="2"/>
      <c r="RH198" s="2"/>
      <c r="RI198" s="2"/>
      <c r="RJ198" s="2"/>
      <c r="RK198" s="2"/>
      <c r="RL198" s="2"/>
      <c r="RM198" s="2"/>
      <c r="RN198" s="2"/>
      <c r="RO198" s="2"/>
      <c r="RP198" s="2"/>
      <c r="RQ198" s="2"/>
      <c r="RR198" s="2"/>
      <c r="RS198" s="2"/>
      <c r="RT198" s="2"/>
      <c r="RU198" s="2"/>
      <c r="RV198" s="2"/>
      <c r="RW198" s="2"/>
      <c r="RX198" s="2"/>
      <c r="RY198" s="2"/>
      <c r="RZ198" s="2"/>
      <c r="SA198" s="2"/>
      <c r="SB198" s="2"/>
      <c r="SC198" s="2"/>
      <c r="SD198" s="2"/>
      <c r="SE198" s="2"/>
      <c r="SF198" s="2"/>
      <c r="SG198" s="2"/>
      <c r="SH198" s="2"/>
      <c r="SI198" s="2"/>
      <c r="SJ198" s="2"/>
      <c r="SK198" s="2"/>
      <c r="SL198" s="2"/>
      <c r="SM198" s="2"/>
      <c r="SN198" s="2"/>
      <c r="SO198" s="2"/>
      <c r="SP198" s="2"/>
      <c r="SQ198" s="2"/>
      <c r="SR198" s="2"/>
      <c r="SS198" s="2"/>
      <c r="ST198" s="2"/>
      <c r="SU198" s="2"/>
      <c r="SV198" s="2"/>
      <c r="SW198" s="2"/>
      <c r="SX198" s="2"/>
    </row>
    <row r="199" spans="33:518" x14ac:dyDescent="0.25"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  <c r="FK199" s="2"/>
      <c r="FL199" s="2"/>
      <c r="FM199" s="2"/>
      <c r="FN199" s="2"/>
      <c r="FO199" s="2"/>
      <c r="FP199" s="2"/>
      <c r="FQ199" s="2"/>
      <c r="FR199" s="2"/>
      <c r="FS199" s="2"/>
      <c r="FT199" s="2"/>
      <c r="FU199" s="2"/>
      <c r="FV199" s="2"/>
      <c r="FW199" s="2"/>
      <c r="FX199" s="2"/>
      <c r="FY199" s="2"/>
      <c r="FZ199" s="2"/>
      <c r="GA199" s="2"/>
      <c r="GB199" s="2"/>
      <c r="GC199" s="2"/>
      <c r="GD199" s="2"/>
      <c r="GE199" s="2"/>
      <c r="GF199" s="2"/>
      <c r="GG199" s="2"/>
      <c r="GH199" s="2"/>
      <c r="GI199" s="2"/>
      <c r="GJ199" s="2"/>
      <c r="GK199" s="2"/>
      <c r="GL199" s="2"/>
      <c r="GM199" s="2"/>
      <c r="GN199" s="2"/>
      <c r="GO199" s="2"/>
      <c r="GP199" s="2"/>
      <c r="GQ199" s="2"/>
      <c r="GR199" s="2"/>
      <c r="GS199" s="2"/>
      <c r="GT199" s="2"/>
      <c r="GU199" s="2"/>
      <c r="GV199" s="2"/>
      <c r="GW199" s="2"/>
      <c r="GX199" s="2"/>
      <c r="GY199" s="2"/>
      <c r="GZ199" s="2"/>
      <c r="HA199" s="2"/>
      <c r="HB199" s="2"/>
      <c r="HC199" s="2"/>
      <c r="HD199" s="2"/>
      <c r="HE199" s="2"/>
      <c r="HF199" s="2"/>
      <c r="HG199" s="2"/>
      <c r="HH199" s="2"/>
      <c r="HI199" s="2"/>
      <c r="HJ199" s="2"/>
      <c r="HK199" s="2"/>
      <c r="HL199" s="2"/>
      <c r="HM199" s="2"/>
      <c r="HN199" s="2"/>
      <c r="HO199" s="2"/>
      <c r="HP199" s="2"/>
      <c r="HQ199" s="2"/>
      <c r="HR199" s="2"/>
      <c r="HS199" s="2"/>
      <c r="HT199" s="2"/>
      <c r="HU199" s="2"/>
      <c r="HV199" s="2"/>
      <c r="HW199" s="2"/>
      <c r="HX199" s="2"/>
      <c r="HY199" s="2"/>
      <c r="HZ199" s="2"/>
      <c r="IA199" s="2"/>
      <c r="IB199" s="2"/>
      <c r="IC199" s="2"/>
      <c r="ID199" s="2"/>
      <c r="IE199" s="2"/>
      <c r="IF199" s="2"/>
      <c r="IG199" s="2"/>
      <c r="IH199" s="2"/>
      <c r="II199" s="2"/>
      <c r="IJ199" s="2"/>
      <c r="IK199" s="2"/>
      <c r="IL199" s="2"/>
      <c r="IM199" s="2"/>
      <c r="IN199" s="2"/>
      <c r="IO199" s="2"/>
      <c r="IP199" s="2"/>
      <c r="IQ199" s="2"/>
      <c r="IR199" s="2"/>
      <c r="IS199" s="2"/>
      <c r="IT199" s="2"/>
      <c r="IU199" s="2"/>
      <c r="IV199" s="2"/>
      <c r="IW199" s="2"/>
      <c r="IX199" s="2"/>
      <c r="IY199" s="2"/>
      <c r="IZ199" s="2"/>
      <c r="JA199" s="2"/>
      <c r="JB199" s="2"/>
      <c r="JC199" s="2"/>
      <c r="JD199" s="2"/>
      <c r="JE199" s="2"/>
      <c r="JF199" s="2"/>
      <c r="JG199" s="2"/>
      <c r="JH199" s="2"/>
      <c r="JI199" s="2"/>
      <c r="JJ199" s="2"/>
      <c r="JK199" s="2"/>
      <c r="JL199" s="2"/>
      <c r="JM199" s="2"/>
      <c r="JN199" s="2"/>
      <c r="JO199" s="2"/>
      <c r="JP199" s="2"/>
      <c r="JQ199" s="2"/>
      <c r="JR199" s="2"/>
      <c r="JS199" s="2"/>
      <c r="JT199" s="2"/>
      <c r="JU199" s="2"/>
      <c r="JV199" s="2"/>
      <c r="JW199" s="2"/>
      <c r="JX199" s="2"/>
      <c r="JY199" s="2"/>
      <c r="JZ199" s="2"/>
      <c r="KA199" s="2"/>
      <c r="KB199" s="2"/>
      <c r="KC199" s="2"/>
      <c r="KD199" s="2"/>
      <c r="KE199" s="2"/>
      <c r="KF199" s="2"/>
      <c r="KG199" s="2"/>
      <c r="KH199" s="2"/>
      <c r="KI199" s="2"/>
      <c r="KJ199" s="2"/>
      <c r="KK199" s="2"/>
      <c r="KL199" s="2"/>
      <c r="KM199" s="2"/>
      <c r="KN199" s="2"/>
      <c r="KO199" s="2"/>
      <c r="KP199" s="2"/>
      <c r="KQ199" s="2"/>
      <c r="KR199" s="2"/>
      <c r="KS199" s="2"/>
      <c r="KT199" s="2"/>
      <c r="KU199" s="2"/>
      <c r="KV199" s="2"/>
      <c r="KW199" s="2"/>
      <c r="KX199" s="2"/>
      <c r="KY199" s="2"/>
      <c r="KZ199" s="2"/>
      <c r="LA199" s="2"/>
      <c r="LB199" s="2"/>
      <c r="LC199" s="2"/>
      <c r="LD199" s="2"/>
      <c r="LE199" s="2"/>
      <c r="LF199" s="2"/>
      <c r="LG199" s="2"/>
      <c r="LH199" s="2"/>
      <c r="LI199" s="2"/>
      <c r="LJ199" s="2"/>
      <c r="LK199" s="2"/>
      <c r="LL199" s="2"/>
      <c r="LM199" s="2"/>
      <c r="LN199" s="2"/>
      <c r="LO199" s="2"/>
      <c r="LP199" s="2"/>
      <c r="LQ199" s="2"/>
      <c r="LR199" s="2"/>
      <c r="LS199" s="2"/>
      <c r="LT199" s="2"/>
      <c r="LU199" s="2"/>
      <c r="LV199" s="2"/>
      <c r="LW199" s="2"/>
      <c r="LX199" s="2"/>
      <c r="LY199" s="2"/>
      <c r="LZ199" s="2"/>
      <c r="MA199" s="2"/>
      <c r="MB199" s="2"/>
      <c r="MC199" s="2"/>
      <c r="MD199" s="2"/>
      <c r="ME199" s="2"/>
      <c r="MF199" s="2"/>
      <c r="MG199" s="2"/>
      <c r="MH199" s="2"/>
      <c r="MI199" s="2"/>
      <c r="MJ199" s="2"/>
      <c r="MK199" s="2"/>
      <c r="ML199" s="2"/>
      <c r="MM199" s="2"/>
      <c r="MN199" s="2"/>
      <c r="MO199" s="2"/>
      <c r="MP199" s="2"/>
      <c r="MQ199" s="2"/>
      <c r="MR199" s="2"/>
      <c r="MS199" s="2"/>
      <c r="MT199" s="2"/>
      <c r="MU199" s="2"/>
      <c r="MV199" s="2"/>
      <c r="MW199" s="2"/>
      <c r="MX199" s="2"/>
      <c r="MY199" s="2"/>
      <c r="MZ199" s="2"/>
      <c r="NA199" s="2"/>
      <c r="NB199" s="2"/>
      <c r="NC199" s="2"/>
      <c r="ND199" s="2"/>
      <c r="NE199" s="2"/>
      <c r="NF199" s="2"/>
      <c r="NG199" s="2"/>
      <c r="NH199" s="2"/>
      <c r="NI199" s="2"/>
      <c r="NJ199" s="2"/>
      <c r="NK199" s="2"/>
      <c r="NL199" s="2"/>
      <c r="NM199" s="2"/>
      <c r="NN199" s="2"/>
      <c r="NO199" s="2"/>
      <c r="NP199" s="2"/>
      <c r="NQ199" s="2"/>
      <c r="NR199" s="2"/>
      <c r="NS199" s="2"/>
      <c r="NT199" s="2"/>
      <c r="NU199" s="2"/>
      <c r="NV199" s="2"/>
      <c r="NW199" s="2"/>
      <c r="NX199" s="2"/>
      <c r="NY199" s="2"/>
      <c r="NZ199" s="2"/>
      <c r="OA199" s="2"/>
      <c r="OB199" s="2"/>
      <c r="OC199" s="2"/>
      <c r="OD199" s="2"/>
      <c r="OE199" s="2"/>
      <c r="OF199" s="2"/>
      <c r="OG199" s="2"/>
      <c r="OH199" s="2"/>
      <c r="OI199" s="2"/>
      <c r="OJ199" s="2"/>
      <c r="OK199" s="2"/>
      <c r="OL199" s="2"/>
      <c r="OM199" s="2"/>
      <c r="ON199" s="2"/>
      <c r="OO199" s="2"/>
      <c r="OP199" s="2"/>
      <c r="OQ199" s="2"/>
      <c r="OR199" s="2"/>
      <c r="OS199" s="2"/>
      <c r="OT199" s="2"/>
      <c r="OU199" s="2"/>
      <c r="OV199" s="2"/>
      <c r="OW199" s="2"/>
      <c r="OX199" s="2"/>
      <c r="OY199" s="2"/>
      <c r="OZ199" s="2"/>
      <c r="PA199" s="2"/>
      <c r="PB199" s="2"/>
      <c r="PC199" s="2"/>
      <c r="PD199" s="2"/>
      <c r="PE199" s="2"/>
      <c r="PF199" s="2"/>
      <c r="PG199" s="2"/>
      <c r="PH199" s="2"/>
      <c r="PI199" s="2"/>
      <c r="PJ199" s="2"/>
      <c r="PK199" s="2"/>
      <c r="PL199" s="2"/>
      <c r="PM199" s="2"/>
      <c r="PN199" s="2"/>
      <c r="PO199" s="2"/>
      <c r="PP199" s="2"/>
      <c r="PQ199" s="2"/>
      <c r="PR199" s="2"/>
      <c r="PS199" s="2"/>
      <c r="PT199" s="2"/>
      <c r="PU199" s="2"/>
      <c r="PV199" s="2"/>
      <c r="PW199" s="2"/>
      <c r="PX199" s="2"/>
      <c r="PY199" s="2"/>
      <c r="PZ199" s="2"/>
      <c r="QA199" s="2"/>
      <c r="QB199" s="2"/>
      <c r="QC199" s="2"/>
      <c r="QD199" s="2"/>
      <c r="QE199" s="2"/>
      <c r="QF199" s="2"/>
      <c r="QG199" s="2"/>
      <c r="QH199" s="2"/>
      <c r="QI199" s="2"/>
      <c r="QJ199" s="2"/>
      <c r="QK199" s="2"/>
      <c r="QL199" s="2"/>
      <c r="QM199" s="2"/>
      <c r="QN199" s="2"/>
      <c r="QO199" s="2"/>
      <c r="QP199" s="2"/>
      <c r="QQ199" s="2"/>
      <c r="QR199" s="2"/>
      <c r="QS199" s="2"/>
      <c r="QT199" s="2"/>
      <c r="QU199" s="2"/>
      <c r="QV199" s="2"/>
      <c r="QW199" s="2"/>
      <c r="QX199" s="2"/>
      <c r="QY199" s="2"/>
      <c r="QZ199" s="2"/>
      <c r="RA199" s="2"/>
      <c r="RB199" s="2"/>
      <c r="RC199" s="2"/>
      <c r="RD199" s="2"/>
      <c r="RE199" s="2"/>
      <c r="RF199" s="2"/>
      <c r="RG199" s="2"/>
      <c r="RH199" s="2"/>
      <c r="RI199" s="2"/>
      <c r="RJ199" s="2"/>
      <c r="RK199" s="2"/>
      <c r="RL199" s="2"/>
      <c r="RM199" s="2"/>
      <c r="RN199" s="2"/>
      <c r="RO199" s="2"/>
      <c r="RP199" s="2"/>
      <c r="RQ199" s="2"/>
      <c r="RR199" s="2"/>
      <c r="RS199" s="2"/>
      <c r="RT199" s="2"/>
      <c r="RU199" s="2"/>
      <c r="RV199" s="2"/>
      <c r="RW199" s="2"/>
      <c r="RX199" s="2"/>
      <c r="RY199" s="2"/>
      <c r="RZ199" s="2"/>
      <c r="SA199" s="2"/>
      <c r="SB199" s="2"/>
      <c r="SC199" s="2"/>
      <c r="SD199" s="2"/>
      <c r="SE199" s="2"/>
      <c r="SF199" s="2"/>
      <c r="SG199" s="2"/>
      <c r="SH199" s="2"/>
      <c r="SI199" s="2"/>
      <c r="SJ199" s="2"/>
      <c r="SK199" s="2"/>
      <c r="SL199" s="2"/>
      <c r="SM199" s="2"/>
      <c r="SN199" s="2"/>
      <c r="SO199" s="2"/>
      <c r="SP199" s="2"/>
      <c r="SQ199" s="2"/>
      <c r="SR199" s="2"/>
      <c r="SS199" s="2"/>
      <c r="ST199" s="2"/>
      <c r="SU199" s="2"/>
      <c r="SV199" s="2"/>
      <c r="SW199" s="2"/>
      <c r="SX199" s="2"/>
    </row>
    <row r="200" spans="33:518" x14ac:dyDescent="0.25"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  <c r="FK200" s="2"/>
      <c r="FL200" s="2"/>
      <c r="FM200" s="2"/>
      <c r="FN200" s="2"/>
      <c r="FO200" s="2"/>
      <c r="FP200" s="2"/>
      <c r="FQ200" s="2"/>
      <c r="FR200" s="2"/>
      <c r="FS200" s="2"/>
      <c r="FT200" s="2"/>
      <c r="FU200" s="2"/>
      <c r="FV200" s="2"/>
      <c r="FW200" s="2"/>
      <c r="FX200" s="2"/>
      <c r="FY200" s="2"/>
      <c r="FZ200" s="2"/>
      <c r="GA200" s="2"/>
      <c r="GB200" s="2"/>
      <c r="GC200" s="2"/>
      <c r="GD200" s="2"/>
      <c r="GE200" s="2"/>
      <c r="GF200" s="2"/>
      <c r="GG200" s="2"/>
      <c r="GH200" s="2"/>
      <c r="GI200" s="2"/>
      <c r="GJ200" s="2"/>
      <c r="GK200" s="2"/>
      <c r="GL200" s="2"/>
      <c r="GM200" s="2"/>
      <c r="GN200" s="2"/>
      <c r="GO200" s="2"/>
      <c r="GP200" s="2"/>
      <c r="GQ200" s="2"/>
      <c r="GR200" s="2"/>
      <c r="GS200" s="2"/>
      <c r="GT200" s="2"/>
      <c r="GU200" s="2"/>
      <c r="GV200" s="2"/>
      <c r="GW200" s="2"/>
      <c r="GX200" s="2"/>
      <c r="GY200" s="2"/>
      <c r="GZ200" s="2"/>
      <c r="HA200" s="2"/>
      <c r="HB200" s="2"/>
      <c r="HC200" s="2"/>
      <c r="HD200" s="2"/>
      <c r="HE200" s="2"/>
      <c r="HF200" s="2"/>
      <c r="HG200" s="2"/>
      <c r="HH200" s="2"/>
      <c r="HI200" s="2"/>
      <c r="HJ200" s="2"/>
      <c r="HK200" s="2"/>
      <c r="HL200" s="2"/>
      <c r="HM200" s="2"/>
      <c r="HN200" s="2"/>
      <c r="HO200" s="2"/>
      <c r="HP200" s="2"/>
      <c r="HQ200" s="2"/>
      <c r="HR200" s="2"/>
      <c r="HS200" s="2"/>
      <c r="HT200" s="2"/>
      <c r="HU200" s="2"/>
      <c r="HV200" s="2"/>
      <c r="HW200" s="2"/>
      <c r="HX200" s="2"/>
      <c r="HY200" s="2"/>
      <c r="HZ200" s="2"/>
      <c r="IA200" s="2"/>
      <c r="IB200" s="2"/>
      <c r="IC200" s="2"/>
      <c r="ID200" s="2"/>
      <c r="IE200" s="2"/>
      <c r="IF200" s="2"/>
      <c r="IG200" s="2"/>
      <c r="IH200" s="2"/>
      <c r="II200" s="2"/>
      <c r="IJ200" s="2"/>
      <c r="IK200" s="2"/>
      <c r="IL200" s="2"/>
      <c r="IM200" s="2"/>
      <c r="IN200" s="2"/>
      <c r="IO200" s="2"/>
      <c r="IP200" s="2"/>
      <c r="IQ200" s="2"/>
      <c r="IR200" s="2"/>
      <c r="IS200" s="2"/>
      <c r="IT200" s="2"/>
      <c r="IU200" s="2"/>
      <c r="IV200" s="2"/>
      <c r="IW200" s="2"/>
      <c r="IX200" s="2"/>
      <c r="IY200" s="2"/>
      <c r="IZ200" s="2"/>
      <c r="JA200" s="2"/>
      <c r="JB200" s="2"/>
      <c r="JC200" s="2"/>
      <c r="JD200" s="2"/>
      <c r="JE200" s="2"/>
      <c r="JF200" s="2"/>
      <c r="JG200" s="2"/>
      <c r="JH200" s="2"/>
      <c r="JI200" s="2"/>
      <c r="JJ200" s="2"/>
      <c r="JK200" s="2"/>
      <c r="JL200" s="2"/>
      <c r="JM200" s="2"/>
      <c r="JN200" s="2"/>
      <c r="JO200" s="2"/>
      <c r="JP200" s="2"/>
      <c r="JQ200" s="2"/>
      <c r="JR200" s="2"/>
      <c r="JS200" s="2"/>
      <c r="JT200" s="2"/>
      <c r="JU200" s="2"/>
      <c r="JV200" s="2"/>
      <c r="JW200" s="2"/>
      <c r="JX200" s="2"/>
      <c r="JY200" s="2"/>
      <c r="JZ200" s="2"/>
      <c r="KA200" s="2"/>
      <c r="KB200" s="2"/>
      <c r="KC200" s="2"/>
      <c r="KD200" s="2"/>
      <c r="KE200" s="2"/>
      <c r="KF200" s="2"/>
      <c r="KG200" s="2"/>
      <c r="KH200" s="2"/>
      <c r="KI200" s="2"/>
      <c r="KJ200" s="2"/>
      <c r="KK200" s="2"/>
      <c r="KL200" s="2"/>
      <c r="KM200" s="2"/>
      <c r="KN200" s="2"/>
      <c r="KO200" s="2"/>
      <c r="KP200" s="2"/>
      <c r="KQ200" s="2"/>
      <c r="KR200" s="2"/>
      <c r="KS200" s="2"/>
      <c r="KT200" s="2"/>
      <c r="KU200" s="2"/>
      <c r="KV200" s="2"/>
      <c r="KW200" s="2"/>
      <c r="KX200" s="2"/>
      <c r="KY200" s="2"/>
      <c r="KZ200" s="2"/>
      <c r="LA200" s="2"/>
      <c r="LB200" s="2"/>
      <c r="LC200" s="2"/>
      <c r="LD200" s="2"/>
      <c r="LE200" s="2"/>
      <c r="LF200" s="2"/>
      <c r="LG200" s="2"/>
      <c r="LH200" s="2"/>
      <c r="LI200" s="2"/>
      <c r="LJ200" s="2"/>
      <c r="LK200" s="2"/>
      <c r="LL200" s="2"/>
      <c r="LM200" s="2"/>
      <c r="LN200" s="2"/>
      <c r="LO200" s="2"/>
      <c r="LP200" s="2"/>
      <c r="LQ200" s="2"/>
      <c r="LR200" s="2"/>
      <c r="LS200" s="2"/>
      <c r="LT200" s="2"/>
      <c r="LU200" s="2"/>
      <c r="LV200" s="2"/>
      <c r="LW200" s="2"/>
      <c r="LX200" s="2"/>
      <c r="LY200" s="2"/>
      <c r="LZ200" s="2"/>
      <c r="MA200" s="2"/>
      <c r="MB200" s="2"/>
      <c r="MC200" s="2"/>
      <c r="MD200" s="2"/>
      <c r="ME200" s="2"/>
      <c r="MF200" s="2"/>
      <c r="MG200" s="2"/>
      <c r="MH200" s="2"/>
      <c r="MI200" s="2"/>
      <c r="MJ200" s="2"/>
      <c r="MK200" s="2"/>
      <c r="ML200" s="2"/>
      <c r="MM200" s="2"/>
      <c r="MN200" s="2"/>
      <c r="MO200" s="2"/>
      <c r="MP200" s="2"/>
      <c r="MQ200" s="2"/>
      <c r="MR200" s="2"/>
      <c r="MS200" s="2"/>
      <c r="MT200" s="2"/>
      <c r="MU200" s="2"/>
      <c r="MV200" s="2"/>
      <c r="MW200" s="2"/>
      <c r="MX200" s="2"/>
      <c r="MY200" s="2"/>
      <c r="MZ200" s="2"/>
      <c r="NA200" s="2"/>
      <c r="NB200" s="2"/>
      <c r="NC200" s="2"/>
      <c r="ND200" s="2"/>
      <c r="NE200" s="2"/>
      <c r="NF200" s="2"/>
      <c r="NG200" s="2"/>
      <c r="NH200" s="2"/>
      <c r="NI200" s="2"/>
      <c r="NJ200" s="2"/>
      <c r="NK200" s="2"/>
      <c r="NL200" s="2"/>
      <c r="NM200" s="2"/>
      <c r="NN200" s="2"/>
      <c r="NO200" s="2"/>
      <c r="NP200" s="2"/>
      <c r="NQ200" s="2"/>
      <c r="NR200" s="2"/>
      <c r="NS200" s="2"/>
      <c r="NT200" s="2"/>
      <c r="NU200" s="2"/>
      <c r="NV200" s="2"/>
      <c r="NW200" s="2"/>
      <c r="NX200" s="2"/>
      <c r="NY200" s="2"/>
      <c r="NZ200" s="2"/>
      <c r="OA200" s="2"/>
      <c r="OB200" s="2"/>
      <c r="OC200" s="2"/>
      <c r="OD200" s="2"/>
      <c r="OE200" s="2"/>
      <c r="OF200" s="2"/>
      <c r="OG200" s="2"/>
      <c r="OH200" s="2"/>
      <c r="OI200" s="2"/>
      <c r="OJ200" s="2"/>
      <c r="OK200" s="2"/>
      <c r="OL200" s="2"/>
      <c r="OM200" s="2"/>
      <c r="ON200" s="2"/>
      <c r="OO200" s="2"/>
      <c r="OP200" s="2"/>
      <c r="OQ200" s="2"/>
      <c r="OR200" s="2"/>
      <c r="OS200" s="2"/>
      <c r="OT200" s="2"/>
      <c r="OU200" s="2"/>
      <c r="OV200" s="2"/>
      <c r="OW200" s="2"/>
      <c r="OX200" s="2"/>
      <c r="OY200" s="2"/>
      <c r="OZ200" s="2"/>
      <c r="PA200" s="2"/>
      <c r="PB200" s="2"/>
      <c r="PC200" s="2"/>
      <c r="PD200" s="2"/>
      <c r="PE200" s="2"/>
      <c r="PF200" s="2"/>
      <c r="PG200" s="2"/>
      <c r="PH200" s="2"/>
      <c r="PI200" s="2"/>
      <c r="PJ200" s="2"/>
      <c r="PK200" s="2"/>
      <c r="PL200" s="2"/>
      <c r="PM200" s="2"/>
      <c r="PN200" s="2"/>
      <c r="PO200" s="2"/>
      <c r="PP200" s="2"/>
      <c r="PQ200" s="2"/>
      <c r="PR200" s="2"/>
      <c r="PS200" s="2"/>
      <c r="PT200" s="2"/>
      <c r="PU200" s="2"/>
      <c r="PV200" s="2"/>
      <c r="PW200" s="2"/>
      <c r="PX200" s="2"/>
      <c r="PY200" s="2"/>
      <c r="PZ200" s="2"/>
      <c r="QA200" s="2"/>
      <c r="QB200" s="2"/>
      <c r="QC200" s="2"/>
      <c r="QD200" s="2"/>
      <c r="QE200" s="2"/>
      <c r="QF200" s="2"/>
      <c r="QG200" s="2"/>
      <c r="QH200" s="2"/>
      <c r="QI200" s="2"/>
      <c r="QJ200" s="2"/>
      <c r="QK200" s="2"/>
      <c r="QL200" s="2"/>
      <c r="QM200" s="2"/>
      <c r="QN200" s="2"/>
      <c r="QO200" s="2"/>
      <c r="QP200" s="2"/>
      <c r="QQ200" s="2"/>
      <c r="QR200" s="2"/>
      <c r="QS200" s="2"/>
      <c r="QT200" s="2"/>
      <c r="QU200" s="2"/>
      <c r="QV200" s="2"/>
      <c r="QW200" s="2"/>
      <c r="QX200" s="2"/>
      <c r="QY200" s="2"/>
      <c r="QZ200" s="2"/>
      <c r="RA200" s="2"/>
      <c r="RB200" s="2"/>
      <c r="RC200" s="2"/>
      <c r="RD200" s="2"/>
      <c r="RE200" s="2"/>
      <c r="RF200" s="2"/>
      <c r="RG200" s="2"/>
      <c r="RH200" s="2"/>
      <c r="RI200" s="2"/>
      <c r="RJ200" s="2"/>
      <c r="RK200" s="2"/>
      <c r="RL200" s="2"/>
      <c r="RM200" s="2"/>
      <c r="RN200" s="2"/>
      <c r="RO200" s="2"/>
      <c r="RP200" s="2"/>
      <c r="RQ200" s="2"/>
      <c r="RR200" s="2"/>
      <c r="RS200" s="2"/>
      <c r="RT200" s="2"/>
      <c r="RU200" s="2"/>
      <c r="RV200" s="2"/>
      <c r="RW200" s="2"/>
      <c r="RX200" s="2"/>
      <c r="RY200" s="2"/>
      <c r="RZ200" s="2"/>
      <c r="SA200" s="2"/>
      <c r="SB200" s="2"/>
      <c r="SC200" s="2"/>
      <c r="SD200" s="2"/>
      <c r="SE200" s="2"/>
      <c r="SF200" s="2"/>
      <c r="SG200" s="2"/>
      <c r="SH200" s="2"/>
      <c r="SI200" s="2"/>
      <c r="SJ200" s="2"/>
      <c r="SK200" s="2"/>
      <c r="SL200" s="2"/>
      <c r="SM200" s="2"/>
      <c r="SN200" s="2"/>
      <c r="SO200" s="2"/>
      <c r="SP200" s="2"/>
      <c r="SQ200" s="2"/>
      <c r="SR200" s="2"/>
      <c r="SS200" s="2"/>
      <c r="ST200" s="2"/>
      <c r="SU200" s="2"/>
      <c r="SV200" s="2"/>
      <c r="SW200" s="2"/>
      <c r="SX200" s="2"/>
    </row>
    <row r="201" spans="33:518" x14ac:dyDescent="0.25"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  <c r="FK201" s="2"/>
      <c r="FL201" s="2"/>
      <c r="FM201" s="2"/>
      <c r="FN201" s="2"/>
      <c r="FO201" s="2"/>
      <c r="FP201" s="2"/>
      <c r="FQ201" s="2"/>
      <c r="FR201" s="2"/>
      <c r="FS201" s="2"/>
      <c r="FT201" s="2"/>
      <c r="FU201" s="2"/>
      <c r="FV201" s="2"/>
      <c r="FW201" s="2"/>
      <c r="FX201" s="2"/>
      <c r="FY201" s="2"/>
      <c r="FZ201" s="2"/>
      <c r="GA201" s="2"/>
      <c r="GB201" s="2"/>
      <c r="GC201" s="2"/>
      <c r="GD201" s="2"/>
      <c r="GE201" s="2"/>
      <c r="GF201" s="2"/>
      <c r="GG201" s="2"/>
      <c r="GH201" s="2"/>
      <c r="GI201" s="2"/>
      <c r="GJ201" s="2"/>
      <c r="GK201" s="2"/>
      <c r="GL201" s="2"/>
      <c r="GM201" s="2"/>
      <c r="GN201" s="2"/>
      <c r="GO201" s="2"/>
      <c r="GP201" s="2"/>
      <c r="GQ201" s="2"/>
      <c r="GR201" s="2"/>
      <c r="GS201" s="2"/>
      <c r="GT201" s="2"/>
      <c r="GU201" s="2"/>
      <c r="GV201" s="2"/>
      <c r="GW201" s="2"/>
      <c r="GX201" s="2"/>
      <c r="GY201" s="2"/>
      <c r="GZ201" s="2"/>
      <c r="HA201" s="2"/>
      <c r="HB201" s="2"/>
      <c r="HC201" s="2"/>
      <c r="HD201" s="2"/>
      <c r="HE201" s="2"/>
      <c r="HF201" s="2"/>
      <c r="HG201" s="2"/>
      <c r="HH201" s="2"/>
      <c r="HI201" s="2"/>
      <c r="HJ201" s="2"/>
      <c r="HK201" s="2"/>
      <c r="HL201" s="2"/>
      <c r="HM201" s="2"/>
      <c r="HN201" s="2"/>
      <c r="HO201" s="2"/>
      <c r="HP201" s="2"/>
      <c r="HQ201" s="2"/>
      <c r="HR201" s="2"/>
      <c r="HS201" s="2"/>
      <c r="HT201" s="2"/>
      <c r="HU201" s="2"/>
      <c r="HV201" s="2"/>
      <c r="HW201" s="2"/>
      <c r="HX201" s="2"/>
      <c r="HY201" s="2"/>
      <c r="HZ201" s="2"/>
      <c r="IA201" s="2"/>
      <c r="IB201" s="2"/>
      <c r="IC201" s="2"/>
      <c r="ID201" s="2"/>
      <c r="IE201" s="2"/>
      <c r="IF201" s="2"/>
      <c r="IG201" s="2"/>
      <c r="IH201" s="2"/>
      <c r="II201" s="2"/>
      <c r="IJ201" s="2"/>
      <c r="IK201" s="2"/>
      <c r="IL201" s="2"/>
      <c r="IM201" s="2"/>
      <c r="IN201" s="2"/>
      <c r="IO201" s="2"/>
      <c r="IP201" s="2"/>
      <c r="IQ201" s="2"/>
      <c r="IR201" s="2"/>
      <c r="IS201" s="2"/>
      <c r="IT201" s="2"/>
      <c r="IU201" s="2"/>
      <c r="IV201" s="2"/>
      <c r="IW201" s="2"/>
      <c r="IX201" s="2"/>
      <c r="IY201" s="2"/>
      <c r="IZ201" s="2"/>
      <c r="JA201" s="2"/>
      <c r="JB201" s="2"/>
      <c r="JC201" s="2"/>
      <c r="JD201" s="2"/>
      <c r="JE201" s="2"/>
      <c r="JF201" s="2"/>
      <c r="JG201" s="2"/>
      <c r="JH201" s="2"/>
      <c r="JI201" s="2"/>
      <c r="JJ201" s="2"/>
      <c r="JK201" s="2"/>
      <c r="JL201" s="2"/>
      <c r="JM201" s="2"/>
      <c r="JN201" s="2"/>
      <c r="JO201" s="2"/>
      <c r="JP201" s="2"/>
      <c r="JQ201" s="2"/>
      <c r="JR201" s="2"/>
      <c r="JS201" s="2"/>
      <c r="JT201" s="2"/>
      <c r="JU201" s="2"/>
      <c r="JV201" s="2"/>
      <c r="JW201" s="2"/>
      <c r="JX201" s="2"/>
      <c r="JY201" s="2"/>
      <c r="JZ201" s="2"/>
      <c r="KA201" s="2"/>
      <c r="KB201" s="2"/>
      <c r="KC201" s="2"/>
      <c r="KD201" s="2"/>
      <c r="KE201" s="2"/>
      <c r="KF201" s="2"/>
      <c r="KG201" s="2"/>
      <c r="KH201" s="2"/>
      <c r="KI201" s="2"/>
      <c r="KJ201" s="2"/>
      <c r="KK201" s="2"/>
      <c r="KL201" s="2"/>
      <c r="KM201" s="2"/>
      <c r="KN201" s="2"/>
      <c r="KO201" s="2"/>
      <c r="KP201" s="2"/>
      <c r="KQ201" s="2"/>
      <c r="KR201" s="2"/>
      <c r="KS201" s="2"/>
      <c r="KT201" s="2"/>
      <c r="KU201" s="2"/>
      <c r="KV201" s="2"/>
      <c r="KW201" s="2"/>
      <c r="KX201" s="2"/>
      <c r="KY201" s="2"/>
      <c r="KZ201" s="2"/>
      <c r="LA201" s="2"/>
      <c r="LB201" s="2"/>
      <c r="LC201" s="2"/>
      <c r="LD201" s="2"/>
      <c r="LE201" s="2"/>
      <c r="LF201" s="2"/>
      <c r="LG201" s="2"/>
      <c r="LH201" s="2"/>
      <c r="LI201" s="2"/>
      <c r="LJ201" s="2"/>
      <c r="LK201" s="2"/>
      <c r="LL201" s="2"/>
      <c r="LM201" s="2"/>
      <c r="LN201" s="2"/>
      <c r="LO201" s="2"/>
      <c r="LP201" s="2"/>
      <c r="LQ201" s="2"/>
      <c r="LR201" s="2"/>
      <c r="LS201" s="2"/>
      <c r="LT201" s="2"/>
      <c r="LU201" s="2"/>
      <c r="LV201" s="2"/>
      <c r="LW201" s="2"/>
      <c r="LX201" s="2"/>
      <c r="LY201" s="2"/>
      <c r="LZ201" s="2"/>
      <c r="MA201" s="2"/>
      <c r="MB201" s="2"/>
      <c r="MC201" s="2"/>
      <c r="MD201" s="2"/>
      <c r="ME201" s="2"/>
      <c r="MF201" s="2"/>
      <c r="MG201" s="2"/>
      <c r="MH201" s="2"/>
      <c r="MI201" s="2"/>
      <c r="MJ201" s="2"/>
      <c r="MK201" s="2"/>
      <c r="ML201" s="2"/>
      <c r="MM201" s="2"/>
      <c r="MN201" s="2"/>
      <c r="MO201" s="2"/>
      <c r="MP201" s="2"/>
      <c r="MQ201" s="2"/>
      <c r="MR201" s="2"/>
      <c r="MS201" s="2"/>
      <c r="MT201" s="2"/>
      <c r="MU201" s="2"/>
      <c r="MV201" s="2"/>
      <c r="MW201" s="2"/>
      <c r="MX201" s="2"/>
      <c r="MY201" s="2"/>
      <c r="MZ201" s="2"/>
      <c r="NA201" s="2"/>
      <c r="NB201" s="2"/>
      <c r="NC201" s="2"/>
      <c r="ND201" s="2"/>
      <c r="NE201" s="2"/>
      <c r="NF201" s="2"/>
      <c r="NG201" s="2"/>
      <c r="NH201" s="2"/>
      <c r="NI201" s="2"/>
      <c r="NJ201" s="2"/>
      <c r="NK201" s="2"/>
      <c r="NL201" s="2"/>
      <c r="NM201" s="2"/>
      <c r="NN201" s="2"/>
      <c r="NO201" s="2"/>
      <c r="NP201" s="2"/>
      <c r="NQ201" s="2"/>
      <c r="NR201" s="2"/>
      <c r="NS201" s="2"/>
      <c r="NT201" s="2"/>
      <c r="NU201" s="2"/>
      <c r="NV201" s="2"/>
      <c r="NW201" s="2"/>
      <c r="NX201" s="2"/>
      <c r="NY201" s="2"/>
      <c r="NZ201" s="2"/>
      <c r="OA201" s="2"/>
      <c r="OB201" s="2"/>
      <c r="OC201" s="2"/>
      <c r="OD201" s="2"/>
      <c r="OE201" s="2"/>
      <c r="OF201" s="2"/>
      <c r="OG201" s="2"/>
      <c r="OH201" s="2"/>
      <c r="OI201" s="2"/>
      <c r="OJ201" s="2"/>
      <c r="OK201" s="2"/>
      <c r="OL201" s="2"/>
      <c r="OM201" s="2"/>
      <c r="ON201" s="2"/>
      <c r="OO201" s="2"/>
      <c r="OP201" s="2"/>
      <c r="OQ201" s="2"/>
      <c r="OR201" s="2"/>
      <c r="OS201" s="2"/>
      <c r="OT201" s="2"/>
      <c r="OU201" s="2"/>
      <c r="OV201" s="2"/>
      <c r="OW201" s="2"/>
      <c r="OX201" s="2"/>
      <c r="OY201" s="2"/>
      <c r="OZ201" s="2"/>
      <c r="PA201" s="2"/>
      <c r="PB201" s="2"/>
      <c r="PC201" s="2"/>
      <c r="PD201" s="2"/>
      <c r="PE201" s="2"/>
      <c r="PF201" s="2"/>
      <c r="PG201" s="2"/>
      <c r="PH201" s="2"/>
      <c r="PI201" s="2"/>
      <c r="PJ201" s="2"/>
      <c r="PK201" s="2"/>
      <c r="PL201" s="2"/>
      <c r="PM201" s="2"/>
      <c r="PN201" s="2"/>
      <c r="PO201" s="2"/>
      <c r="PP201" s="2"/>
      <c r="PQ201" s="2"/>
      <c r="PR201" s="2"/>
      <c r="PS201" s="2"/>
      <c r="PT201" s="2"/>
      <c r="PU201" s="2"/>
      <c r="PV201" s="2"/>
      <c r="PW201" s="2"/>
      <c r="PX201" s="2"/>
      <c r="PY201" s="2"/>
      <c r="PZ201" s="2"/>
      <c r="QA201" s="2"/>
      <c r="QB201" s="2"/>
      <c r="QC201" s="2"/>
      <c r="QD201" s="2"/>
      <c r="QE201" s="2"/>
      <c r="QF201" s="2"/>
      <c r="QG201" s="2"/>
      <c r="QH201" s="2"/>
      <c r="QI201" s="2"/>
      <c r="QJ201" s="2"/>
      <c r="QK201" s="2"/>
      <c r="QL201" s="2"/>
      <c r="QM201" s="2"/>
      <c r="QN201" s="2"/>
      <c r="QO201" s="2"/>
      <c r="QP201" s="2"/>
      <c r="QQ201" s="2"/>
      <c r="QR201" s="2"/>
      <c r="QS201" s="2"/>
      <c r="QT201" s="2"/>
      <c r="QU201" s="2"/>
      <c r="QV201" s="2"/>
      <c r="QW201" s="2"/>
      <c r="QX201" s="2"/>
      <c r="QY201" s="2"/>
      <c r="QZ201" s="2"/>
      <c r="RA201" s="2"/>
      <c r="RB201" s="2"/>
      <c r="RC201" s="2"/>
      <c r="RD201" s="2"/>
      <c r="RE201" s="2"/>
      <c r="RF201" s="2"/>
      <c r="RG201" s="2"/>
      <c r="RH201" s="2"/>
      <c r="RI201" s="2"/>
      <c r="RJ201" s="2"/>
      <c r="RK201" s="2"/>
      <c r="RL201" s="2"/>
      <c r="RM201" s="2"/>
      <c r="RN201" s="2"/>
      <c r="RO201" s="2"/>
      <c r="RP201" s="2"/>
      <c r="RQ201" s="2"/>
      <c r="RR201" s="2"/>
      <c r="RS201" s="2"/>
      <c r="RT201" s="2"/>
      <c r="RU201" s="2"/>
      <c r="RV201" s="2"/>
      <c r="RW201" s="2"/>
      <c r="RX201" s="2"/>
      <c r="RY201" s="2"/>
      <c r="RZ201" s="2"/>
      <c r="SA201" s="2"/>
      <c r="SB201" s="2"/>
      <c r="SC201" s="2"/>
      <c r="SD201" s="2"/>
      <c r="SE201" s="2"/>
      <c r="SF201" s="2"/>
      <c r="SG201" s="2"/>
      <c r="SH201" s="2"/>
      <c r="SI201" s="2"/>
      <c r="SJ201" s="2"/>
      <c r="SK201" s="2"/>
      <c r="SL201" s="2"/>
      <c r="SM201" s="2"/>
      <c r="SN201" s="2"/>
      <c r="SO201" s="2"/>
      <c r="SP201" s="2"/>
      <c r="SQ201" s="2"/>
      <c r="SR201" s="2"/>
      <c r="SS201" s="2"/>
      <c r="ST201" s="2"/>
      <c r="SU201" s="2"/>
      <c r="SV201" s="2"/>
      <c r="SW201" s="2"/>
      <c r="SX201" s="2"/>
    </row>
    <row r="202" spans="33:518" x14ac:dyDescent="0.25"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  <c r="FK202" s="2"/>
      <c r="FL202" s="2"/>
      <c r="FM202" s="2"/>
      <c r="FN202" s="2"/>
      <c r="FO202" s="2"/>
      <c r="FP202" s="2"/>
      <c r="FQ202" s="2"/>
      <c r="FR202" s="2"/>
      <c r="FS202" s="2"/>
      <c r="FT202" s="2"/>
      <c r="FU202" s="2"/>
      <c r="FV202" s="2"/>
      <c r="FW202" s="2"/>
      <c r="FX202" s="2"/>
      <c r="FY202" s="2"/>
      <c r="FZ202" s="2"/>
      <c r="GA202" s="2"/>
      <c r="GB202" s="2"/>
      <c r="GC202" s="2"/>
      <c r="GD202" s="2"/>
      <c r="GE202" s="2"/>
      <c r="GF202" s="2"/>
      <c r="GG202" s="2"/>
      <c r="GH202" s="2"/>
      <c r="GI202" s="2"/>
      <c r="GJ202" s="2"/>
      <c r="GK202" s="2"/>
      <c r="GL202" s="2"/>
      <c r="GM202" s="2"/>
      <c r="GN202" s="2"/>
      <c r="GO202" s="2"/>
      <c r="GP202" s="2"/>
      <c r="GQ202" s="2"/>
      <c r="GR202" s="2"/>
      <c r="GS202" s="2"/>
      <c r="GT202" s="2"/>
      <c r="GU202" s="2"/>
      <c r="GV202" s="2"/>
      <c r="GW202" s="2"/>
      <c r="GX202" s="2"/>
      <c r="GY202" s="2"/>
      <c r="GZ202" s="2"/>
      <c r="HA202" s="2"/>
      <c r="HB202" s="2"/>
      <c r="HC202" s="2"/>
      <c r="HD202" s="2"/>
      <c r="HE202" s="2"/>
      <c r="HF202" s="2"/>
      <c r="HG202" s="2"/>
      <c r="HH202" s="2"/>
      <c r="HI202" s="2"/>
      <c r="HJ202" s="2"/>
      <c r="HK202" s="2"/>
      <c r="HL202" s="2"/>
      <c r="HM202" s="2"/>
      <c r="HN202" s="2"/>
      <c r="HO202" s="2"/>
      <c r="HP202" s="2"/>
      <c r="HQ202" s="2"/>
      <c r="HR202" s="2"/>
      <c r="HS202" s="2"/>
      <c r="HT202" s="2"/>
      <c r="HU202" s="2"/>
      <c r="HV202" s="2"/>
      <c r="HW202" s="2"/>
      <c r="HX202" s="2"/>
      <c r="HY202" s="2"/>
      <c r="HZ202" s="2"/>
      <c r="IA202" s="2"/>
      <c r="IB202" s="2"/>
      <c r="IC202" s="2"/>
      <c r="ID202" s="2"/>
      <c r="IE202" s="2"/>
      <c r="IF202" s="2"/>
      <c r="IG202" s="2"/>
      <c r="IH202" s="2"/>
      <c r="II202" s="2"/>
      <c r="IJ202" s="2"/>
      <c r="IK202" s="2"/>
      <c r="IL202" s="2"/>
      <c r="IM202" s="2"/>
      <c r="IN202" s="2"/>
      <c r="IO202" s="2"/>
      <c r="IP202" s="2"/>
      <c r="IQ202" s="2"/>
      <c r="IR202" s="2"/>
      <c r="IS202" s="2"/>
      <c r="IT202" s="2"/>
      <c r="IU202" s="2"/>
      <c r="IV202" s="2"/>
      <c r="IW202" s="2"/>
      <c r="IX202" s="2"/>
      <c r="IY202" s="2"/>
      <c r="IZ202" s="2"/>
      <c r="JA202" s="2"/>
      <c r="JB202" s="2"/>
      <c r="JC202" s="2"/>
      <c r="JD202" s="2"/>
      <c r="JE202" s="2"/>
      <c r="JF202" s="2"/>
      <c r="JG202" s="2"/>
      <c r="JH202" s="2"/>
      <c r="JI202" s="2"/>
      <c r="JJ202" s="2"/>
      <c r="JK202" s="2"/>
      <c r="JL202" s="2"/>
      <c r="JM202" s="2"/>
      <c r="JN202" s="2"/>
      <c r="JO202" s="2"/>
      <c r="JP202" s="2"/>
      <c r="JQ202" s="2"/>
      <c r="JR202" s="2"/>
      <c r="JS202" s="2"/>
      <c r="JT202" s="2"/>
      <c r="JU202" s="2"/>
      <c r="JV202" s="2"/>
      <c r="JW202" s="2"/>
      <c r="JX202" s="2"/>
      <c r="JY202" s="2"/>
      <c r="JZ202" s="2"/>
      <c r="KA202" s="2"/>
      <c r="KB202" s="2"/>
      <c r="KC202" s="2"/>
      <c r="KD202" s="2"/>
      <c r="KE202" s="2"/>
      <c r="KF202" s="2"/>
      <c r="KG202" s="2"/>
      <c r="KH202" s="2"/>
      <c r="KI202" s="2"/>
      <c r="KJ202" s="2"/>
      <c r="KK202" s="2"/>
      <c r="KL202" s="2"/>
      <c r="KM202" s="2"/>
      <c r="KN202" s="2"/>
      <c r="KO202" s="2"/>
      <c r="KP202" s="2"/>
      <c r="KQ202" s="2"/>
      <c r="KR202" s="2"/>
      <c r="KS202" s="2"/>
      <c r="KT202" s="2"/>
      <c r="KU202" s="2"/>
      <c r="KV202" s="2"/>
      <c r="KW202" s="2"/>
      <c r="KX202" s="2"/>
      <c r="KY202" s="2"/>
      <c r="KZ202" s="2"/>
      <c r="LA202" s="2"/>
      <c r="LB202" s="2"/>
      <c r="LC202" s="2"/>
      <c r="LD202" s="2"/>
      <c r="LE202" s="2"/>
      <c r="LF202" s="2"/>
      <c r="LG202" s="2"/>
      <c r="LH202" s="2"/>
      <c r="LI202" s="2"/>
      <c r="LJ202" s="2"/>
      <c r="LK202" s="2"/>
      <c r="LL202" s="2"/>
      <c r="LM202" s="2"/>
      <c r="LN202" s="2"/>
      <c r="LO202" s="2"/>
      <c r="LP202" s="2"/>
      <c r="LQ202" s="2"/>
      <c r="LR202" s="2"/>
      <c r="LS202" s="2"/>
      <c r="LT202" s="2"/>
      <c r="LU202" s="2"/>
      <c r="LV202" s="2"/>
      <c r="LW202" s="2"/>
      <c r="LX202" s="2"/>
      <c r="LY202" s="2"/>
      <c r="LZ202" s="2"/>
      <c r="MA202" s="2"/>
      <c r="MB202" s="2"/>
      <c r="MC202" s="2"/>
      <c r="MD202" s="2"/>
      <c r="ME202" s="2"/>
      <c r="MF202" s="2"/>
      <c r="MG202" s="2"/>
      <c r="MH202" s="2"/>
      <c r="MI202" s="2"/>
      <c r="MJ202" s="2"/>
      <c r="MK202" s="2"/>
      <c r="ML202" s="2"/>
      <c r="MM202" s="2"/>
      <c r="MN202" s="2"/>
      <c r="MO202" s="2"/>
      <c r="MP202" s="2"/>
      <c r="MQ202" s="2"/>
      <c r="MR202" s="2"/>
      <c r="MS202" s="2"/>
      <c r="MT202" s="2"/>
      <c r="MU202" s="2"/>
      <c r="MV202" s="2"/>
      <c r="MW202" s="2"/>
      <c r="MX202" s="2"/>
      <c r="MY202" s="2"/>
      <c r="MZ202" s="2"/>
      <c r="NA202" s="2"/>
      <c r="NB202" s="2"/>
      <c r="NC202" s="2"/>
      <c r="ND202" s="2"/>
      <c r="NE202" s="2"/>
      <c r="NF202" s="2"/>
      <c r="NG202" s="2"/>
      <c r="NH202" s="2"/>
      <c r="NI202" s="2"/>
      <c r="NJ202" s="2"/>
      <c r="NK202" s="2"/>
      <c r="NL202" s="2"/>
      <c r="NM202" s="2"/>
      <c r="NN202" s="2"/>
      <c r="NO202" s="2"/>
      <c r="NP202" s="2"/>
      <c r="NQ202" s="2"/>
      <c r="NR202" s="2"/>
      <c r="NS202" s="2"/>
      <c r="NT202" s="2"/>
      <c r="NU202" s="2"/>
      <c r="NV202" s="2"/>
      <c r="NW202" s="2"/>
      <c r="NX202" s="2"/>
      <c r="NY202" s="2"/>
      <c r="NZ202" s="2"/>
      <c r="OA202" s="2"/>
      <c r="OB202" s="2"/>
      <c r="OC202" s="2"/>
      <c r="OD202" s="2"/>
      <c r="OE202" s="2"/>
      <c r="OF202" s="2"/>
      <c r="OG202" s="2"/>
      <c r="OH202" s="2"/>
      <c r="OI202" s="2"/>
      <c r="OJ202" s="2"/>
      <c r="OK202" s="2"/>
      <c r="OL202" s="2"/>
      <c r="OM202" s="2"/>
      <c r="ON202" s="2"/>
      <c r="OO202" s="2"/>
      <c r="OP202" s="2"/>
      <c r="OQ202" s="2"/>
      <c r="OR202" s="2"/>
      <c r="OS202" s="2"/>
      <c r="OT202" s="2"/>
      <c r="OU202" s="2"/>
      <c r="OV202" s="2"/>
      <c r="OW202" s="2"/>
      <c r="OX202" s="2"/>
      <c r="OY202" s="2"/>
      <c r="OZ202" s="2"/>
      <c r="PA202" s="2"/>
      <c r="PB202" s="2"/>
      <c r="PC202" s="2"/>
      <c r="PD202" s="2"/>
      <c r="PE202" s="2"/>
      <c r="PF202" s="2"/>
      <c r="PG202" s="2"/>
      <c r="PH202" s="2"/>
      <c r="PI202" s="2"/>
      <c r="PJ202" s="2"/>
      <c r="PK202" s="2"/>
      <c r="PL202" s="2"/>
      <c r="PM202" s="2"/>
      <c r="PN202" s="2"/>
      <c r="PO202" s="2"/>
      <c r="PP202" s="2"/>
      <c r="PQ202" s="2"/>
      <c r="PR202" s="2"/>
      <c r="PS202" s="2"/>
      <c r="PT202" s="2"/>
      <c r="PU202" s="2"/>
      <c r="PV202" s="2"/>
      <c r="PW202" s="2"/>
      <c r="PX202" s="2"/>
      <c r="PY202" s="2"/>
      <c r="PZ202" s="2"/>
      <c r="QA202" s="2"/>
      <c r="QB202" s="2"/>
      <c r="QC202" s="2"/>
      <c r="QD202" s="2"/>
      <c r="QE202" s="2"/>
      <c r="QF202" s="2"/>
      <c r="QG202" s="2"/>
      <c r="QH202" s="2"/>
      <c r="QI202" s="2"/>
      <c r="QJ202" s="2"/>
      <c r="QK202" s="2"/>
      <c r="QL202" s="2"/>
      <c r="QM202" s="2"/>
      <c r="QN202" s="2"/>
      <c r="QO202" s="2"/>
      <c r="QP202" s="2"/>
      <c r="QQ202" s="2"/>
      <c r="QR202" s="2"/>
      <c r="QS202" s="2"/>
      <c r="QT202" s="2"/>
      <c r="QU202" s="2"/>
      <c r="QV202" s="2"/>
      <c r="QW202" s="2"/>
      <c r="QX202" s="2"/>
      <c r="QY202" s="2"/>
      <c r="QZ202" s="2"/>
      <c r="RA202" s="2"/>
      <c r="RB202" s="2"/>
      <c r="RC202" s="2"/>
      <c r="RD202" s="2"/>
      <c r="RE202" s="2"/>
      <c r="RF202" s="2"/>
      <c r="RG202" s="2"/>
      <c r="RH202" s="2"/>
      <c r="RI202" s="2"/>
      <c r="RJ202" s="2"/>
      <c r="RK202" s="2"/>
      <c r="RL202" s="2"/>
      <c r="RM202" s="2"/>
      <c r="RN202" s="2"/>
      <c r="RO202" s="2"/>
      <c r="RP202" s="2"/>
      <c r="RQ202" s="2"/>
      <c r="RR202" s="2"/>
      <c r="RS202" s="2"/>
      <c r="RT202" s="2"/>
      <c r="RU202" s="2"/>
      <c r="RV202" s="2"/>
      <c r="RW202" s="2"/>
      <c r="RX202" s="2"/>
      <c r="RY202" s="2"/>
      <c r="RZ202" s="2"/>
      <c r="SA202" s="2"/>
      <c r="SB202" s="2"/>
      <c r="SC202" s="2"/>
      <c r="SD202" s="2"/>
      <c r="SE202" s="2"/>
      <c r="SF202" s="2"/>
      <c r="SG202" s="2"/>
      <c r="SH202" s="2"/>
      <c r="SI202" s="2"/>
      <c r="SJ202" s="2"/>
      <c r="SK202" s="2"/>
      <c r="SL202" s="2"/>
      <c r="SM202" s="2"/>
      <c r="SN202" s="2"/>
      <c r="SO202" s="2"/>
      <c r="SP202" s="2"/>
      <c r="SQ202" s="2"/>
      <c r="SR202" s="2"/>
      <c r="SS202" s="2"/>
      <c r="ST202" s="2"/>
      <c r="SU202" s="2"/>
      <c r="SV202" s="2"/>
      <c r="SW202" s="2"/>
      <c r="SX202" s="2"/>
    </row>
    <row r="203" spans="33:518" x14ac:dyDescent="0.25"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  <c r="FK203" s="2"/>
      <c r="FL203" s="2"/>
      <c r="FM203" s="2"/>
      <c r="FN203" s="2"/>
      <c r="FO203" s="2"/>
      <c r="FP203" s="2"/>
      <c r="FQ203" s="2"/>
      <c r="FR203" s="2"/>
      <c r="FS203" s="2"/>
      <c r="FT203" s="2"/>
      <c r="FU203" s="2"/>
      <c r="FV203" s="2"/>
      <c r="FW203" s="2"/>
      <c r="FX203" s="2"/>
      <c r="FY203" s="2"/>
      <c r="FZ203" s="2"/>
      <c r="GA203" s="2"/>
      <c r="GB203" s="2"/>
      <c r="GC203" s="2"/>
      <c r="GD203" s="2"/>
      <c r="GE203" s="2"/>
      <c r="GF203" s="2"/>
      <c r="GG203" s="2"/>
      <c r="GH203" s="2"/>
      <c r="GI203" s="2"/>
      <c r="GJ203" s="2"/>
      <c r="GK203" s="2"/>
      <c r="GL203" s="2"/>
      <c r="GM203" s="2"/>
      <c r="GN203" s="2"/>
      <c r="GO203" s="2"/>
      <c r="GP203" s="2"/>
      <c r="GQ203" s="2"/>
      <c r="GR203" s="2"/>
      <c r="GS203" s="2"/>
      <c r="GT203" s="2"/>
      <c r="GU203" s="2"/>
      <c r="GV203" s="2"/>
      <c r="GW203" s="2"/>
      <c r="GX203" s="2"/>
      <c r="GY203" s="2"/>
      <c r="GZ203" s="2"/>
      <c r="HA203" s="2"/>
      <c r="HB203" s="2"/>
      <c r="HC203" s="2"/>
      <c r="HD203" s="2"/>
      <c r="HE203" s="2"/>
      <c r="HF203" s="2"/>
      <c r="HG203" s="2"/>
      <c r="HH203" s="2"/>
      <c r="HI203" s="2"/>
      <c r="HJ203" s="2"/>
      <c r="HK203" s="2"/>
      <c r="HL203" s="2"/>
      <c r="HM203" s="2"/>
      <c r="HN203" s="2"/>
      <c r="HO203" s="2"/>
      <c r="HP203" s="2"/>
      <c r="HQ203" s="2"/>
      <c r="HR203" s="2"/>
      <c r="HS203" s="2"/>
      <c r="HT203" s="2"/>
      <c r="HU203" s="2"/>
      <c r="HV203" s="2"/>
      <c r="HW203" s="2"/>
      <c r="HX203" s="2"/>
      <c r="HY203" s="2"/>
      <c r="HZ203" s="2"/>
      <c r="IA203" s="2"/>
      <c r="IB203" s="2"/>
      <c r="IC203" s="2"/>
      <c r="ID203" s="2"/>
      <c r="IE203" s="2"/>
      <c r="IF203" s="2"/>
      <c r="IG203" s="2"/>
      <c r="IH203" s="2"/>
      <c r="II203" s="2"/>
      <c r="IJ203" s="2"/>
      <c r="IK203" s="2"/>
      <c r="IL203" s="2"/>
      <c r="IM203" s="2"/>
      <c r="IN203" s="2"/>
      <c r="IO203" s="2"/>
      <c r="IP203" s="2"/>
      <c r="IQ203" s="2"/>
      <c r="IR203" s="2"/>
      <c r="IS203" s="2"/>
      <c r="IT203" s="2"/>
      <c r="IU203" s="2"/>
      <c r="IV203" s="2"/>
      <c r="IW203" s="2"/>
      <c r="IX203" s="2"/>
      <c r="IY203" s="2"/>
      <c r="IZ203" s="2"/>
      <c r="JA203" s="2"/>
      <c r="JB203" s="2"/>
      <c r="JC203" s="2"/>
      <c r="JD203" s="2"/>
      <c r="JE203" s="2"/>
      <c r="JF203" s="2"/>
      <c r="JG203" s="2"/>
      <c r="JH203" s="2"/>
      <c r="JI203" s="2"/>
      <c r="JJ203" s="2"/>
      <c r="JK203" s="2"/>
      <c r="JL203" s="2"/>
      <c r="JM203" s="2"/>
      <c r="JN203" s="2"/>
      <c r="JO203" s="2"/>
      <c r="JP203" s="2"/>
      <c r="JQ203" s="2"/>
      <c r="JR203" s="2"/>
      <c r="JS203" s="2"/>
      <c r="JT203" s="2"/>
      <c r="JU203" s="2"/>
      <c r="JV203" s="2"/>
      <c r="JW203" s="2"/>
      <c r="JX203" s="2"/>
      <c r="JY203" s="2"/>
      <c r="JZ203" s="2"/>
      <c r="KA203" s="2"/>
      <c r="KB203" s="2"/>
      <c r="KC203" s="2"/>
      <c r="KD203" s="2"/>
      <c r="KE203" s="2"/>
      <c r="KF203" s="2"/>
      <c r="KG203" s="2"/>
      <c r="KH203" s="2"/>
      <c r="KI203" s="2"/>
      <c r="KJ203" s="2"/>
      <c r="KK203" s="2"/>
      <c r="KL203" s="2"/>
      <c r="KM203" s="2"/>
      <c r="KN203" s="2"/>
      <c r="KO203" s="2"/>
      <c r="KP203" s="2"/>
      <c r="KQ203" s="2"/>
      <c r="KR203" s="2"/>
      <c r="KS203" s="2"/>
      <c r="KT203" s="2"/>
      <c r="KU203" s="2"/>
      <c r="KV203" s="2"/>
      <c r="KW203" s="2"/>
      <c r="KX203" s="2"/>
      <c r="KY203" s="2"/>
      <c r="KZ203" s="2"/>
      <c r="LA203" s="2"/>
      <c r="LB203" s="2"/>
      <c r="LC203" s="2"/>
      <c r="LD203" s="2"/>
      <c r="LE203" s="2"/>
      <c r="LF203" s="2"/>
      <c r="LG203" s="2"/>
      <c r="LH203" s="2"/>
      <c r="LI203" s="2"/>
      <c r="LJ203" s="2"/>
      <c r="LK203" s="2"/>
      <c r="LL203" s="2"/>
      <c r="LM203" s="2"/>
      <c r="LN203" s="2"/>
      <c r="LO203" s="2"/>
      <c r="LP203" s="2"/>
      <c r="LQ203" s="2"/>
      <c r="LR203" s="2"/>
      <c r="LS203" s="2"/>
      <c r="LT203" s="2"/>
      <c r="LU203" s="2"/>
      <c r="LV203" s="2"/>
      <c r="LW203" s="2"/>
      <c r="LX203" s="2"/>
      <c r="LY203" s="2"/>
      <c r="LZ203" s="2"/>
      <c r="MA203" s="2"/>
      <c r="MB203" s="2"/>
      <c r="MC203" s="2"/>
      <c r="MD203" s="2"/>
      <c r="ME203" s="2"/>
      <c r="MF203" s="2"/>
      <c r="MG203" s="2"/>
      <c r="MH203" s="2"/>
      <c r="MI203" s="2"/>
      <c r="MJ203" s="2"/>
      <c r="MK203" s="2"/>
      <c r="ML203" s="2"/>
      <c r="MM203" s="2"/>
      <c r="MN203" s="2"/>
      <c r="MO203" s="2"/>
      <c r="MP203" s="2"/>
      <c r="MQ203" s="2"/>
      <c r="MR203" s="2"/>
      <c r="MS203" s="2"/>
      <c r="MT203" s="2"/>
      <c r="MU203" s="2"/>
      <c r="MV203" s="2"/>
      <c r="MW203" s="2"/>
      <c r="MX203" s="2"/>
      <c r="MY203" s="2"/>
      <c r="MZ203" s="2"/>
      <c r="NA203" s="2"/>
      <c r="NB203" s="2"/>
      <c r="NC203" s="2"/>
      <c r="ND203" s="2"/>
      <c r="NE203" s="2"/>
      <c r="NF203" s="2"/>
      <c r="NG203" s="2"/>
      <c r="NH203" s="2"/>
      <c r="NI203" s="2"/>
      <c r="NJ203" s="2"/>
      <c r="NK203" s="2"/>
      <c r="NL203" s="2"/>
      <c r="NM203" s="2"/>
      <c r="NN203" s="2"/>
      <c r="NO203" s="2"/>
      <c r="NP203" s="2"/>
      <c r="NQ203" s="2"/>
      <c r="NR203" s="2"/>
      <c r="NS203" s="2"/>
      <c r="NT203" s="2"/>
      <c r="NU203" s="2"/>
      <c r="NV203" s="2"/>
      <c r="NW203" s="2"/>
      <c r="NX203" s="2"/>
      <c r="NY203" s="2"/>
      <c r="NZ203" s="2"/>
      <c r="OA203" s="2"/>
      <c r="OB203" s="2"/>
      <c r="OC203" s="2"/>
      <c r="OD203" s="2"/>
      <c r="OE203" s="2"/>
      <c r="OF203" s="2"/>
      <c r="OG203" s="2"/>
      <c r="OH203" s="2"/>
      <c r="OI203" s="2"/>
      <c r="OJ203" s="2"/>
      <c r="OK203" s="2"/>
      <c r="OL203" s="2"/>
      <c r="OM203" s="2"/>
      <c r="ON203" s="2"/>
      <c r="OO203" s="2"/>
      <c r="OP203" s="2"/>
      <c r="OQ203" s="2"/>
      <c r="OR203" s="2"/>
      <c r="OS203" s="2"/>
      <c r="OT203" s="2"/>
      <c r="OU203" s="2"/>
      <c r="OV203" s="2"/>
      <c r="OW203" s="2"/>
      <c r="OX203" s="2"/>
      <c r="OY203" s="2"/>
      <c r="OZ203" s="2"/>
      <c r="PA203" s="2"/>
      <c r="PB203" s="2"/>
      <c r="PC203" s="2"/>
      <c r="PD203" s="2"/>
      <c r="PE203" s="2"/>
      <c r="PF203" s="2"/>
      <c r="PG203" s="2"/>
      <c r="PH203" s="2"/>
      <c r="PI203" s="2"/>
      <c r="PJ203" s="2"/>
      <c r="PK203" s="2"/>
      <c r="PL203" s="2"/>
      <c r="PM203" s="2"/>
      <c r="PN203" s="2"/>
      <c r="PO203" s="2"/>
      <c r="PP203" s="2"/>
      <c r="PQ203" s="2"/>
      <c r="PR203" s="2"/>
      <c r="PS203" s="2"/>
      <c r="PT203" s="2"/>
      <c r="PU203" s="2"/>
      <c r="PV203" s="2"/>
      <c r="PW203" s="2"/>
      <c r="PX203" s="2"/>
      <c r="PY203" s="2"/>
      <c r="PZ203" s="2"/>
      <c r="QA203" s="2"/>
      <c r="QB203" s="2"/>
      <c r="QC203" s="2"/>
      <c r="QD203" s="2"/>
      <c r="QE203" s="2"/>
      <c r="QF203" s="2"/>
      <c r="QG203" s="2"/>
      <c r="QH203" s="2"/>
      <c r="QI203" s="2"/>
      <c r="QJ203" s="2"/>
      <c r="QK203" s="2"/>
      <c r="QL203" s="2"/>
      <c r="QM203" s="2"/>
      <c r="QN203" s="2"/>
      <c r="QO203" s="2"/>
      <c r="QP203" s="2"/>
      <c r="QQ203" s="2"/>
      <c r="QR203" s="2"/>
      <c r="QS203" s="2"/>
      <c r="QT203" s="2"/>
      <c r="QU203" s="2"/>
      <c r="QV203" s="2"/>
      <c r="QW203" s="2"/>
      <c r="QX203" s="2"/>
      <c r="QY203" s="2"/>
      <c r="QZ203" s="2"/>
      <c r="RA203" s="2"/>
      <c r="RB203" s="2"/>
      <c r="RC203" s="2"/>
      <c r="RD203" s="2"/>
      <c r="RE203" s="2"/>
      <c r="RF203" s="2"/>
      <c r="RG203" s="2"/>
      <c r="RH203" s="2"/>
      <c r="RI203" s="2"/>
      <c r="RJ203" s="2"/>
      <c r="RK203" s="2"/>
      <c r="RL203" s="2"/>
      <c r="RM203" s="2"/>
      <c r="RN203" s="2"/>
      <c r="RO203" s="2"/>
      <c r="RP203" s="2"/>
      <c r="RQ203" s="2"/>
      <c r="RR203" s="2"/>
      <c r="RS203" s="2"/>
      <c r="RT203" s="2"/>
      <c r="RU203" s="2"/>
      <c r="RV203" s="2"/>
      <c r="RW203" s="2"/>
      <c r="RX203" s="2"/>
      <c r="RY203" s="2"/>
      <c r="RZ203" s="2"/>
      <c r="SA203" s="2"/>
      <c r="SB203" s="2"/>
      <c r="SC203" s="2"/>
      <c r="SD203" s="2"/>
      <c r="SE203" s="2"/>
      <c r="SF203" s="2"/>
      <c r="SG203" s="2"/>
      <c r="SH203" s="2"/>
      <c r="SI203" s="2"/>
      <c r="SJ203" s="2"/>
      <c r="SK203" s="2"/>
      <c r="SL203" s="2"/>
      <c r="SM203" s="2"/>
      <c r="SN203" s="2"/>
      <c r="SO203" s="2"/>
      <c r="SP203" s="2"/>
      <c r="SQ203" s="2"/>
      <c r="SR203" s="2"/>
      <c r="SS203" s="2"/>
      <c r="ST203" s="2"/>
      <c r="SU203" s="2"/>
      <c r="SV203" s="2"/>
      <c r="SW203" s="2"/>
      <c r="SX203" s="2"/>
    </row>
    <row r="204" spans="33:518" x14ac:dyDescent="0.25"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  <c r="FK204" s="2"/>
      <c r="FL204" s="2"/>
      <c r="FM204" s="2"/>
      <c r="FN204" s="2"/>
      <c r="FO204" s="2"/>
      <c r="FP204" s="2"/>
      <c r="FQ204" s="2"/>
      <c r="FR204" s="2"/>
      <c r="FS204" s="2"/>
      <c r="FT204" s="2"/>
      <c r="FU204" s="2"/>
      <c r="FV204" s="2"/>
      <c r="FW204" s="2"/>
      <c r="FX204" s="2"/>
      <c r="FY204" s="2"/>
      <c r="FZ204" s="2"/>
      <c r="GA204" s="2"/>
      <c r="GB204" s="2"/>
      <c r="GC204" s="2"/>
      <c r="GD204" s="2"/>
      <c r="GE204" s="2"/>
      <c r="GF204" s="2"/>
      <c r="GG204" s="2"/>
      <c r="GH204" s="2"/>
      <c r="GI204" s="2"/>
      <c r="GJ204" s="2"/>
      <c r="GK204" s="2"/>
      <c r="GL204" s="2"/>
      <c r="GM204" s="2"/>
      <c r="GN204" s="2"/>
      <c r="GO204" s="2"/>
      <c r="GP204" s="2"/>
      <c r="GQ204" s="2"/>
      <c r="GR204" s="2"/>
      <c r="GS204" s="2"/>
      <c r="GT204" s="2"/>
      <c r="GU204" s="2"/>
      <c r="GV204" s="2"/>
      <c r="GW204" s="2"/>
      <c r="GX204" s="2"/>
      <c r="GY204" s="2"/>
      <c r="GZ204" s="2"/>
      <c r="HA204" s="2"/>
      <c r="HB204" s="2"/>
      <c r="HC204" s="2"/>
      <c r="HD204" s="2"/>
      <c r="HE204" s="2"/>
      <c r="HF204" s="2"/>
      <c r="HG204" s="2"/>
      <c r="HH204" s="2"/>
      <c r="HI204" s="2"/>
      <c r="HJ204" s="2"/>
      <c r="HK204" s="2"/>
      <c r="HL204" s="2"/>
      <c r="HM204" s="2"/>
      <c r="HN204" s="2"/>
      <c r="HO204" s="2"/>
      <c r="HP204" s="2"/>
      <c r="HQ204" s="2"/>
      <c r="HR204" s="2"/>
      <c r="HS204" s="2"/>
      <c r="HT204" s="2"/>
      <c r="HU204" s="2"/>
      <c r="HV204" s="2"/>
      <c r="HW204" s="2"/>
      <c r="HX204" s="2"/>
      <c r="HY204" s="2"/>
      <c r="HZ204" s="2"/>
      <c r="IA204" s="2"/>
      <c r="IB204" s="2"/>
      <c r="IC204" s="2"/>
      <c r="ID204" s="2"/>
      <c r="IE204" s="2"/>
      <c r="IF204" s="2"/>
      <c r="IG204" s="2"/>
      <c r="IH204" s="2"/>
      <c r="II204" s="2"/>
      <c r="IJ204" s="2"/>
      <c r="IK204" s="2"/>
      <c r="IL204" s="2"/>
      <c r="IM204" s="2"/>
      <c r="IN204" s="2"/>
      <c r="IO204" s="2"/>
      <c r="IP204" s="2"/>
      <c r="IQ204" s="2"/>
      <c r="IR204" s="2"/>
      <c r="IS204" s="2"/>
      <c r="IT204" s="2"/>
      <c r="IU204" s="2"/>
      <c r="IV204" s="2"/>
      <c r="IW204" s="2"/>
      <c r="IX204" s="2"/>
      <c r="IY204" s="2"/>
      <c r="IZ204" s="2"/>
      <c r="JA204" s="2"/>
      <c r="JB204" s="2"/>
      <c r="JC204" s="2"/>
      <c r="JD204" s="2"/>
      <c r="JE204" s="2"/>
      <c r="JF204" s="2"/>
      <c r="JG204" s="2"/>
      <c r="JH204" s="2"/>
      <c r="JI204" s="2"/>
      <c r="JJ204" s="2"/>
      <c r="JK204" s="2"/>
      <c r="JL204" s="2"/>
      <c r="JM204" s="2"/>
      <c r="JN204" s="2"/>
      <c r="JO204" s="2"/>
      <c r="JP204" s="2"/>
      <c r="JQ204" s="2"/>
      <c r="JR204" s="2"/>
      <c r="JS204" s="2"/>
      <c r="JT204" s="2"/>
      <c r="JU204" s="2"/>
      <c r="JV204" s="2"/>
      <c r="JW204" s="2"/>
      <c r="JX204" s="2"/>
      <c r="JY204" s="2"/>
      <c r="JZ204" s="2"/>
      <c r="KA204" s="2"/>
      <c r="KB204" s="2"/>
      <c r="KC204" s="2"/>
      <c r="KD204" s="2"/>
      <c r="KE204" s="2"/>
      <c r="KF204" s="2"/>
      <c r="KG204" s="2"/>
      <c r="KH204" s="2"/>
      <c r="KI204" s="2"/>
      <c r="KJ204" s="2"/>
      <c r="KK204" s="2"/>
      <c r="KL204" s="2"/>
      <c r="KM204" s="2"/>
      <c r="KN204" s="2"/>
      <c r="KO204" s="2"/>
      <c r="KP204" s="2"/>
      <c r="KQ204" s="2"/>
      <c r="KR204" s="2"/>
      <c r="KS204" s="2"/>
      <c r="KT204" s="2"/>
      <c r="KU204" s="2"/>
      <c r="KV204" s="2"/>
      <c r="KW204" s="2"/>
      <c r="KX204" s="2"/>
      <c r="KY204" s="2"/>
      <c r="KZ204" s="2"/>
      <c r="LA204" s="2"/>
      <c r="LB204" s="2"/>
      <c r="LC204" s="2"/>
      <c r="LD204" s="2"/>
      <c r="LE204" s="2"/>
      <c r="LF204" s="2"/>
      <c r="LG204" s="2"/>
      <c r="LH204" s="2"/>
      <c r="LI204" s="2"/>
      <c r="LJ204" s="2"/>
      <c r="LK204" s="2"/>
      <c r="LL204" s="2"/>
      <c r="LM204" s="2"/>
      <c r="LN204" s="2"/>
      <c r="LO204" s="2"/>
      <c r="LP204" s="2"/>
      <c r="LQ204" s="2"/>
      <c r="LR204" s="2"/>
      <c r="LS204" s="2"/>
      <c r="LT204" s="2"/>
      <c r="LU204" s="2"/>
      <c r="LV204" s="2"/>
      <c r="LW204" s="2"/>
      <c r="LX204" s="2"/>
      <c r="LY204" s="2"/>
      <c r="LZ204" s="2"/>
      <c r="MA204" s="2"/>
      <c r="MB204" s="2"/>
      <c r="MC204" s="2"/>
      <c r="MD204" s="2"/>
      <c r="ME204" s="2"/>
      <c r="MF204" s="2"/>
      <c r="MG204" s="2"/>
      <c r="MH204" s="2"/>
      <c r="MI204" s="2"/>
      <c r="MJ204" s="2"/>
      <c r="MK204" s="2"/>
      <c r="ML204" s="2"/>
      <c r="MM204" s="2"/>
      <c r="MN204" s="2"/>
      <c r="MO204" s="2"/>
      <c r="MP204" s="2"/>
      <c r="MQ204" s="2"/>
      <c r="MR204" s="2"/>
      <c r="MS204" s="2"/>
      <c r="MT204" s="2"/>
      <c r="MU204" s="2"/>
      <c r="MV204" s="2"/>
      <c r="MW204" s="2"/>
      <c r="MX204" s="2"/>
      <c r="MY204" s="2"/>
      <c r="MZ204" s="2"/>
      <c r="NA204" s="2"/>
      <c r="NB204" s="2"/>
      <c r="NC204" s="2"/>
      <c r="ND204" s="2"/>
      <c r="NE204" s="2"/>
      <c r="NF204" s="2"/>
      <c r="NG204" s="2"/>
      <c r="NH204" s="2"/>
      <c r="NI204" s="2"/>
      <c r="NJ204" s="2"/>
      <c r="NK204" s="2"/>
      <c r="NL204" s="2"/>
      <c r="NM204" s="2"/>
      <c r="NN204" s="2"/>
      <c r="NO204" s="2"/>
      <c r="NP204" s="2"/>
      <c r="NQ204" s="2"/>
      <c r="NR204" s="2"/>
      <c r="NS204" s="2"/>
      <c r="NT204" s="2"/>
      <c r="NU204" s="2"/>
      <c r="NV204" s="2"/>
      <c r="NW204" s="2"/>
      <c r="NX204" s="2"/>
      <c r="NY204" s="2"/>
      <c r="NZ204" s="2"/>
      <c r="OA204" s="2"/>
      <c r="OB204" s="2"/>
      <c r="OC204" s="2"/>
      <c r="OD204" s="2"/>
      <c r="OE204" s="2"/>
      <c r="OF204" s="2"/>
      <c r="OG204" s="2"/>
      <c r="OH204" s="2"/>
      <c r="OI204" s="2"/>
      <c r="OJ204" s="2"/>
      <c r="OK204" s="2"/>
      <c r="OL204" s="2"/>
      <c r="OM204" s="2"/>
      <c r="ON204" s="2"/>
      <c r="OO204" s="2"/>
      <c r="OP204" s="2"/>
      <c r="OQ204" s="2"/>
      <c r="OR204" s="2"/>
      <c r="OS204" s="2"/>
      <c r="OT204" s="2"/>
      <c r="OU204" s="2"/>
      <c r="OV204" s="2"/>
      <c r="OW204" s="2"/>
      <c r="OX204" s="2"/>
      <c r="OY204" s="2"/>
      <c r="OZ204" s="2"/>
      <c r="PA204" s="2"/>
      <c r="PB204" s="2"/>
      <c r="PC204" s="2"/>
      <c r="PD204" s="2"/>
      <c r="PE204" s="2"/>
      <c r="PF204" s="2"/>
      <c r="PG204" s="2"/>
      <c r="PH204" s="2"/>
      <c r="PI204" s="2"/>
      <c r="PJ204" s="2"/>
      <c r="PK204" s="2"/>
      <c r="PL204" s="2"/>
      <c r="PM204" s="2"/>
      <c r="PN204" s="2"/>
      <c r="PO204" s="2"/>
      <c r="PP204" s="2"/>
      <c r="PQ204" s="2"/>
      <c r="PR204" s="2"/>
      <c r="PS204" s="2"/>
      <c r="PT204" s="2"/>
      <c r="PU204" s="2"/>
      <c r="PV204" s="2"/>
      <c r="PW204" s="2"/>
      <c r="PX204" s="2"/>
      <c r="PY204" s="2"/>
      <c r="PZ204" s="2"/>
      <c r="QA204" s="2"/>
      <c r="QB204" s="2"/>
      <c r="QC204" s="2"/>
      <c r="QD204" s="2"/>
      <c r="QE204" s="2"/>
      <c r="QF204" s="2"/>
      <c r="QG204" s="2"/>
      <c r="QH204" s="2"/>
      <c r="QI204" s="2"/>
      <c r="QJ204" s="2"/>
      <c r="QK204" s="2"/>
      <c r="QL204" s="2"/>
      <c r="QM204" s="2"/>
      <c r="QN204" s="2"/>
      <c r="QO204" s="2"/>
      <c r="QP204" s="2"/>
      <c r="QQ204" s="2"/>
      <c r="QR204" s="2"/>
      <c r="QS204" s="2"/>
      <c r="QT204" s="2"/>
      <c r="QU204" s="2"/>
      <c r="QV204" s="2"/>
      <c r="QW204" s="2"/>
      <c r="QX204" s="2"/>
      <c r="QY204" s="2"/>
      <c r="QZ204" s="2"/>
      <c r="RA204" s="2"/>
      <c r="RB204" s="2"/>
      <c r="RC204" s="2"/>
      <c r="RD204" s="2"/>
      <c r="RE204" s="2"/>
      <c r="RF204" s="2"/>
      <c r="RG204" s="2"/>
      <c r="RH204" s="2"/>
      <c r="RI204" s="2"/>
      <c r="RJ204" s="2"/>
      <c r="RK204" s="2"/>
      <c r="RL204" s="2"/>
      <c r="RM204" s="2"/>
      <c r="RN204" s="2"/>
      <c r="RO204" s="2"/>
      <c r="RP204" s="2"/>
      <c r="RQ204" s="2"/>
      <c r="RR204" s="2"/>
      <c r="RS204" s="2"/>
      <c r="RT204" s="2"/>
      <c r="RU204" s="2"/>
      <c r="RV204" s="2"/>
      <c r="RW204" s="2"/>
      <c r="RX204" s="2"/>
      <c r="RY204" s="2"/>
      <c r="RZ204" s="2"/>
      <c r="SA204" s="2"/>
      <c r="SB204" s="2"/>
      <c r="SC204" s="2"/>
      <c r="SD204" s="2"/>
      <c r="SE204" s="2"/>
      <c r="SF204" s="2"/>
      <c r="SG204" s="2"/>
      <c r="SH204" s="2"/>
      <c r="SI204" s="2"/>
      <c r="SJ204" s="2"/>
      <c r="SK204" s="2"/>
      <c r="SL204" s="2"/>
      <c r="SM204" s="2"/>
      <c r="SN204" s="2"/>
      <c r="SO204" s="2"/>
      <c r="SP204" s="2"/>
      <c r="SQ204" s="2"/>
      <c r="SR204" s="2"/>
      <c r="SS204" s="2"/>
      <c r="ST204" s="2"/>
      <c r="SU204" s="2"/>
      <c r="SV204" s="2"/>
      <c r="SW204" s="2"/>
      <c r="SX204" s="2"/>
    </row>
    <row r="205" spans="33:518" x14ac:dyDescent="0.25"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  <c r="RA205" s="2"/>
      <c r="RB205" s="2"/>
      <c r="RC205" s="2"/>
      <c r="RD205" s="2"/>
      <c r="RE205" s="2"/>
      <c r="RF205" s="2"/>
      <c r="RG205" s="2"/>
      <c r="RH205" s="2"/>
      <c r="RI205" s="2"/>
      <c r="RJ205" s="2"/>
      <c r="RK205" s="2"/>
      <c r="RL205" s="2"/>
      <c r="RM205" s="2"/>
      <c r="RN205" s="2"/>
      <c r="RO205" s="2"/>
      <c r="RP205" s="2"/>
      <c r="RQ205" s="2"/>
      <c r="RR205" s="2"/>
      <c r="RS205" s="2"/>
      <c r="RT205" s="2"/>
      <c r="RU205" s="2"/>
      <c r="RV205" s="2"/>
      <c r="RW205" s="2"/>
      <c r="RX205" s="2"/>
      <c r="RY205" s="2"/>
      <c r="RZ205" s="2"/>
      <c r="SA205" s="2"/>
      <c r="SB205" s="2"/>
      <c r="SC205" s="2"/>
      <c r="SD205" s="2"/>
      <c r="SE205" s="2"/>
      <c r="SF205" s="2"/>
      <c r="SG205" s="2"/>
      <c r="SH205" s="2"/>
      <c r="SI205" s="2"/>
      <c r="SJ205" s="2"/>
      <c r="SK205" s="2"/>
      <c r="SL205" s="2"/>
      <c r="SM205" s="2"/>
      <c r="SN205" s="2"/>
      <c r="SO205" s="2"/>
      <c r="SP205" s="2"/>
      <c r="SQ205" s="2"/>
      <c r="SR205" s="2"/>
      <c r="SS205" s="2"/>
      <c r="ST205" s="2"/>
      <c r="SU205" s="2"/>
      <c r="SV205" s="2"/>
      <c r="SW205" s="2"/>
      <c r="SX205" s="2"/>
    </row>
    <row r="206" spans="33:518" x14ac:dyDescent="0.25"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  <c r="RA206" s="2"/>
      <c r="RB206" s="2"/>
      <c r="RC206" s="2"/>
      <c r="RD206" s="2"/>
      <c r="RE206" s="2"/>
      <c r="RF206" s="2"/>
      <c r="RG206" s="2"/>
      <c r="RH206" s="2"/>
      <c r="RI206" s="2"/>
      <c r="RJ206" s="2"/>
      <c r="RK206" s="2"/>
      <c r="RL206" s="2"/>
      <c r="RM206" s="2"/>
      <c r="RN206" s="2"/>
      <c r="RO206" s="2"/>
      <c r="RP206" s="2"/>
      <c r="RQ206" s="2"/>
      <c r="RR206" s="2"/>
      <c r="RS206" s="2"/>
      <c r="RT206" s="2"/>
      <c r="RU206" s="2"/>
      <c r="RV206" s="2"/>
      <c r="RW206" s="2"/>
      <c r="RX206" s="2"/>
      <c r="RY206" s="2"/>
      <c r="RZ206" s="2"/>
      <c r="SA206" s="2"/>
      <c r="SB206" s="2"/>
      <c r="SC206" s="2"/>
      <c r="SD206" s="2"/>
      <c r="SE206" s="2"/>
      <c r="SF206" s="2"/>
      <c r="SG206" s="2"/>
      <c r="SH206" s="2"/>
      <c r="SI206" s="2"/>
      <c r="SJ206" s="2"/>
      <c r="SK206" s="2"/>
      <c r="SL206" s="2"/>
      <c r="SM206" s="2"/>
      <c r="SN206" s="2"/>
      <c r="SO206" s="2"/>
      <c r="SP206" s="2"/>
      <c r="SQ206" s="2"/>
      <c r="SR206" s="2"/>
      <c r="SS206" s="2"/>
      <c r="ST206" s="2"/>
      <c r="SU206" s="2"/>
      <c r="SV206" s="2"/>
      <c r="SW206" s="2"/>
      <c r="SX206" s="2"/>
    </row>
    <row r="207" spans="33:518" x14ac:dyDescent="0.25"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  <c r="FK207" s="2"/>
      <c r="FL207" s="2"/>
      <c r="FM207" s="2"/>
      <c r="FN207" s="2"/>
      <c r="FO207" s="2"/>
      <c r="FP207" s="2"/>
      <c r="FQ207" s="2"/>
      <c r="FR207" s="2"/>
      <c r="FS207" s="2"/>
      <c r="FT207" s="2"/>
      <c r="FU207" s="2"/>
      <c r="FV207" s="2"/>
      <c r="FW207" s="2"/>
      <c r="FX207" s="2"/>
      <c r="FY207" s="2"/>
      <c r="FZ207" s="2"/>
      <c r="GA207" s="2"/>
      <c r="GB207" s="2"/>
      <c r="GC207" s="2"/>
      <c r="GD207" s="2"/>
      <c r="GE207" s="2"/>
      <c r="GF207" s="2"/>
      <c r="GG207" s="2"/>
      <c r="GH207" s="2"/>
      <c r="GI207" s="2"/>
      <c r="GJ207" s="2"/>
      <c r="GK207" s="2"/>
      <c r="GL207" s="2"/>
      <c r="GM207" s="2"/>
      <c r="GN207" s="2"/>
      <c r="GO207" s="2"/>
      <c r="GP207" s="2"/>
      <c r="GQ207" s="2"/>
      <c r="GR207" s="2"/>
      <c r="GS207" s="2"/>
      <c r="GT207" s="2"/>
      <c r="GU207" s="2"/>
      <c r="GV207" s="2"/>
      <c r="GW207" s="2"/>
      <c r="GX207" s="2"/>
      <c r="GY207" s="2"/>
      <c r="GZ207" s="2"/>
      <c r="HA207" s="2"/>
      <c r="HB207" s="2"/>
      <c r="HC207" s="2"/>
      <c r="HD207" s="2"/>
      <c r="HE207" s="2"/>
      <c r="HF207" s="2"/>
      <c r="HG207" s="2"/>
      <c r="HH207" s="2"/>
      <c r="HI207" s="2"/>
      <c r="HJ207" s="2"/>
      <c r="HK207" s="2"/>
      <c r="HL207" s="2"/>
      <c r="HM207" s="2"/>
      <c r="HN207" s="2"/>
      <c r="HO207" s="2"/>
      <c r="HP207" s="2"/>
      <c r="HQ207" s="2"/>
      <c r="HR207" s="2"/>
      <c r="HS207" s="2"/>
      <c r="HT207" s="2"/>
      <c r="HU207" s="2"/>
      <c r="HV207" s="2"/>
      <c r="HW207" s="2"/>
      <c r="HX207" s="2"/>
      <c r="HY207" s="2"/>
      <c r="HZ207" s="2"/>
      <c r="IA207" s="2"/>
      <c r="IB207" s="2"/>
      <c r="IC207" s="2"/>
      <c r="ID207" s="2"/>
      <c r="IE207" s="2"/>
      <c r="IF207" s="2"/>
      <c r="IG207" s="2"/>
      <c r="IH207" s="2"/>
      <c r="II207" s="2"/>
      <c r="IJ207" s="2"/>
      <c r="IK207" s="2"/>
      <c r="IL207" s="2"/>
      <c r="IM207" s="2"/>
      <c r="IN207" s="2"/>
      <c r="IO207" s="2"/>
      <c r="IP207" s="2"/>
      <c r="IQ207" s="2"/>
      <c r="IR207" s="2"/>
      <c r="IS207" s="2"/>
      <c r="IT207" s="2"/>
      <c r="IU207" s="2"/>
      <c r="IV207" s="2"/>
      <c r="IW207" s="2"/>
      <c r="IX207" s="2"/>
      <c r="IY207" s="2"/>
      <c r="IZ207" s="2"/>
      <c r="JA207" s="2"/>
      <c r="JB207" s="2"/>
      <c r="JC207" s="2"/>
      <c r="JD207" s="2"/>
      <c r="JE207" s="2"/>
      <c r="JF207" s="2"/>
      <c r="JG207" s="2"/>
      <c r="JH207" s="2"/>
      <c r="JI207" s="2"/>
      <c r="JJ207" s="2"/>
      <c r="JK207" s="2"/>
      <c r="JL207" s="2"/>
      <c r="JM207" s="2"/>
      <c r="JN207" s="2"/>
      <c r="JO207" s="2"/>
      <c r="JP207" s="2"/>
      <c r="JQ207" s="2"/>
      <c r="JR207" s="2"/>
      <c r="JS207" s="2"/>
      <c r="JT207" s="2"/>
      <c r="JU207" s="2"/>
      <c r="JV207" s="2"/>
      <c r="JW207" s="2"/>
      <c r="JX207" s="2"/>
      <c r="JY207" s="2"/>
      <c r="JZ207" s="2"/>
      <c r="KA207" s="2"/>
      <c r="KB207" s="2"/>
      <c r="KC207" s="2"/>
      <c r="KD207" s="2"/>
      <c r="KE207" s="2"/>
      <c r="KF207" s="2"/>
      <c r="KG207" s="2"/>
      <c r="KH207" s="2"/>
      <c r="KI207" s="2"/>
      <c r="KJ207" s="2"/>
      <c r="KK207" s="2"/>
      <c r="KL207" s="2"/>
      <c r="KM207" s="2"/>
      <c r="KN207" s="2"/>
      <c r="KO207" s="2"/>
      <c r="KP207" s="2"/>
      <c r="KQ207" s="2"/>
      <c r="KR207" s="2"/>
      <c r="KS207" s="2"/>
      <c r="KT207" s="2"/>
      <c r="KU207" s="2"/>
      <c r="KV207" s="2"/>
      <c r="KW207" s="2"/>
      <c r="KX207" s="2"/>
      <c r="KY207" s="2"/>
      <c r="KZ207" s="2"/>
      <c r="LA207" s="2"/>
      <c r="LB207" s="2"/>
      <c r="LC207" s="2"/>
      <c r="LD207" s="2"/>
      <c r="LE207" s="2"/>
      <c r="LF207" s="2"/>
      <c r="LG207" s="2"/>
      <c r="LH207" s="2"/>
      <c r="LI207" s="2"/>
      <c r="LJ207" s="2"/>
      <c r="LK207" s="2"/>
      <c r="LL207" s="2"/>
      <c r="LM207" s="2"/>
      <c r="LN207" s="2"/>
      <c r="LO207" s="2"/>
      <c r="LP207" s="2"/>
      <c r="LQ207" s="2"/>
      <c r="LR207" s="2"/>
      <c r="LS207" s="2"/>
      <c r="LT207" s="2"/>
      <c r="LU207" s="2"/>
      <c r="LV207" s="2"/>
      <c r="LW207" s="2"/>
      <c r="LX207" s="2"/>
      <c r="LY207" s="2"/>
      <c r="LZ207" s="2"/>
      <c r="MA207" s="2"/>
      <c r="MB207" s="2"/>
      <c r="MC207" s="2"/>
      <c r="MD207" s="2"/>
      <c r="ME207" s="2"/>
      <c r="MF207" s="2"/>
      <c r="MG207" s="2"/>
      <c r="MH207" s="2"/>
      <c r="MI207" s="2"/>
      <c r="MJ207" s="2"/>
      <c r="MK207" s="2"/>
      <c r="ML207" s="2"/>
      <c r="MM207" s="2"/>
      <c r="MN207" s="2"/>
      <c r="MO207" s="2"/>
      <c r="MP207" s="2"/>
      <c r="MQ207" s="2"/>
      <c r="MR207" s="2"/>
      <c r="MS207" s="2"/>
      <c r="MT207" s="2"/>
      <c r="MU207" s="2"/>
      <c r="MV207" s="2"/>
      <c r="MW207" s="2"/>
      <c r="MX207" s="2"/>
      <c r="MY207" s="2"/>
      <c r="MZ207" s="2"/>
      <c r="NA207" s="2"/>
      <c r="NB207" s="2"/>
      <c r="NC207" s="2"/>
      <c r="ND207" s="2"/>
      <c r="NE207" s="2"/>
      <c r="NF207" s="2"/>
      <c r="NG207" s="2"/>
      <c r="NH207" s="2"/>
      <c r="NI207" s="2"/>
      <c r="NJ207" s="2"/>
      <c r="NK207" s="2"/>
      <c r="NL207" s="2"/>
      <c r="NM207" s="2"/>
      <c r="NN207" s="2"/>
      <c r="NO207" s="2"/>
      <c r="NP207" s="2"/>
      <c r="NQ207" s="2"/>
      <c r="NR207" s="2"/>
      <c r="NS207" s="2"/>
      <c r="NT207" s="2"/>
      <c r="NU207" s="2"/>
      <c r="NV207" s="2"/>
      <c r="NW207" s="2"/>
      <c r="NX207" s="2"/>
      <c r="NY207" s="2"/>
      <c r="NZ207" s="2"/>
      <c r="OA207" s="2"/>
      <c r="OB207" s="2"/>
      <c r="OC207" s="2"/>
      <c r="OD207" s="2"/>
      <c r="OE207" s="2"/>
      <c r="OF207" s="2"/>
      <c r="OG207" s="2"/>
      <c r="OH207" s="2"/>
      <c r="OI207" s="2"/>
      <c r="OJ207" s="2"/>
      <c r="OK207" s="2"/>
      <c r="OL207" s="2"/>
      <c r="OM207" s="2"/>
      <c r="ON207" s="2"/>
      <c r="OO207" s="2"/>
      <c r="OP207" s="2"/>
      <c r="OQ207" s="2"/>
      <c r="OR207" s="2"/>
      <c r="OS207" s="2"/>
      <c r="OT207" s="2"/>
      <c r="OU207" s="2"/>
      <c r="OV207" s="2"/>
      <c r="OW207" s="2"/>
      <c r="OX207" s="2"/>
      <c r="OY207" s="2"/>
      <c r="OZ207" s="2"/>
      <c r="PA207" s="2"/>
      <c r="PB207" s="2"/>
      <c r="PC207" s="2"/>
      <c r="PD207" s="2"/>
      <c r="PE207" s="2"/>
      <c r="PF207" s="2"/>
      <c r="PG207" s="2"/>
      <c r="PH207" s="2"/>
      <c r="PI207" s="2"/>
      <c r="PJ207" s="2"/>
      <c r="PK207" s="2"/>
      <c r="PL207" s="2"/>
      <c r="PM207" s="2"/>
      <c r="PN207" s="2"/>
      <c r="PO207" s="2"/>
      <c r="PP207" s="2"/>
      <c r="PQ207" s="2"/>
      <c r="PR207" s="2"/>
      <c r="PS207" s="2"/>
      <c r="PT207" s="2"/>
      <c r="PU207" s="2"/>
      <c r="PV207" s="2"/>
      <c r="PW207" s="2"/>
      <c r="PX207" s="2"/>
      <c r="PY207" s="2"/>
      <c r="PZ207" s="2"/>
      <c r="QA207" s="2"/>
      <c r="QB207" s="2"/>
      <c r="QC207" s="2"/>
      <c r="QD207" s="2"/>
      <c r="QE207" s="2"/>
      <c r="QF207" s="2"/>
      <c r="QG207" s="2"/>
      <c r="QH207" s="2"/>
      <c r="QI207" s="2"/>
      <c r="QJ207" s="2"/>
      <c r="QK207" s="2"/>
      <c r="QL207" s="2"/>
      <c r="QM207" s="2"/>
      <c r="QN207" s="2"/>
      <c r="QO207" s="2"/>
      <c r="QP207" s="2"/>
      <c r="QQ207" s="2"/>
      <c r="QR207" s="2"/>
      <c r="QS207" s="2"/>
      <c r="QT207" s="2"/>
      <c r="QU207" s="2"/>
      <c r="QV207" s="2"/>
      <c r="QW207" s="2"/>
      <c r="QX207" s="2"/>
      <c r="QY207" s="2"/>
      <c r="QZ207" s="2"/>
      <c r="RA207" s="2"/>
      <c r="RB207" s="2"/>
      <c r="RC207" s="2"/>
      <c r="RD207" s="2"/>
      <c r="RE207" s="2"/>
      <c r="RF207" s="2"/>
      <c r="RG207" s="2"/>
      <c r="RH207" s="2"/>
      <c r="RI207" s="2"/>
      <c r="RJ207" s="2"/>
      <c r="RK207" s="2"/>
      <c r="RL207" s="2"/>
      <c r="RM207" s="2"/>
      <c r="RN207" s="2"/>
      <c r="RO207" s="2"/>
      <c r="RP207" s="2"/>
      <c r="RQ207" s="2"/>
      <c r="RR207" s="2"/>
      <c r="RS207" s="2"/>
      <c r="RT207" s="2"/>
      <c r="RU207" s="2"/>
      <c r="RV207" s="2"/>
      <c r="RW207" s="2"/>
      <c r="RX207" s="2"/>
      <c r="RY207" s="2"/>
      <c r="RZ207" s="2"/>
      <c r="SA207" s="2"/>
      <c r="SB207" s="2"/>
      <c r="SC207" s="2"/>
      <c r="SD207" s="2"/>
      <c r="SE207" s="2"/>
      <c r="SF207" s="2"/>
      <c r="SG207" s="2"/>
      <c r="SH207" s="2"/>
      <c r="SI207" s="2"/>
      <c r="SJ207" s="2"/>
      <c r="SK207" s="2"/>
      <c r="SL207" s="2"/>
      <c r="SM207" s="2"/>
      <c r="SN207" s="2"/>
      <c r="SO207" s="2"/>
      <c r="SP207" s="2"/>
      <c r="SQ207" s="2"/>
      <c r="SR207" s="2"/>
      <c r="SS207" s="2"/>
      <c r="ST207" s="2"/>
      <c r="SU207" s="2"/>
      <c r="SV207" s="2"/>
      <c r="SW207" s="2"/>
      <c r="SX207" s="2"/>
    </row>
    <row r="208" spans="33:518" x14ac:dyDescent="0.25"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  <c r="FK208" s="2"/>
      <c r="FL208" s="2"/>
      <c r="FM208" s="2"/>
      <c r="FN208" s="2"/>
      <c r="FO208" s="2"/>
      <c r="FP208" s="2"/>
      <c r="FQ208" s="2"/>
      <c r="FR208" s="2"/>
      <c r="FS208" s="2"/>
      <c r="FT208" s="2"/>
      <c r="FU208" s="2"/>
      <c r="FV208" s="2"/>
      <c r="FW208" s="2"/>
      <c r="FX208" s="2"/>
      <c r="FY208" s="2"/>
      <c r="FZ208" s="2"/>
      <c r="GA208" s="2"/>
      <c r="GB208" s="2"/>
      <c r="GC208" s="2"/>
      <c r="GD208" s="2"/>
      <c r="GE208" s="2"/>
      <c r="GF208" s="2"/>
      <c r="GG208" s="2"/>
      <c r="GH208" s="2"/>
      <c r="GI208" s="2"/>
      <c r="GJ208" s="2"/>
      <c r="GK208" s="2"/>
      <c r="GL208" s="2"/>
      <c r="GM208" s="2"/>
      <c r="GN208" s="2"/>
      <c r="GO208" s="2"/>
      <c r="GP208" s="2"/>
      <c r="GQ208" s="2"/>
      <c r="GR208" s="2"/>
      <c r="GS208" s="2"/>
      <c r="GT208" s="2"/>
      <c r="GU208" s="2"/>
      <c r="GV208" s="2"/>
      <c r="GW208" s="2"/>
      <c r="GX208" s="2"/>
      <c r="GY208" s="2"/>
      <c r="GZ208" s="2"/>
      <c r="HA208" s="2"/>
      <c r="HB208" s="2"/>
      <c r="HC208" s="2"/>
      <c r="HD208" s="2"/>
      <c r="HE208" s="2"/>
      <c r="HF208" s="2"/>
      <c r="HG208" s="2"/>
      <c r="HH208" s="2"/>
      <c r="HI208" s="2"/>
      <c r="HJ208" s="2"/>
      <c r="HK208" s="2"/>
      <c r="HL208" s="2"/>
      <c r="HM208" s="2"/>
      <c r="HN208" s="2"/>
      <c r="HO208" s="2"/>
      <c r="HP208" s="2"/>
      <c r="HQ208" s="2"/>
      <c r="HR208" s="2"/>
      <c r="HS208" s="2"/>
      <c r="HT208" s="2"/>
      <c r="HU208" s="2"/>
      <c r="HV208" s="2"/>
      <c r="HW208" s="2"/>
      <c r="HX208" s="2"/>
      <c r="HY208" s="2"/>
      <c r="HZ208" s="2"/>
      <c r="IA208" s="2"/>
      <c r="IB208" s="2"/>
      <c r="IC208" s="2"/>
      <c r="ID208" s="2"/>
      <c r="IE208" s="2"/>
      <c r="IF208" s="2"/>
      <c r="IG208" s="2"/>
      <c r="IH208" s="2"/>
      <c r="II208" s="2"/>
      <c r="IJ208" s="2"/>
      <c r="IK208" s="2"/>
      <c r="IL208" s="2"/>
      <c r="IM208" s="2"/>
      <c r="IN208" s="2"/>
      <c r="IO208" s="2"/>
      <c r="IP208" s="2"/>
      <c r="IQ208" s="2"/>
      <c r="IR208" s="2"/>
      <c r="IS208" s="2"/>
      <c r="IT208" s="2"/>
      <c r="IU208" s="2"/>
      <c r="IV208" s="2"/>
      <c r="IW208" s="2"/>
      <c r="IX208" s="2"/>
      <c r="IY208" s="2"/>
      <c r="IZ208" s="2"/>
      <c r="JA208" s="2"/>
      <c r="JB208" s="2"/>
      <c r="JC208" s="2"/>
      <c r="JD208" s="2"/>
      <c r="JE208" s="2"/>
      <c r="JF208" s="2"/>
      <c r="JG208" s="2"/>
      <c r="JH208" s="2"/>
      <c r="JI208" s="2"/>
      <c r="JJ208" s="2"/>
      <c r="JK208" s="2"/>
      <c r="JL208" s="2"/>
      <c r="JM208" s="2"/>
      <c r="JN208" s="2"/>
      <c r="JO208" s="2"/>
      <c r="JP208" s="2"/>
      <c r="JQ208" s="2"/>
      <c r="JR208" s="2"/>
      <c r="JS208" s="2"/>
      <c r="JT208" s="2"/>
      <c r="JU208" s="2"/>
      <c r="JV208" s="2"/>
      <c r="JW208" s="2"/>
      <c r="JX208" s="2"/>
      <c r="JY208" s="2"/>
      <c r="JZ208" s="2"/>
      <c r="KA208" s="2"/>
      <c r="KB208" s="2"/>
      <c r="KC208" s="2"/>
      <c r="KD208" s="2"/>
      <c r="KE208" s="2"/>
      <c r="KF208" s="2"/>
      <c r="KG208" s="2"/>
      <c r="KH208" s="2"/>
      <c r="KI208" s="2"/>
      <c r="KJ208" s="2"/>
      <c r="KK208" s="2"/>
      <c r="KL208" s="2"/>
      <c r="KM208" s="2"/>
      <c r="KN208" s="2"/>
      <c r="KO208" s="2"/>
      <c r="KP208" s="2"/>
      <c r="KQ208" s="2"/>
      <c r="KR208" s="2"/>
      <c r="KS208" s="2"/>
      <c r="KT208" s="2"/>
      <c r="KU208" s="2"/>
      <c r="KV208" s="2"/>
      <c r="KW208" s="2"/>
      <c r="KX208" s="2"/>
      <c r="KY208" s="2"/>
      <c r="KZ208" s="2"/>
      <c r="LA208" s="2"/>
      <c r="LB208" s="2"/>
      <c r="LC208" s="2"/>
      <c r="LD208" s="2"/>
      <c r="LE208" s="2"/>
      <c r="LF208" s="2"/>
      <c r="LG208" s="2"/>
      <c r="LH208" s="2"/>
      <c r="LI208" s="2"/>
      <c r="LJ208" s="2"/>
      <c r="LK208" s="2"/>
      <c r="LL208" s="2"/>
      <c r="LM208" s="2"/>
      <c r="LN208" s="2"/>
      <c r="LO208" s="2"/>
      <c r="LP208" s="2"/>
      <c r="LQ208" s="2"/>
      <c r="LR208" s="2"/>
      <c r="LS208" s="2"/>
      <c r="LT208" s="2"/>
      <c r="LU208" s="2"/>
      <c r="LV208" s="2"/>
      <c r="LW208" s="2"/>
      <c r="LX208" s="2"/>
      <c r="LY208" s="2"/>
      <c r="LZ208" s="2"/>
      <c r="MA208" s="2"/>
      <c r="MB208" s="2"/>
      <c r="MC208" s="2"/>
      <c r="MD208" s="2"/>
      <c r="ME208" s="2"/>
      <c r="MF208" s="2"/>
      <c r="MG208" s="2"/>
      <c r="MH208" s="2"/>
      <c r="MI208" s="2"/>
      <c r="MJ208" s="2"/>
      <c r="MK208" s="2"/>
      <c r="ML208" s="2"/>
      <c r="MM208" s="2"/>
      <c r="MN208" s="2"/>
      <c r="MO208" s="2"/>
      <c r="MP208" s="2"/>
      <c r="MQ208" s="2"/>
      <c r="MR208" s="2"/>
      <c r="MS208" s="2"/>
      <c r="MT208" s="2"/>
      <c r="MU208" s="2"/>
      <c r="MV208" s="2"/>
      <c r="MW208" s="2"/>
      <c r="MX208" s="2"/>
      <c r="MY208" s="2"/>
      <c r="MZ208" s="2"/>
      <c r="NA208" s="2"/>
      <c r="NB208" s="2"/>
      <c r="NC208" s="2"/>
      <c r="ND208" s="2"/>
      <c r="NE208" s="2"/>
      <c r="NF208" s="2"/>
      <c r="NG208" s="2"/>
      <c r="NH208" s="2"/>
      <c r="NI208" s="2"/>
      <c r="NJ208" s="2"/>
      <c r="NK208" s="2"/>
      <c r="NL208" s="2"/>
      <c r="NM208" s="2"/>
      <c r="NN208" s="2"/>
      <c r="NO208" s="2"/>
      <c r="NP208" s="2"/>
      <c r="NQ208" s="2"/>
      <c r="NR208" s="2"/>
      <c r="NS208" s="2"/>
      <c r="NT208" s="2"/>
      <c r="NU208" s="2"/>
      <c r="NV208" s="2"/>
      <c r="NW208" s="2"/>
      <c r="NX208" s="2"/>
      <c r="NY208" s="2"/>
      <c r="NZ208" s="2"/>
      <c r="OA208" s="2"/>
      <c r="OB208" s="2"/>
      <c r="OC208" s="2"/>
      <c r="OD208" s="2"/>
      <c r="OE208" s="2"/>
      <c r="OF208" s="2"/>
      <c r="OG208" s="2"/>
      <c r="OH208" s="2"/>
      <c r="OI208" s="2"/>
      <c r="OJ208" s="2"/>
      <c r="OK208" s="2"/>
      <c r="OL208" s="2"/>
      <c r="OM208" s="2"/>
      <c r="ON208" s="2"/>
      <c r="OO208" s="2"/>
      <c r="OP208" s="2"/>
      <c r="OQ208" s="2"/>
      <c r="OR208" s="2"/>
      <c r="OS208" s="2"/>
      <c r="OT208" s="2"/>
      <c r="OU208" s="2"/>
      <c r="OV208" s="2"/>
      <c r="OW208" s="2"/>
      <c r="OX208" s="2"/>
      <c r="OY208" s="2"/>
      <c r="OZ208" s="2"/>
      <c r="PA208" s="2"/>
      <c r="PB208" s="2"/>
      <c r="PC208" s="2"/>
      <c r="PD208" s="2"/>
      <c r="PE208" s="2"/>
      <c r="PF208" s="2"/>
      <c r="PG208" s="2"/>
      <c r="PH208" s="2"/>
      <c r="PI208" s="2"/>
      <c r="PJ208" s="2"/>
      <c r="PK208" s="2"/>
      <c r="PL208" s="2"/>
      <c r="PM208" s="2"/>
      <c r="PN208" s="2"/>
      <c r="PO208" s="2"/>
      <c r="PP208" s="2"/>
      <c r="PQ208" s="2"/>
      <c r="PR208" s="2"/>
      <c r="PS208" s="2"/>
      <c r="PT208" s="2"/>
      <c r="PU208" s="2"/>
      <c r="PV208" s="2"/>
      <c r="PW208" s="2"/>
      <c r="PX208" s="2"/>
      <c r="PY208" s="2"/>
      <c r="PZ208" s="2"/>
      <c r="QA208" s="2"/>
      <c r="QB208" s="2"/>
      <c r="QC208" s="2"/>
      <c r="QD208" s="2"/>
      <c r="QE208" s="2"/>
      <c r="QF208" s="2"/>
      <c r="QG208" s="2"/>
      <c r="QH208" s="2"/>
      <c r="QI208" s="2"/>
      <c r="QJ208" s="2"/>
      <c r="QK208" s="2"/>
      <c r="QL208" s="2"/>
      <c r="QM208" s="2"/>
      <c r="QN208" s="2"/>
      <c r="QO208" s="2"/>
      <c r="QP208" s="2"/>
      <c r="QQ208" s="2"/>
      <c r="QR208" s="2"/>
      <c r="QS208" s="2"/>
      <c r="QT208" s="2"/>
      <c r="QU208" s="2"/>
      <c r="QV208" s="2"/>
      <c r="QW208" s="2"/>
      <c r="QX208" s="2"/>
      <c r="QY208" s="2"/>
      <c r="QZ208" s="2"/>
      <c r="RA208" s="2"/>
      <c r="RB208" s="2"/>
      <c r="RC208" s="2"/>
      <c r="RD208" s="2"/>
      <c r="RE208" s="2"/>
      <c r="RF208" s="2"/>
      <c r="RG208" s="2"/>
      <c r="RH208" s="2"/>
      <c r="RI208" s="2"/>
      <c r="RJ208" s="2"/>
      <c r="RK208" s="2"/>
      <c r="RL208" s="2"/>
      <c r="RM208" s="2"/>
      <c r="RN208" s="2"/>
      <c r="RO208" s="2"/>
      <c r="RP208" s="2"/>
      <c r="RQ208" s="2"/>
      <c r="RR208" s="2"/>
      <c r="RS208" s="2"/>
      <c r="RT208" s="2"/>
      <c r="RU208" s="2"/>
      <c r="RV208" s="2"/>
      <c r="RW208" s="2"/>
      <c r="RX208" s="2"/>
      <c r="RY208" s="2"/>
      <c r="RZ208" s="2"/>
      <c r="SA208" s="2"/>
      <c r="SB208" s="2"/>
      <c r="SC208" s="2"/>
      <c r="SD208" s="2"/>
      <c r="SE208" s="2"/>
      <c r="SF208" s="2"/>
      <c r="SG208" s="2"/>
      <c r="SH208" s="2"/>
      <c r="SI208" s="2"/>
      <c r="SJ208" s="2"/>
      <c r="SK208" s="2"/>
      <c r="SL208" s="2"/>
      <c r="SM208" s="2"/>
      <c r="SN208" s="2"/>
      <c r="SO208" s="2"/>
      <c r="SP208" s="2"/>
      <c r="SQ208" s="2"/>
      <c r="SR208" s="2"/>
      <c r="SS208" s="2"/>
      <c r="ST208" s="2"/>
      <c r="SU208" s="2"/>
      <c r="SV208" s="2"/>
      <c r="SW208" s="2"/>
      <c r="SX208" s="2"/>
    </row>
    <row r="209" spans="33:518" x14ac:dyDescent="0.25"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  <c r="FK209" s="2"/>
      <c r="FL209" s="2"/>
      <c r="FM209" s="2"/>
      <c r="FN209" s="2"/>
      <c r="FO209" s="2"/>
      <c r="FP209" s="2"/>
      <c r="FQ209" s="2"/>
      <c r="FR209" s="2"/>
      <c r="FS209" s="2"/>
      <c r="FT209" s="2"/>
      <c r="FU209" s="2"/>
      <c r="FV209" s="2"/>
      <c r="FW209" s="2"/>
      <c r="FX209" s="2"/>
      <c r="FY209" s="2"/>
      <c r="FZ209" s="2"/>
      <c r="GA209" s="2"/>
      <c r="GB209" s="2"/>
      <c r="GC209" s="2"/>
      <c r="GD209" s="2"/>
      <c r="GE209" s="2"/>
      <c r="GF209" s="2"/>
      <c r="GG209" s="2"/>
      <c r="GH209" s="2"/>
      <c r="GI209" s="2"/>
      <c r="GJ209" s="2"/>
      <c r="GK209" s="2"/>
      <c r="GL209" s="2"/>
      <c r="GM209" s="2"/>
      <c r="GN209" s="2"/>
      <c r="GO209" s="2"/>
      <c r="GP209" s="2"/>
      <c r="GQ209" s="2"/>
      <c r="GR209" s="2"/>
      <c r="GS209" s="2"/>
      <c r="GT209" s="2"/>
      <c r="GU209" s="2"/>
      <c r="GV209" s="2"/>
      <c r="GW209" s="2"/>
      <c r="GX209" s="2"/>
      <c r="GY209" s="2"/>
      <c r="GZ209" s="2"/>
      <c r="HA209" s="2"/>
      <c r="HB209" s="2"/>
      <c r="HC209" s="2"/>
      <c r="HD209" s="2"/>
      <c r="HE209" s="2"/>
      <c r="HF209" s="2"/>
      <c r="HG209" s="2"/>
      <c r="HH209" s="2"/>
      <c r="HI209" s="2"/>
      <c r="HJ209" s="2"/>
      <c r="HK209" s="2"/>
      <c r="HL209" s="2"/>
      <c r="HM209" s="2"/>
      <c r="HN209" s="2"/>
      <c r="HO209" s="2"/>
      <c r="HP209" s="2"/>
      <c r="HQ209" s="2"/>
      <c r="HR209" s="2"/>
      <c r="HS209" s="2"/>
      <c r="HT209" s="2"/>
      <c r="HU209" s="2"/>
      <c r="HV209" s="2"/>
      <c r="HW209" s="2"/>
      <c r="HX209" s="2"/>
      <c r="HY209" s="2"/>
      <c r="HZ209" s="2"/>
      <c r="IA209" s="2"/>
      <c r="IB209" s="2"/>
      <c r="IC209" s="2"/>
      <c r="ID209" s="2"/>
      <c r="IE209" s="2"/>
      <c r="IF209" s="2"/>
      <c r="IG209" s="2"/>
      <c r="IH209" s="2"/>
      <c r="II209" s="2"/>
      <c r="IJ209" s="2"/>
      <c r="IK209" s="2"/>
      <c r="IL209" s="2"/>
      <c r="IM209" s="2"/>
      <c r="IN209" s="2"/>
      <c r="IO209" s="2"/>
      <c r="IP209" s="2"/>
      <c r="IQ209" s="2"/>
      <c r="IR209" s="2"/>
      <c r="IS209" s="2"/>
      <c r="IT209" s="2"/>
      <c r="IU209" s="2"/>
      <c r="IV209" s="2"/>
      <c r="IW209" s="2"/>
      <c r="IX209" s="2"/>
      <c r="IY209" s="2"/>
      <c r="IZ209" s="2"/>
      <c r="JA209" s="2"/>
      <c r="JB209" s="2"/>
      <c r="JC209" s="2"/>
      <c r="JD209" s="2"/>
      <c r="JE209" s="2"/>
      <c r="JF209" s="2"/>
      <c r="JG209" s="2"/>
      <c r="JH209" s="2"/>
      <c r="JI209" s="2"/>
      <c r="JJ209" s="2"/>
      <c r="JK209" s="2"/>
      <c r="JL209" s="2"/>
      <c r="JM209" s="2"/>
      <c r="JN209" s="2"/>
      <c r="JO209" s="2"/>
      <c r="JP209" s="2"/>
      <c r="JQ209" s="2"/>
      <c r="JR209" s="2"/>
      <c r="JS209" s="2"/>
      <c r="JT209" s="2"/>
      <c r="JU209" s="2"/>
      <c r="JV209" s="2"/>
      <c r="JW209" s="2"/>
      <c r="JX209" s="2"/>
      <c r="JY209" s="2"/>
      <c r="JZ209" s="2"/>
      <c r="KA209" s="2"/>
      <c r="KB209" s="2"/>
      <c r="KC209" s="2"/>
      <c r="KD209" s="2"/>
      <c r="KE209" s="2"/>
      <c r="KF209" s="2"/>
      <c r="KG209" s="2"/>
      <c r="KH209" s="2"/>
      <c r="KI209" s="2"/>
      <c r="KJ209" s="2"/>
      <c r="KK209" s="2"/>
      <c r="KL209" s="2"/>
      <c r="KM209" s="2"/>
      <c r="KN209" s="2"/>
      <c r="KO209" s="2"/>
      <c r="KP209" s="2"/>
      <c r="KQ209" s="2"/>
      <c r="KR209" s="2"/>
      <c r="KS209" s="2"/>
      <c r="KT209" s="2"/>
      <c r="KU209" s="2"/>
      <c r="KV209" s="2"/>
      <c r="KW209" s="2"/>
      <c r="KX209" s="2"/>
      <c r="KY209" s="2"/>
      <c r="KZ209" s="2"/>
      <c r="LA209" s="2"/>
      <c r="LB209" s="2"/>
      <c r="LC209" s="2"/>
      <c r="LD209" s="2"/>
      <c r="LE209" s="2"/>
      <c r="LF209" s="2"/>
      <c r="LG209" s="2"/>
      <c r="LH209" s="2"/>
      <c r="LI209" s="2"/>
      <c r="LJ209" s="2"/>
      <c r="LK209" s="2"/>
      <c r="LL209" s="2"/>
      <c r="LM209" s="2"/>
      <c r="LN209" s="2"/>
      <c r="LO209" s="2"/>
      <c r="LP209" s="2"/>
      <c r="LQ209" s="2"/>
      <c r="LR209" s="2"/>
      <c r="LS209" s="2"/>
      <c r="LT209" s="2"/>
      <c r="LU209" s="2"/>
      <c r="LV209" s="2"/>
      <c r="LW209" s="2"/>
      <c r="LX209" s="2"/>
      <c r="LY209" s="2"/>
      <c r="LZ209" s="2"/>
      <c r="MA209" s="2"/>
      <c r="MB209" s="2"/>
      <c r="MC209" s="2"/>
      <c r="MD209" s="2"/>
      <c r="ME209" s="2"/>
      <c r="MF209" s="2"/>
      <c r="MG209" s="2"/>
      <c r="MH209" s="2"/>
      <c r="MI209" s="2"/>
      <c r="MJ209" s="2"/>
      <c r="MK209" s="2"/>
      <c r="ML209" s="2"/>
      <c r="MM209" s="2"/>
      <c r="MN209" s="2"/>
      <c r="MO209" s="2"/>
      <c r="MP209" s="2"/>
      <c r="MQ209" s="2"/>
      <c r="MR209" s="2"/>
      <c r="MS209" s="2"/>
      <c r="MT209" s="2"/>
      <c r="MU209" s="2"/>
      <c r="MV209" s="2"/>
      <c r="MW209" s="2"/>
      <c r="MX209" s="2"/>
      <c r="MY209" s="2"/>
      <c r="MZ209" s="2"/>
      <c r="NA209" s="2"/>
      <c r="NB209" s="2"/>
      <c r="NC209" s="2"/>
      <c r="ND209" s="2"/>
      <c r="NE209" s="2"/>
      <c r="NF209" s="2"/>
      <c r="NG209" s="2"/>
      <c r="NH209" s="2"/>
      <c r="NI209" s="2"/>
      <c r="NJ209" s="2"/>
      <c r="NK209" s="2"/>
      <c r="NL209" s="2"/>
      <c r="NM209" s="2"/>
      <c r="NN209" s="2"/>
      <c r="NO209" s="2"/>
      <c r="NP209" s="2"/>
      <c r="NQ209" s="2"/>
      <c r="NR209" s="2"/>
      <c r="NS209" s="2"/>
      <c r="NT209" s="2"/>
      <c r="NU209" s="2"/>
      <c r="NV209" s="2"/>
      <c r="NW209" s="2"/>
      <c r="NX209" s="2"/>
      <c r="NY209" s="2"/>
      <c r="NZ209" s="2"/>
      <c r="OA209" s="2"/>
      <c r="OB209" s="2"/>
      <c r="OC209" s="2"/>
      <c r="OD209" s="2"/>
      <c r="OE209" s="2"/>
      <c r="OF209" s="2"/>
      <c r="OG209" s="2"/>
      <c r="OH209" s="2"/>
      <c r="OI209" s="2"/>
      <c r="OJ209" s="2"/>
      <c r="OK209" s="2"/>
      <c r="OL209" s="2"/>
      <c r="OM209" s="2"/>
      <c r="ON209" s="2"/>
      <c r="OO209" s="2"/>
      <c r="OP209" s="2"/>
      <c r="OQ209" s="2"/>
      <c r="OR209" s="2"/>
      <c r="OS209" s="2"/>
      <c r="OT209" s="2"/>
      <c r="OU209" s="2"/>
      <c r="OV209" s="2"/>
      <c r="OW209" s="2"/>
      <c r="OX209" s="2"/>
      <c r="OY209" s="2"/>
      <c r="OZ209" s="2"/>
      <c r="PA209" s="2"/>
      <c r="PB209" s="2"/>
      <c r="PC209" s="2"/>
      <c r="PD209" s="2"/>
      <c r="PE209" s="2"/>
      <c r="PF209" s="2"/>
      <c r="PG209" s="2"/>
      <c r="PH209" s="2"/>
      <c r="PI209" s="2"/>
      <c r="PJ209" s="2"/>
      <c r="PK209" s="2"/>
      <c r="PL209" s="2"/>
      <c r="PM209" s="2"/>
      <c r="PN209" s="2"/>
      <c r="PO209" s="2"/>
      <c r="PP209" s="2"/>
      <c r="PQ209" s="2"/>
      <c r="PR209" s="2"/>
      <c r="PS209" s="2"/>
      <c r="PT209" s="2"/>
      <c r="PU209" s="2"/>
      <c r="PV209" s="2"/>
      <c r="PW209" s="2"/>
      <c r="PX209" s="2"/>
      <c r="PY209" s="2"/>
      <c r="PZ209" s="2"/>
      <c r="QA209" s="2"/>
      <c r="QB209" s="2"/>
      <c r="QC209" s="2"/>
      <c r="QD209" s="2"/>
      <c r="QE209" s="2"/>
      <c r="QF209" s="2"/>
      <c r="QG209" s="2"/>
      <c r="QH209" s="2"/>
      <c r="QI209" s="2"/>
      <c r="QJ209" s="2"/>
      <c r="QK209" s="2"/>
      <c r="QL209" s="2"/>
      <c r="QM209" s="2"/>
      <c r="QN209" s="2"/>
      <c r="QO209" s="2"/>
      <c r="QP209" s="2"/>
      <c r="QQ209" s="2"/>
      <c r="QR209" s="2"/>
      <c r="QS209" s="2"/>
      <c r="QT209" s="2"/>
      <c r="QU209" s="2"/>
      <c r="QV209" s="2"/>
      <c r="QW209" s="2"/>
      <c r="QX209" s="2"/>
      <c r="QY209" s="2"/>
      <c r="QZ209" s="2"/>
      <c r="RA209" s="2"/>
      <c r="RB209" s="2"/>
      <c r="RC209" s="2"/>
      <c r="RD209" s="2"/>
      <c r="RE209" s="2"/>
      <c r="RF209" s="2"/>
      <c r="RG209" s="2"/>
      <c r="RH209" s="2"/>
      <c r="RI209" s="2"/>
      <c r="RJ209" s="2"/>
      <c r="RK209" s="2"/>
      <c r="RL209" s="2"/>
      <c r="RM209" s="2"/>
      <c r="RN209" s="2"/>
      <c r="RO209" s="2"/>
      <c r="RP209" s="2"/>
      <c r="RQ209" s="2"/>
      <c r="RR209" s="2"/>
      <c r="RS209" s="2"/>
      <c r="RT209" s="2"/>
      <c r="RU209" s="2"/>
      <c r="RV209" s="2"/>
      <c r="RW209" s="2"/>
      <c r="RX209" s="2"/>
      <c r="RY209" s="2"/>
      <c r="RZ209" s="2"/>
      <c r="SA209" s="2"/>
      <c r="SB209" s="2"/>
      <c r="SC209" s="2"/>
      <c r="SD209" s="2"/>
      <c r="SE209" s="2"/>
      <c r="SF209" s="2"/>
      <c r="SG209" s="2"/>
      <c r="SH209" s="2"/>
      <c r="SI209" s="2"/>
      <c r="SJ209" s="2"/>
      <c r="SK209" s="2"/>
      <c r="SL209" s="2"/>
      <c r="SM209" s="2"/>
      <c r="SN209" s="2"/>
      <c r="SO209" s="2"/>
      <c r="SP209" s="2"/>
      <c r="SQ209" s="2"/>
      <c r="SR209" s="2"/>
      <c r="SS209" s="2"/>
      <c r="ST209" s="2"/>
      <c r="SU209" s="2"/>
      <c r="SV209" s="2"/>
      <c r="SW209" s="2"/>
      <c r="SX209" s="2"/>
    </row>
    <row r="210" spans="33:518" x14ac:dyDescent="0.25"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  <c r="FK210" s="2"/>
      <c r="FL210" s="2"/>
      <c r="FM210" s="2"/>
      <c r="FN210" s="2"/>
      <c r="FO210" s="2"/>
      <c r="FP210" s="2"/>
      <c r="FQ210" s="2"/>
      <c r="FR210" s="2"/>
      <c r="FS210" s="2"/>
      <c r="FT210" s="2"/>
      <c r="FU210" s="2"/>
      <c r="FV210" s="2"/>
      <c r="FW210" s="2"/>
      <c r="FX210" s="2"/>
      <c r="FY210" s="2"/>
      <c r="FZ210" s="2"/>
      <c r="GA210" s="2"/>
      <c r="GB210" s="2"/>
      <c r="GC210" s="2"/>
      <c r="GD210" s="2"/>
      <c r="GE210" s="2"/>
      <c r="GF210" s="2"/>
      <c r="GG210" s="2"/>
      <c r="GH210" s="2"/>
      <c r="GI210" s="2"/>
      <c r="GJ210" s="2"/>
      <c r="GK210" s="2"/>
      <c r="GL210" s="2"/>
      <c r="GM210" s="2"/>
      <c r="GN210" s="2"/>
      <c r="GO210" s="2"/>
      <c r="GP210" s="2"/>
      <c r="GQ210" s="2"/>
      <c r="GR210" s="2"/>
      <c r="GS210" s="2"/>
      <c r="GT210" s="2"/>
      <c r="GU210" s="2"/>
      <c r="GV210" s="2"/>
      <c r="GW210" s="2"/>
      <c r="GX210" s="2"/>
      <c r="GY210" s="2"/>
      <c r="GZ210" s="2"/>
      <c r="HA210" s="2"/>
      <c r="HB210" s="2"/>
      <c r="HC210" s="2"/>
      <c r="HD210" s="2"/>
      <c r="HE210" s="2"/>
      <c r="HF210" s="2"/>
      <c r="HG210" s="2"/>
      <c r="HH210" s="2"/>
      <c r="HI210" s="2"/>
      <c r="HJ210" s="2"/>
      <c r="HK210" s="2"/>
      <c r="HL210" s="2"/>
      <c r="HM210" s="2"/>
      <c r="HN210" s="2"/>
      <c r="HO210" s="2"/>
      <c r="HP210" s="2"/>
      <c r="HQ210" s="2"/>
      <c r="HR210" s="2"/>
      <c r="HS210" s="2"/>
      <c r="HT210" s="2"/>
      <c r="HU210" s="2"/>
      <c r="HV210" s="2"/>
      <c r="HW210" s="2"/>
      <c r="HX210" s="2"/>
      <c r="HY210" s="2"/>
      <c r="HZ210" s="2"/>
      <c r="IA210" s="2"/>
      <c r="IB210" s="2"/>
      <c r="IC210" s="2"/>
      <c r="ID210" s="2"/>
      <c r="IE210" s="2"/>
      <c r="IF210" s="2"/>
      <c r="IG210" s="2"/>
      <c r="IH210" s="2"/>
      <c r="II210" s="2"/>
      <c r="IJ210" s="2"/>
      <c r="IK210" s="2"/>
      <c r="IL210" s="2"/>
      <c r="IM210" s="2"/>
      <c r="IN210" s="2"/>
      <c r="IO210" s="2"/>
      <c r="IP210" s="2"/>
      <c r="IQ210" s="2"/>
      <c r="IR210" s="2"/>
      <c r="IS210" s="2"/>
      <c r="IT210" s="2"/>
      <c r="IU210" s="2"/>
      <c r="IV210" s="2"/>
      <c r="IW210" s="2"/>
      <c r="IX210" s="2"/>
      <c r="IY210" s="2"/>
      <c r="IZ210" s="2"/>
      <c r="JA210" s="2"/>
      <c r="JB210" s="2"/>
      <c r="JC210" s="2"/>
      <c r="JD210" s="2"/>
      <c r="JE210" s="2"/>
      <c r="JF210" s="2"/>
      <c r="JG210" s="2"/>
      <c r="JH210" s="2"/>
      <c r="JI210" s="2"/>
      <c r="JJ210" s="2"/>
      <c r="JK210" s="2"/>
      <c r="JL210" s="2"/>
      <c r="JM210" s="2"/>
      <c r="JN210" s="2"/>
      <c r="JO210" s="2"/>
      <c r="JP210" s="2"/>
      <c r="JQ210" s="2"/>
      <c r="JR210" s="2"/>
      <c r="JS210" s="2"/>
      <c r="JT210" s="2"/>
      <c r="JU210" s="2"/>
      <c r="JV210" s="2"/>
      <c r="JW210" s="2"/>
      <c r="JX210" s="2"/>
      <c r="JY210" s="2"/>
      <c r="JZ210" s="2"/>
      <c r="KA210" s="2"/>
      <c r="KB210" s="2"/>
      <c r="KC210" s="2"/>
      <c r="KD210" s="2"/>
      <c r="KE210" s="2"/>
      <c r="KF210" s="2"/>
      <c r="KG210" s="2"/>
      <c r="KH210" s="2"/>
      <c r="KI210" s="2"/>
      <c r="KJ210" s="2"/>
      <c r="KK210" s="2"/>
      <c r="KL210" s="2"/>
      <c r="KM210" s="2"/>
      <c r="KN210" s="2"/>
      <c r="KO210" s="2"/>
      <c r="KP210" s="2"/>
      <c r="KQ210" s="2"/>
      <c r="KR210" s="2"/>
      <c r="KS210" s="2"/>
      <c r="KT210" s="2"/>
      <c r="KU210" s="2"/>
      <c r="KV210" s="2"/>
      <c r="KW210" s="2"/>
      <c r="KX210" s="2"/>
      <c r="KY210" s="2"/>
      <c r="KZ210" s="2"/>
      <c r="LA210" s="2"/>
      <c r="LB210" s="2"/>
      <c r="LC210" s="2"/>
      <c r="LD210" s="2"/>
      <c r="LE210" s="2"/>
      <c r="LF210" s="2"/>
      <c r="LG210" s="2"/>
      <c r="LH210" s="2"/>
      <c r="LI210" s="2"/>
      <c r="LJ210" s="2"/>
      <c r="LK210" s="2"/>
      <c r="LL210" s="2"/>
      <c r="LM210" s="2"/>
      <c r="LN210" s="2"/>
      <c r="LO210" s="2"/>
      <c r="LP210" s="2"/>
      <c r="LQ210" s="2"/>
      <c r="LR210" s="2"/>
      <c r="LS210" s="2"/>
      <c r="LT210" s="2"/>
      <c r="LU210" s="2"/>
      <c r="LV210" s="2"/>
      <c r="LW210" s="2"/>
      <c r="LX210" s="2"/>
      <c r="LY210" s="2"/>
      <c r="LZ210" s="2"/>
      <c r="MA210" s="2"/>
      <c r="MB210" s="2"/>
      <c r="MC210" s="2"/>
      <c r="MD210" s="2"/>
      <c r="ME210" s="2"/>
      <c r="MF210" s="2"/>
      <c r="MG210" s="2"/>
      <c r="MH210" s="2"/>
      <c r="MI210" s="2"/>
      <c r="MJ210" s="2"/>
      <c r="MK210" s="2"/>
      <c r="ML210" s="2"/>
      <c r="MM210" s="2"/>
      <c r="MN210" s="2"/>
      <c r="MO210" s="2"/>
      <c r="MP210" s="2"/>
      <c r="MQ210" s="2"/>
      <c r="MR210" s="2"/>
      <c r="MS210" s="2"/>
      <c r="MT210" s="2"/>
      <c r="MU210" s="2"/>
      <c r="MV210" s="2"/>
      <c r="MW210" s="2"/>
      <c r="MX210" s="2"/>
      <c r="MY210" s="2"/>
      <c r="MZ210" s="2"/>
      <c r="NA210" s="2"/>
      <c r="NB210" s="2"/>
      <c r="NC210" s="2"/>
      <c r="ND210" s="2"/>
      <c r="NE210" s="2"/>
      <c r="NF210" s="2"/>
      <c r="NG210" s="2"/>
      <c r="NH210" s="2"/>
      <c r="NI210" s="2"/>
      <c r="NJ210" s="2"/>
      <c r="NK210" s="2"/>
      <c r="NL210" s="2"/>
      <c r="NM210" s="2"/>
      <c r="NN210" s="2"/>
      <c r="NO210" s="2"/>
      <c r="NP210" s="2"/>
      <c r="NQ210" s="2"/>
      <c r="NR210" s="2"/>
      <c r="NS210" s="2"/>
      <c r="NT210" s="2"/>
      <c r="NU210" s="2"/>
      <c r="NV210" s="2"/>
      <c r="NW210" s="2"/>
      <c r="NX210" s="2"/>
      <c r="NY210" s="2"/>
      <c r="NZ210" s="2"/>
      <c r="OA210" s="2"/>
      <c r="OB210" s="2"/>
      <c r="OC210" s="2"/>
      <c r="OD210" s="2"/>
      <c r="OE210" s="2"/>
      <c r="OF210" s="2"/>
      <c r="OG210" s="2"/>
      <c r="OH210" s="2"/>
      <c r="OI210" s="2"/>
      <c r="OJ210" s="2"/>
      <c r="OK210" s="2"/>
      <c r="OL210" s="2"/>
      <c r="OM210" s="2"/>
      <c r="ON210" s="2"/>
      <c r="OO210" s="2"/>
      <c r="OP210" s="2"/>
      <c r="OQ210" s="2"/>
      <c r="OR210" s="2"/>
      <c r="OS210" s="2"/>
      <c r="OT210" s="2"/>
      <c r="OU210" s="2"/>
      <c r="OV210" s="2"/>
      <c r="OW210" s="2"/>
      <c r="OX210" s="2"/>
      <c r="OY210" s="2"/>
      <c r="OZ210" s="2"/>
      <c r="PA210" s="2"/>
      <c r="PB210" s="2"/>
      <c r="PC210" s="2"/>
      <c r="PD210" s="2"/>
      <c r="PE210" s="2"/>
      <c r="PF210" s="2"/>
      <c r="PG210" s="2"/>
      <c r="PH210" s="2"/>
      <c r="PI210" s="2"/>
      <c r="PJ210" s="2"/>
      <c r="PK210" s="2"/>
      <c r="PL210" s="2"/>
      <c r="PM210" s="2"/>
      <c r="PN210" s="2"/>
      <c r="PO210" s="2"/>
      <c r="PP210" s="2"/>
      <c r="PQ210" s="2"/>
      <c r="PR210" s="2"/>
      <c r="PS210" s="2"/>
      <c r="PT210" s="2"/>
      <c r="PU210" s="2"/>
      <c r="PV210" s="2"/>
      <c r="PW210" s="2"/>
      <c r="PX210" s="2"/>
      <c r="PY210" s="2"/>
      <c r="PZ210" s="2"/>
      <c r="QA210" s="2"/>
      <c r="QB210" s="2"/>
      <c r="QC210" s="2"/>
      <c r="QD210" s="2"/>
      <c r="QE210" s="2"/>
      <c r="QF210" s="2"/>
      <c r="QG210" s="2"/>
      <c r="QH210" s="2"/>
      <c r="QI210" s="2"/>
      <c r="QJ210" s="2"/>
      <c r="QK210" s="2"/>
      <c r="QL210" s="2"/>
      <c r="QM210" s="2"/>
      <c r="QN210" s="2"/>
      <c r="QO210" s="2"/>
      <c r="QP210" s="2"/>
      <c r="QQ210" s="2"/>
      <c r="QR210" s="2"/>
      <c r="QS210" s="2"/>
      <c r="QT210" s="2"/>
      <c r="QU210" s="2"/>
      <c r="QV210" s="2"/>
      <c r="QW210" s="2"/>
      <c r="QX210" s="2"/>
      <c r="QY210" s="2"/>
      <c r="QZ210" s="2"/>
      <c r="RA210" s="2"/>
      <c r="RB210" s="2"/>
      <c r="RC210" s="2"/>
      <c r="RD210" s="2"/>
      <c r="RE210" s="2"/>
      <c r="RF210" s="2"/>
      <c r="RG210" s="2"/>
      <c r="RH210" s="2"/>
      <c r="RI210" s="2"/>
      <c r="RJ210" s="2"/>
      <c r="RK210" s="2"/>
      <c r="RL210" s="2"/>
      <c r="RM210" s="2"/>
      <c r="RN210" s="2"/>
      <c r="RO210" s="2"/>
      <c r="RP210" s="2"/>
      <c r="RQ210" s="2"/>
      <c r="RR210" s="2"/>
      <c r="RS210" s="2"/>
      <c r="RT210" s="2"/>
      <c r="RU210" s="2"/>
      <c r="RV210" s="2"/>
      <c r="RW210" s="2"/>
      <c r="RX210" s="2"/>
      <c r="RY210" s="2"/>
      <c r="RZ210" s="2"/>
      <c r="SA210" s="2"/>
      <c r="SB210" s="2"/>
      <c r="SC210" s="2"/>
      <c r="SD210" s="2"/>
      <c r="SE210" s="2"/>
      <c r="SF210" s="2"/>
      <c r="SG210" s="2"/>
      <c r="SH210" s="2"/>
      <c r="SI210" s="2"/>
      <c r="SJ210" s="2"/>
      <c r="SK210" s="2"/>
      <c r="SL210" s="2"/>
      <c r="SM210" s="2"/>
      <c r="SN210" s="2"/>
      <c r="SO210" s="2"/>
      <c r="SP210" s="2"/>
      <c r="SQ210" s="2"/>
      <c r="SR210" s="2"/>
      <c r="SS210" s="2"/>
      <c r="ST210" s="2"/>
      <c r="SU210" s="2"/>
      <c r="SV210" s="2"/>
      <c r="SW210" s="2"/>
      <c r="SX210" s="2"/>
    </row>
    <row r="211" spans="33:518" x14ac:dyDescent="0.25"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  <c r="FK211" s="2"/>
      <c r="FL211" s="2"/>
      <c r="FM211" s="2"/>
      <c r="FN211" s="2"/>
      <c r="FO211" s="2"/>
      <c r="FP211" s="2"/>
      <c r="FQ211" s="2"/>
      <c r="FR211" s="2"/>
      <c r="FS211" s="2"/>
      <c r="FT211" s="2"/>
      <c r="FU211" s="2"/>
      <c r="FV211" s="2"/>
      <c r="FW211" s="2"/>
      <c r="FX211" s="2"/>
      <c r="FY211" s="2"/>
      <c r="FZ211" s="2"/>
      <c r="GA211" s="2"/>
      <c r="GB211" s="2"/>
      <c r="GC211" s="2"/>
      <c r="GD211" s="2"/>
      <c r="GE211" s="2"/>
      <c r="GF211" s="2"/>
      <c r="GG211" s="2"/>
      <c r="GH211" s="2"/>
      <c r="GI211" s="2"/>
      <c r="GJ211" s="2"/>
      <c r="GK211" s="2"/>
      <c r="GL211" s="2"/>
      <c r="GM211" s="2"/>
      <c r="GN211" s="2"/>
      <c r="GO211" s="2"/>
      <c r="GP211" s="2"/>
      <c r="GQ211" s="2"/>
      <c r="GR211" s="2"/>
      <c r="GS211" s="2"/>
      <c r="GT211" s="2"/>
      <c r="GU211" s="2"/>
      <c r="GV211" s="2"/>
      <c r="GW211" s="2"/>
      <c r="GX211" s="2"/>
      <c r="GY211" s="2"/>
      <c r="GZ211" s="2"/>
      <c r="HA211" s="2"/>
      <c r="HB211" s="2"/>
      <c r="HC211" s="2"/>
      <c r="HD211" s="2"/>
      <c r="HE211" s="2"/>
      <c r="HF211" s="2"/>
      <c r="HG211" s="2"/>
      <c r="HH211" s="2"/>
      <c r="HI211" s="2"/>
      <c r="HJ211" s="2"/>
      <c r="HK211" s="2"/>
      <c r="HL211" s="2"/>
      <c r="HM211" s="2"/>
      <c r="HN211" s="2"/>
      <c r="HO211" s="2"/>
      <c r="HP211" s="2"/>
      <c r="HQ211" s="2"/>
      <c r="HR211" s="2"/>
      <c r="HS211" s="2"/>
      <c r="HT211" s="2"/>
      <c r="HU211" s="2"/>
      <c r="HV211" s="2"/>
      <c r="HW211" s="2"/>
      <c r="HX211" s="2"/>
      <c r="HY211" s="2"/>
      <c r="HZ211" s="2"/>
      <c r="IA211" s="2"/>
      <c r="IB211" s="2"/>
      <c r="IC211" s="2"/>
      <c r="ID211" s="2"/>
      <c r="IE211" s="2"/>
      <c r="IF211" s="2"/>
      <c r="IG211" s="2"/>
      <c r="IH211" s="2"/>
      <c r="II211" s="2"/>
      <c r="IJ211" s="2"/>
      <c r="IK211" s="2"/>
      <c r="IL211" s="2"/>
      <c r="IM211" s="2"/>
      <c r="IN211" s="2"/>
      <c r="IO211" s="2"/>
      <c r="IP211" s="2"/>
      <c r="IQ211" s="2"/>
      <c r="IR211" s="2"/>
      <c r="IS211" s="2"/>
      <c r="IT211" s="2"/>
      <c r="IU211" s="2"/>
      <c r="IV211" s="2"/>
      <c r="IW211" s="2"/>
      <c r="IX211" s="2"/>
      <c r="IY211" s="2"/>
      <c r="IZ211" s="2"/>
      <c r="JA211" s="2"/>
      <c r="JB211" s="2"/>
      <c r="JC211" s="2"/>
      <c r="JD211" s="2"/>
      <c r="JE211" s="2"/>
      <c r="JF211" s="2"/>
      <c r="JG211" s="2"/>
      <c r="JH211" s="2"/>
      <c r="JI211" s="2"/>
      <c r="JJ211" s="2"/>
      <c r="JK211" s="2"/>
      <c r="JL211" s="2"/>
      <c r="JM211" s="2"/>
      <c r="JN211" s="2"/>
      <c r="JO211" s="2"/>
      <c r="JP211" s="2"/>
      <c r="JQ211" s="2"/>
      <c r="JR211" s="2"/>
      <c r="JS211" s="2"/>
      <c r="JT211" s="2"/>
      <c r="JU211" s="2"/>
      <c r="JV211" s="2"/>
      <c r="JW211" s="2"/>
      <c r="JX211" s="2"/>
      <c r="JY211" s="2"/>
      <c r="JZ211" s="2"/>
      <c r="KA211" s="2"/>
      <c r="KB211" s="2"/>
      <c r="KC211" s="2"/>
      <c r="KD211" s="2"/>
      <c r="KE211" s="2"/>
      <c r="KF211" s="2"/>
      <c r="KG211" s="2"/>
      <c r="KH211" s="2"/>
      <c r="KI211" s="2"/>
      <c r="KJ211" s="2"/>
      <c r="KK211" s="2"/>
      <c r="KL211" s="2"/>
      <c r="KM211" s="2"/>
      <c r="KN211" s="2"/>
      <c r="KO211" s="2"/>
      <c r="KP211" s="2"/>
      <c r="KQ211" s="2"/>
      <c r="KR211" s="2"/>
      <c r="KS211" s="2"/>
      <c r="KT211" s="2"/>
      <c r="KU211" s="2"/>
      <c r="KV211" s="2"/>
      <c r="KW211" s="2"/>
      <c r="KX211" s="2"/>
      <c r="KY211" s="2"/>
      <c r="KZ211" s="2"/>
      <c r="LA211" s="2"/>
      <c r="LB211" s="2"/>
      <c r="LC211" s="2"/>
      <c r="LD211" s="2"/>
      <c r="LE211" s="2"/>
      <c r="LF211" s="2"/>
      <c r="LG211" s="2"/>
      <c r="LH211" s="2"/>
      <c r="LI211" s="2"/>
      <c r="LJ211" s="2"/>
      <c r="LK211" s="2"/>
      <c r="LL211" s="2"/>
      <c r="LM211" s="2"/>
      <c r="LN211" s="2"/>
      <c r="LO211" s="2"/>
      <c r="LP211" s="2"/>
      <c r="LQ211" s="2"/>
      <c r="LR211" s="2"/>
      <c r="LS211" s="2"/>
      <c r="LT211" s="2"/>
      <c r="LU211" s="2"/>
      <c r="LV211" s="2"/>
      <c r="LW211" s="2"/>
      <c r="LX211" s="2"/>
      <c r="LY211" s="2"/>
      <c r="LZ211" s="2"/>
      <c r="MA211" s="2"/>
      <c r="MB211" s="2"/>
      <c r="MC211" s="2"/>
      <c r="MD211" s="2"/>
      <c r="ME211" s="2"/>
      <c r="MF211" s="2"/>
      <c r="MG211" s="2"/>
      <c r="MH211" s="2"/>
      <c r="MI211" s="2"/>
      <c r="MJ211" s="2"/>
      <c r="MK211" s="2"/>
      <c r="ML211" s="2"/>
      <c r="MM211" s="2"/>
      <c r="MN211" s="2"/>
      <c r="MO211" s="2"/>
      <c r="MP211" s="2"/>
      <c r="MQ211" s="2"/>
      <c r="MR211" s="2"/>
      <c r="MS211" s="2"/>
      <c r="MT211" s="2"/>
      <c r="MU211" s="2"/>
      <c r="MV211" s="2"/>
      <c r="MW211" s="2"/>
      <c r="MX211" s="2"/>
      <c r="MY211" s="2"/>
      <c r="MZ211" s="2"/>
      <c r="NA211" s="2"/>
      <c r="NB211" s="2"/>
      <c r="NC211" s="2"/>
      <c r="ND211" s="2"/>
      <c r="NE211" s="2"/>
      <c r="NF211" s="2"/>
      <c r="NG211" s="2"/>
      <c r="NH211" s="2"/>
      <c r="NI211" s="2"/>
      <c r="NJ211" s="2"/>
      <c r="NK211" s="2"/>
      <c r="NL211" s="2"/>
      <c r="NM211" s="2"/>
      <c r="NN211" s="2"/>
      <c r="NO211" s="2"/>
      <c r="NP211" s="2"/>
      <c r="NQ211" s="2"/>
      <c r="NR211" s="2"/>
      <c r="NS211" s="2"/>
      <c r="NT211" s="2"/>
      <c r="NU211" s="2"/>
      <c r="NV211" s="2"/>
      <c r="NW211" s="2"/>
      <c r="NX211" s="2"/>
      <c r="NY211" s="2"/>
      <c r="NZ211" s="2"/>
      <c r="OA211" s="2"/>
      <c r="OB211" s="2"/>
      <c r="OC211" s="2"/>
      <c r="OD211" s="2"/>
      <c r="OE211" s="2"/>
      <c r="OF211" s="2"/>
      <c r="OG211" s="2"/>
      <c r="OH211" s="2"/>
      <c r="OI211" s="2"/>
      <c r="OJ211" s="2"/>
      <c r="OK211" s="2"/>
      <c r="OL211" s="2"/>
      <c r="OM211" s="2"/>
      <c r="ON211" s="2"/>
      <c r="OO211" s="2"/>
      <c r="OP211" s="2"/>
      <c r="OQ211" s="2"/>
      <c r="OR211" s="2"/>
      <c r="OS211" s="2"/>
      <c r="OT211" s="2"/>
      <c r="OU211" s="2"/>
      <c r="OV211" s="2"/>
      <c r="OW211" s="2"/>
      <c r="OX211" s="2"/>
      <c r="OY211" s="2"/>
      <c r="OZ211" s="2"/>
      <c r="PA211" s="2"/>
      <c r="PB211" s="2"/>
      <c r="PC211" s="2"/>
      <c r="PD211" s="2"/>
      <c r="PE211" s="2"/>
      <c r="PF211" s="2"/>
      <c r="PG211" s="2"/>
      <c r="PH211" s="2"/>
      <c r="PI211" s="2"/>
      <c r="PJ211" s="2"/>
      <c r="PK211" s="2"/>
      <c r="PL211" s="2"/>
      <c r="PM211" s="2"/>
      <c r="PN211" s="2"/>
      <c r="PO211" s="2"/>
      <c r="PP211" s="2"/>
      <c r="PQ211" s="2"/>
      <c r="PR211" s="2"/>
      <c r="PS211" s="2"/>
      <c r="PT211" s="2"/>
      <c r="PU211" s="2"/>
      <c r="PV211" s="2"/>
      <c r="PW211" s="2"/>
      <c r="PX211" s="2"/>
      <c r="PY211" s="2"/>
      <c r="PZ211" s="2"/>
      <c r="QA211" s="2"/>
      <c r="QB211" s="2"/>
      <c r="QC211" s="2"/>
      <c r="QD211" s="2"/>
      <c r="QE211" s="2"/>
      <c r="QF211" s="2"/>
      <c r="QG211" s="2"/>
      <c r="QH211" s="2"/>
      <c r="QI211" s="2"/>
      <c r="QJ211" s="2"/>
      <c r="QK211" s="2"/>
      <c r="QL211" s="2"/>
      <c r="QM211" s="2"/>
      <c r="QN211" s="2"/>
      <c r="QO211" s="2"/>
      <c r="QP211" s="2"/>
      <c r="QQ211" s="2"/>
      <c r="QR211" s="2"/>
      <c r="QS211" s="2"/>
      <c r="QT211" s="2"/>
      <c r="QU211" s="2"/>
      <c r="QV211" s="2"/>
      <c r="QW211" s="2"/>
      <c r="QX211" s="2"/>
      <c r="QY211" s="2"/>
      <c r="QZ211" s="2"/>
      <c r="RA211" s="2"/>
      <c r="RB211" s="2"/>
      <c r="RC211" s="2"/>
      <c r="RD211" s="2"/>
      <c r="RE211" s="2"/>
      <c r="RF211" s="2"/>
      <c r="RG211" s="2"/>
      <c r="RH211" s="2"/>
      <c r="RI211" s="2"/>
      <c r="RJ211" s="2"/>
      <c r="RK211" s="2"/>
      <c r="RL211" s="2"/>
      <c r="RM211" s="2"/>
      <c r="RN211" s="2"/>
      <c r="RO211" s="2"/>
      <c r="RP211" s="2"/>
      <c r="RQ211" s="2"/>
      <c r="RR211" s="2"/>
      <c r="RS211" s="2"/>
      <c r="RT211" s="2"/>
      <c r="RU211" s="2"/>
      <c r="RV211" s="2"/>
      <c r="RW211" s="2"/>
      <c r="RX211" s="2"/>
      <c r="RY211" s="2"/>
      <c r="RZ211" s="2"/>
      <c r="SA211" s="2"/>
      <c r="SB211" s="2"/>
      <c r="SC211" s="2"/>
      <c r="SD211" s="2"/>
      <c r="SE211" s="2"/>
      <c r="SF211" s="2"/>
      <c r="SG211" s="2"/>
      <c r="SH211" s="2"/>
      <c r="SI211" s="2"/>
      <c r="SJ211" s="2"/>
      <c r="SK211" s="2"/>
      <c r="SL211" s="2"/>
      <c r="SM211" s="2"/>
      <c r="SN211" s="2"/>
      <c r="SO211" s="2"/>
      <c r="SP211" s="2"/>
      <c r="SQ211" s="2"/>
      <c r="SR211" s="2"/>
      <c r="SS211" s="2"/>
      <c r="ST211" s="2"/>
      <c r="SU211" s="2"/>
      <c r="SV211" s="2"/>
      <c r="SW211" s="2"/>
      <c r="SX211" s="2"/>
    </row>
    <row r="212" spans="33:518" x14ac:dyDescent="0.25"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  <c r="FK212" s="2"/>
      <c r="FL212" s="2"/>
      <c r="FM212" s="2"/>
      <c r="FN212" s="2"/>
      <c r="FO212" s="2"/>
      <c r="FP212" s="2"/>
      <c r="FQ212" s="2"/>
      <c r="FR212" s="2"/>
      <c r="FS212" s="2"/>
      <c r="FT212" s="2"/>
      <c r="FU212" s="2"/>
      <c r="FV212" s="2"/>
      <c r="FW212" s="2"/>
      <c r="FX212" s="2"/>
      <c r="FY212" s="2"/>
      <c r="FZ212" s="2"/>
      <c r="GA212" s="2"/>
      <c r="GB212" s="2"/>
      <c r="GC212" s="2"/>
      <c r="GD212" s="2"/>
      <c r="GE212" s="2"/>
      <c r="GF212" s="2"/>
      <c r="GG212" s="2"/>
      <c r="GH212" s="2"/>
      <c r="GI212" s="2"/>
      <c r="GJ212" s="2"/>
      <c r="GK212" s="2"/>
      <c r="GL212" s="2"/>
      <c r="GM212" s="2"/>
      <c r="GN212" s="2"/>
      <c r="GO212" s="2"/>
      <c r="GP212" s="2"/>
      <c r="GQ212" s="2"/>
      <c r="GR212" s="2"/>
      <c r="GS212" s="2"/>
      <c r="GT212" s="2"/>
      <c r="GU212" s="2"/>
      <c r="GV212" s="2"/>
      <c r="GW212" s="2"/>
      <c r="GX212" s="2"/>
      <c r="GY212" s="2"/>
      <c r="GZ212" s="2"/>
      <c r="HA212" s="2"/>
      <c r="HB212" s="2"/>
      <c r="HC212" s="2"/>
      <c r="HD212" s="2"/>
      <c r="HE212" s="2"/>
      <c r="HF212" s="2"/>
      <c r="HG212" s="2"/>
      <c r="HH212" s="2"/>
      <c r="HI212" s="2"/>
      <c r="HJ212" s="2"/>
      <c r="HK212" s="2"/>
      <c r="HL212" s="2"/>
      <c r="HM212" s="2"/>
      <c r="HN212" s="2"/>
      <c r="HO212" s="2"/>
      <c r="HP212" s="2"/>
      <c r="HQ212" s="2"/>
      <c r="HR212" s="2"/>
      <c r="HS212" s="2"/>
      <c r="HT212" s="2"/>
      <c r="HU212" s="2"/>
      <c r="HV212" s="2"/>
      <c r="HW212" s="2"/>
      <c r="HX212" s="2"/>
      <c r="HY212" s="2"/>
      <c r="HZ212" s="2"/>
      <c r="IA212" s="2"/>
      <c r="IB212" s="2"/>
      <c r="IC212" s="2"/>
      <c r="ID212" s="2"/>
      <c r="IE212" s="2"/>
      <c r="IF212" s="2"/>
      <c r="IG212" s="2"/>
      <c r="IH212" s="2"/>
      <c r="II212" s="2"/>
      <c r="IJ212" s="2"/>
      <c r="IK212" s="2"/>
      <c r="IL212" s="2"/>
      <c r="IM212" s="2"/>
      <c r="IN212" s="2"/>
      <c r="IO212" s="2"/>
      <c r="IP212" s="2"/>
      <c r="IQ212" s="2"/>
      <c r="IR212" s="2"/>
      <c r="IS212" s="2"/>
      <c r="IT212" s="2"/>
      <c r="IU212" s="2"/>
      <c r="IV212" s="2"/>
      <c r="IW212" s="2"/>
      <c r="IX212" s="2"/>
      <c r="IY212" s="2"/>
      <c r="IZ212" s="2"/>
      <c r="JA212" s="2"/>
      <c r="JB212" s="2"/>
      <c r="JC212" s="2"/>
      <c r="JD212" s="2"/>
      <c r="JE212" s="2"/>
      <c r="JF212" s="2"/>
      <c r="JG212" s="2"/>
      <c r="JH212" s="2"/>
      <c r="JI212" s="2"/>
      <c r="JJ212" s="2"/>
      <c r="JK212" s="2"/>
      <c r="JL212" s="2"/>
      <c r="JM212" s="2"/>
      <c r="JN212" s="2"/>
      <c r="JO212" s="2"/>
      <c r="JP212" s="2"/>
      <c r="JQ212" s="2"/>
      <c r="JR212" s="2"/>
      <c r="JS212" s="2"/>
      <c r="JT212" s="2"/>
      <c r="JU212" s="2"/>
      <c r="JV212" s="2"/>
      <c r="JW212" s="2"/>
      <c r="JX212" s="2"/>
      <c r="JY212" s="2"/>
      <c r="JZ212" s="2"/>
      <c r="KA212" s="2"/>
      <c r="KB212" s="2"/>
      <c r="KC212" s="2"/>
      <c r="KD212" s="2"/>
      <c r="KE212" s="2"/>
      <c r="KF212" s="2"/>
      <c r="KG212" s="2"/>
      <c r="KH212" s="2"/>
      <c r="KI212" s="2"/>
      <c r="KJ212" s="2"/>
      <c r="KK212" s="2"/>
      <c r="KL212" s="2"/>
      <c r="KM212" s="2"/>
      <c r="KN212" s="2"/>
      <c r="KO212" s="2"/>
      <c r="KP212" s="2"/>
      <c r="KQ212" s="2"/>
      <c r="KR212" s="2"/>
      <c r="KS212" s="2"/>
      <c r="KT212" s="2"/>
      <c r="KU212" s="2"/>
      <c r="KV212" s="2"/>
      <c r="KW212" s="2"/>
      <c r="KX212" s="2"/>
      <c r="KY212" s="2"/>
      <c r="KZ212" s="2"/>
      <c r="LA212" s="2"/>
      <c r="LB212" s="2"/>
      <c r="LC212" s="2"/>
      <c r="LD212" s="2"/>
      <c r="LE212" s="2"/>
      <c r="LF212" s="2"/>
      <c r="LG212" s="2"/>
      <c r="LH212" s="2"/>
      <c r="LI212" s="2"/>
      <c r="LJ212" s="2"/>
      <c r="LK212" s="2"/>
      <c r="LL212" s="2"/>
      <c r="LM212" s="2"/>
      <c r="LN212" s="2"/>
      <c r="LO212" s="2"/>
      <c r="LP212" s="2"/>
      <c r="LQ212" s="2"/>
      <c r="LR212" s="2"/>
      <c r="LS212" s="2"/>
      <c r="LT212" s="2"/>
      <c r="LU212" s="2"/>
      <c r="LV212" s="2"/>
      <c r="LW212" s="2"/>
      <c r="LX212" s="2"/>
      <c r="LY212" s="2"/>
      <c r="LZ212" s="2"/>
      <c r="MA212" s="2"/>
      <c r="MB212" s="2"/>
      <c r="MC212" s="2"/>
      <c r="MD212" s="2"/>
      <c r="ME212" s="2"/>
      <c r="MF212" s="2"/>
      <c r="MG212" s="2"/>
      <c r="MH212" s="2"/>
      <c r="MI212" s="2"/>
      <c r="MJ212" s="2"/>
      <c r="MK212" s="2"/>
      <c r="ML212" s="2"/>
      <c r="MM212" s="2"/>
      <c r="MN212" s="2"/>
      <c r="MO212" s="2"/>
      <c r="MP212" s="2"/>
      <c r="MQ212" s="2"/>
      <c r="MR212" s="2"/>
      <c r="MS212" s="2"/>
      <c r="MT212" s="2"/>
      <c r="MU212" s="2"/>
      <c r="MV212" s="2"/>
      <c r="MW212" s="2"/>
      <c r="MX212" s="2"/>
      <c r="MY212" s="2"/>
      <c r="MZ212" s="2"/>
      <c r="NA212" s="2"/>
      <c r="NB212" s="2"/>
      <c r="NC212" s="2"/>
      <c r="ND212" s="2"/>
      <c r="NE212" s="2"/>
      <c r="NF212" s="2"/>
      <c r="NG212" s="2"/>
      <c r="NH212" s="2"/>
      <c r="NI212" s="2"/>
      <c r="NJ212" s="2"/>
      <c r="NK212" s="2"/>
      <c r="NL212" s="2"/>
      <c r="NM212" s="2"/>
      <c r="NN212" s="2"/>
      <c r="NO212" s="2"/>
      <c r="NP212" s="2"/>
      <c r="NQ212" s="2"/>
      <c r="NR212" s="2"/>
      <c r="NS212" s="2"/>
      <c r="NT212" s="2"/>
      <c r="NU212" s="2"/>
      <c r="NV212" s="2"/>
      <c r="NW212" s="2"/>
      <c r="NX212" s="2"/>
      <c r="NY212" s="2"/>
      <c r="NZ212" s="2"/>
      <c r="OA212" s="2"/>
      <c r="OB212" s="2"/>
      <c r="OC212" s="2"/>
      <c r="OD212" s="2"/>
      <c r="OE212" s="2"/>
      <c r="OF212" s="2"/>
      <c r="OG212" s="2"/>
      <c r="OH212" s="2"/>
      <c r="OI212" s="2"/>
      <c r="OJ212" s="2"/>
      <c r="OK212" s="2"/>
      <c r="OL212" s="2"/>
      <c r="OM212" s="2"/>
      <c r="ON212" s="2"/>
      <c r="OO212" s="2"/>
      <c r="OP212" s="2"/>
      <c r="OQ212" s="2"/>
      <c r="OR212" s="2"/>
      <c r="OS212" s="2"/>
      <c r="OT212" s="2"/>
      <c r="OU212" s="2"/>
      <c r="OV212" s="2"/>
      <c r="OW212" s="2"/>
      <c r="OX212" s="2"/>
      <c r="OY212" s="2"/>
      <c r="OZ212" s="2"/>
      <c r="PA212" s="2"/>
      <c r="PB212" s="2"/>
      <c r="PC212" s="2"/>
      <c r="PD212" s="2"/>
      <c r="PE212" s="2"/>
      <c r="PF212" s="2"/>
      <c r="PG212" s="2"/>
      <c r="PH212" s="2"/>
      <c r="PI212" s="2"/>
      <c r="PJ212" s="2"/>
      <c r="PK212" s="2"/>
      <c r="PL212" s="2"/>
      <c r="PM212" s="2"/>
      <c r="PN212" s="2"/>
      <c r="PO212" s="2"/>
      <c r="PP212" s="2"/>
      <c r="PQ212" s="2"/>
      <c r="PR212" s="2"/>
      <c r="PS212" s="2"/>
      <c r="PT212" s="2"/>
      <c r="PU212" s="2"/>
      <c r="PV212" s="2"/>
      <c r="PW212" s="2"/>
      <c r="PX212" s="2"/>
      <c r="PY212" s="2"/>
      <c r="PZ212" s="2"/>
      <c r="QA212" s="2"/>
      <c r="QB212" s="2"/>
      <c r="QC212" s="2"/>
      <c r="QD212" s="2"/>
      <c r="QE212" s="2"/>
      <c r="QF212" s="2"/>
      <c r="QG212" s="2"/>
      <c r="QH212" s="2"/>
      <c r="QI212" s="2"/>
      <c r="QJ212" s="2"/>
      <c r="QK212" s="2"/>
      <c r="QL212" s="2"/>
      <c r="QM212" s="2"/>
      <c r="QN212" s="2"/>
      <c r="QO212" s="2"/>
      <c r="QP212" s="2"/>
      <c r="QQ212" s="2"/>
      <c r="QR212" s="2"/>
      <c r="QS212" s="2"/>
      <c r="QT212" s="2"/>
      <c r="QU212" s="2"/>
      <c r="QV212" s="2"/>
      <c r="QW212" s="2"/>
      <c r="QX212" s="2"/>
      <c r="QY212" s="2"/>
      <c r="QZ212" s="2"/>
      <c r="RA212" s="2"/>
      <c r="RB212" s="2"/>
      <c r="RC212" s="2"/>
      <c r="RD212" s="2"/>
      <c r="RE212" s="2"/>
      <c r="RF212" s="2"/>
      <c r="RG212" s="2"/>
      <c r="RH212" s="2"/>
      <c r="RI212" s="2"/>
      <c r="RJ212" s="2"/>
      <c r="RK212" s="2"/>
      <c r="RL212" s="2"/>
      <c r="RM212" s="2"/>
      <c r="RN212" s="2"/>
      <c r="RO212" s="2"/>
      <c r="RP212" s="2"/>
      <c r="RQ212" s="2"/>
      <c r="RR212" s="2"/>
      <c r="RS212" s="2"/>
      <c r="RT212" s="2"/>
      <c r="RU212" s="2"/>
      <c r="RV212" s="2"/>
      <c r="RW212" s="2"/>
      <c r="RX212" s="2"/>
      <c r="RY212" s="2"/>
      <c r="RZ212" s="2"/>
      <c r="SA212" s="2"/>
      <c r="SB212" s="2"/>
      <c r="SC212" s="2"/>
      <c r="SD212" s="2"/>
      <c r="SE212" s="2"/>
      <c r="SF212" s="2"/>
      <c r="SG212" s="2"/>
      <c r="SH212" s="2"/>
      <c r="SI212" s="2"/>
      <c r="SJ212" s="2"/>
      <c r="SK212" s="2"/>
      <c r="SL212" s="2"/>
      <c r="SM212" s="2"/>
      <c r="SN212" s="2"/>
      <c r="SO212" s="2"/>
      <c r="SP212" s="2"/>
      <c r="SQ212" s="2"/>
      <c r="SR212" s="2"/>
      <c r="SS212" s="2"/>
      <c r="ST212" s="2"/>
      <c r="SU212" s="2"/>
      <c r="SV212" s="2"/>
      <c r="SW212" s="2"/>
      <c r="SX212" s="2"/>
    </row>
    <row r="213" spans="33:518" x14ac:dyDescent="0.25"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  <c r="FK213" s="2"/>
      <c r="FL213" s="2"/>
      <c r="FM213" s="2"/>
      <c r="FN213" s="2"/>
      <c r="FO213" s="2"/>
      <c r="FP213" s="2"/>
      <c r="FQ213" s="2"/>
      <c r="FR213" s="2"/>
      <c r="FS213" s="2"/>
      <c r="FT213" s="2"/>
      <c r="FU213" s="2"/>
      <c r="FV213" s="2"/>
      <c r="FW213" s="2"/>
      <c r="FX213" s="2"/>
      <c r="FY213" s="2"/>
      <c r="FZ213" s="2"/>
      <c r="GA213" s="2"/>
      <c r="GB213" s="2"/>
      <c r="GC213" s="2"/>
      <c r="GD213" s="2"/>
      <c r="GE213" s="2"/>
      <c r="GF213" s="2"/>
      <c r="GG213" s="2"/>
      <c r="GH213" s="2"/>
      <c r="GI213" s="2"/>
      <c r="GJ213" s="2"/>
      <c r="GK213" s="2"/>
      <c r="GL213" s="2"/>
      <c r="GM213" s="2"/>
      <c r="GN213" s="2"/>
      <c r="GO213" s="2"/>
      <c r="GP213" s="2"/>
      <c r="GQ213" s="2"/>
      <c r="GR213" s="2"/>
      <c r="GS213" s="2"/>
      <c r="GT213" s="2"/>
      <c r="GU213" s="2"/>
      <c r="GV213" s="2"/>
      <c r="GW213" s="2"/>
      <c r="GX213" s="2"/>
      <c r="GY213" s="2"/>
      <c r="GZ213" s="2"/>
      <c r="HA213" s="2"/>
      <c r="HB213" s="2"/>
      <c r="HC213" s="2"/>
      <c r="HD213" s="2"/>
      <c r="HE213" s="2"/>
      <c r="HF213" s="2"/>
      <c r="HG213" s="2"/>
      <c r="HH213" s="2"/>
      <c r="HI213" s="2"/>
      <c r="HJ213" s="2"/>
      <c r="HK213" s="2"/>
      <c r="HL213" s="2"/>
      <c r="HM213" s="2"/>
      <c r="HN213" s="2"/>
      <c r="HO213" s="2"/>
      <c r="HP213" s="2"/>
      <c r="HQ213" s="2"/>
      <c r="HR213" s="2"/>
      <c r="HS213" s="2"/>
      <c r="HT213" s="2"/>
      <c r="HU213" s="2"/>
      <c r="HV213" s="2"/>
      <c r="HW213" s="2"/>
      <c r="HX213" s="2"/>
      <c r="HY213" s="2"/>
      <c r="HZ213" s="2"/>
      <c r="IA213" s="2"/>
      <c r="IB213" s="2"/>
      <c r="IC213" s="2"/>
      <c r="ID213" s="2"/>
      <c r="IE213" s="2"/>
      <c r="IF213" s="2"/>
      <c r="IG213" s="2"/>
      <c r="IH213" s="2"/>
      <c r="II213" s="2"/>
      <c r="IJ213" s="2"/>
      <c r="IK213" s="2"/>
      <c r="IL213" s="2"/>
      <c r="IM213" s="2"/>
      <c r="IN213" s="2"/>
      <c r="IO213" s="2"/>
      <c r="IP213" s="2"/>
      <c r="IQ213" s="2"/>
      <c r="IR213" s="2"/>
      <c r="IS213" s="2"/>
      <c r="IT213" s="2"/>
      <c r="IU213" s="2"/>
      <c r="IV213" s="2"/>
      <c r="IW213" s="2"/>
      <c r="IX213" s="2"/>
      <c r="IY213" s="2"/>
      <c r="IZ213" s="2"/>
      <c r="JA213" s="2"/>
      <c r="JB213" s="2"/>
      <c r="JC213" s="2"/>
      <c r="JD213" s="2"/>
      <c r="JE213" s="2"/>
      <c r="JF213" s="2"/>
      <c r="JG213" s="2"/>
      <c r="JH213" s="2"/>
      <c r="JI213" s="2"/>
      <c r="JJ213" s="2"/>
      <c r="JK213" s="2"/>
      <c r="JL213" s="2"/>
      <c r="JM213" s="2"/>
      <c r="JN213" s="2"/>
      <c r="JO213" s="2"/>
      <c r="JP213" s="2"/>
      <c r="JQ213" s="2"/>
      <c r="JR213" s="2"/>
      <c r="JS213" s="2"/>
      <c r="JT213" s="2"/>
      <c r="JU213" s="2"/>
      <c r="JV213" s="2"/>
      <c r="JW213" s="2"/>
      <c r="JX213" s="2"/>
      <c r="JY213" s="2"/>
      <c r="JZ213" s="2"/>
      <c r="KA213" s="2"/>
      <c r="KB213" s="2"/>
      <c r="KC213" s="2"/>
      <c r="KD213" s="2"/>
      <c r="KE213" s="2"/>
      <c r="KF213" s="2"/>
      <c r="KG213" s="2"/>
      <c r="KH213" s="2"/>
      <c r="KI213" s="2"/>
      <c r="KJ213" s="2"/>
      <c r="KK213" s="2"/>
      <c r="KL213" s="2"/>
      <c r="KM213" s="2"/>
      <c r="KN213" s="2"/>
      <c r="KO213" s="2"/>
      <c r="KP213" s="2"/>
      <c r="KQ213" s="2"/>
      <c r="KR213" s="2"/>
      <c r="KS213" s="2"/>
      <c r="KT213" s="2"/>
      <c r="KU213" s="2"/>
      <c r="KV213" s="2"/>
      <c r="KW213" s="2"/>
      <c r="KX213" s="2"/>
      <c r="KY213" s="2"/>
      <c r="KZ213" s="2"/>
      <c r="LA213" s="2"/>
      <c r="LB213" s="2"/>
      <c r="LC213" s="2"/>
      <c r="LD213" s="2"/>
      <c r="LE213" s="2"/>
      <c r="LF213" s="2"/>
      <c r="LG213" s="2"/>
      <c r="LH213" s="2"/>
      <c r="LI213" s="2"/>
      <c r="LJ213" s="2"/>
      <c r="LK213" s="2"/>
      <c r="LL213" s="2"/>
      <c r="LM213" s="2"/>
      <c r="LN213" s="2"/>
      <c r="LO213" s="2"/>
      <c r="LP213" s="2"/>
      <c r="LQ213" s="2"/>
      <c r="LR213" s="2"/>
      <c r="LS213" s="2"/>
      <c r="LT213" s="2"/>
      <c r="LU213" s="2"/>
      <c r="LV213" s="2"/>
      <c r="LW213" s="2"/>
      <c r="LX213" s="2"/>
      <c r="LY213" s="2"/>
      <c r="LZ213" s="2"/>
      <c r="MA213" s="2"/>
      <c r="MB213" s="2"/>
      <c r="MC213" s="2"/>
      <c r="MD213" s="2"/>
      <c r="ME213" s="2"/>
      <c r="MF213" s="2"/>
      <c r="MG213" s="2"/>
      <c r="MH213" s="2"/>
      <c r="MI213" s="2"/>
      <c r="MJ213" s="2"/>
      <c r="MK213" s="2"/>
      <c r="ML213" s="2"/>
      <c r="MM213" s="2"/>
      <c r="MN213" s="2"/>
      <c r="MO213" s="2"/>
      <c r="MP213" s="2"/>
      <c r="MQ213" s="2"/>
      <c r="MR213" s="2"/>
      <c r="MS213" s="2"/>
      <c r="MT213" s="2"/>
      <c r="MU213" s="2"/>
      <c r="MV213" s="2"/>
      <c r="MW213" s="2"/>
      <c r="MX213" s="2"/>
      <c r="MY213" s="2"/>
      <c r="MZ213" s="2"/>
      <c r="NA213" s="2"/>
      <c r="NB213" s="2"/>
      <c r="NC213" s="2"/>
      <c r="ND213" s="2"/>
      <c r="NE213" s="2"/>
      <c r="NF213" s="2"/>
      <c r="NG213" s="2"/>
      <c r="NH213" s="2"/>
      <c r="NI213" s="2"/>
      <c r="NJ213" s="2"/>
      <c r="NK213" s="2"/>
      <c r="NL213" s="2"/>
      <c r="NM213" s="2"/>
      <c r="NN213" s="2"/>
      <c r="NO213" s="2"/>
      <c r="NP213" s="2"/>
      <c r="NQ213" s="2"/>
      <c r="NR213" s="2"/>
      <c r="NS213" s="2"/>
      <c r="NT213" s="2"/>
      <c r="NU213" s="2"/>
      <c r="NV213" s="2"/>
      <c r="NW213" s="2"/>
      <c r="NX213" s="2"/>
      <c r="NY213" s="2"/>
      <c r="NZ213" s="2"/>
      <c r="OA213" s="2"/>
      <c r="OB213" s="2"/>
      <c r="OC213" s="2"/>
      <c r="OD213" s="2"/>
      <c r="OE213" s="2"/>
      <c r="OF213" s="2"/>
      <c r="OG213" s="2"/>
      <c r="OH213" s="2"/>
      <c r="OI213" s="2"/>
      <c r="OJ213" s="2"/>
      <c r="OK213" s="2"/>
      <c r="OL213" s="2"/>
      <c r="OM213" s="2"/>
      <c r="ON213" s="2"/>
      <c r="OO213" s="2"/>
      <c r="OP213" s="2"/>
      <c r="OQ213" s="2"/>
      <c r="OR213" s="2"/>
      <c r="OS213" s="2"/>
      <c r="OT213" s="2"/>
      <c r="OU213" s="2"/>
      <c r="OV213" s="2"/>
      <c r="OW213" s="2"/>
      <c r="OX213" s="2"/>
      <c r="OY213" s="2"/>
      <c r="OZ213" s="2"/>
      <c r="PA213" s="2"/>
      <c r="PB213" s="2"/>
      <c r="PC213" s="2"/>
      <c r="PD213" s="2"/>
      <c r="PE213" s="2"/>
      <c r="PF213" s="2"/>
      <c r="PG213" s="2"/>
      <c r="PH213" s="2"/>
      <c r="PI213" s="2"/>
      <c r="PJ213" s="2"/>
      <c r="PK213" s="2"/>
      <c r="PL213" s="2"/>
      <c r="PM213" s="2"/>
      <c r="PN213" s="2"/>
      <c r="PO213" s="2"/>
      <c r="PP213" s="2"/>
      <c r="PQ213" s="2"/>
      <c r="PR213" s="2"/>
      <c r="PS213" s="2"/>
      <c r="PT213" s="2"/>
      <c r="PU213" s="2"/>
      <c r="PV213" s="2"/>
      <c r="PW213" s="2"/>
      <c r="PX213" s="2"/>
      <c r="PY213" s="2"/>
      <c r="PZ213" s="2"/>
      <c r="QA213" s="2"/>
      <c r="QB213" s="2"/>
      <c r="QC213" s="2"/>
      <c r="QD213" s="2"/>
      <c r="QE213" s="2"/>
      <c r="QF213" s="2"/>
      <c r="QG213" s="2"/>
      <c r="QH213" s="2"/>
      <c r="QI213" s="2"/>
      <c r="QJ213" s="2"/>
      <c r="QK213" s="2"/>
      <c r="QL213" s="2"/>
      <c r="QM213" s="2"/>
      <c r="QN213" s="2"/>
      <c r="QO213" s="2"/>
      <c r="QP213" s="2"/>
      <c r="QQ213" s="2"/>
      <c r="QR213" s="2"/>
      <c r="QS213" s="2"/>
      <c r="QT213" s="2"/>
      <c r="QU213" s="2"/>
      <c r="QV213" s="2"/>
      <c r="QW213" s="2"/>
      <c r="QX213" s="2"/>
      <c r="QY213" s="2"/>
      <c r="QZ213" s="2"/>
      <c r="RA213" s="2"/>
      <c r="RB213" s="2"/>
      <c r="RC213" s="2"/>
      <c r="RD213" s="2"/>
      <c r="RE213" s="2"/>
      <c r="RF213" s="2"/>
      <c r="RG213" s="2"/>
      <c r="RH213" s="2"/>
      <c r="RI213" s="2"/>
      <c r="RJ213" s="2"/>
      <c r="RK213" s="2"/>
      <c r="RL213" s="2"/>
      <c r="RM213" s="2"/>
      <c r="RN213" s="2"/>
      <c r="RO213" s="2"/>
      <c r="RP213" s="2"/>
      <c r="RQ213" s="2"/>
      <c r="RR213" s="2"/>
      <c r="RS213" s="2"/>
      <c r="RT213" s="2"/>
      <c r="RU213" s="2"/>
      <c r="RV213" s="2"/>
      <c r="RW213" s="2"/>
      <c r="RX213" s="2"/>
      <c r="RY213" s="2"/>
      <c r="RZ213" s="2"/>
      <c r="SA213" s="2"/>
      <c r="SB213" s="2"/>
      <c r="SC213" s="2"/>
      <c r="SD213" s="2"/>
      <c r="SE213" s="2"/>
      <c r="SF213" s="2"/>
      <c r="SG213" s="2"/>
      <c r="SH213" s="2"/>
      <c r="SI213" s="2"/>
      <c r="SJ213" s="2"/>
      <c r="SK213" s="2"/>
      <c r="SL213" s="2"/>
      <c r="SM213" s="2"/>
      <c r="SN213" s="2"/>
      <c r="SO213" s="2"/>
      <c r="SP213" s="2"/>
      <c r="SQ213" s="2"/>
      <c r="SR213" s="2"/>
      <c r="SS213" s="2"/>
      <c r="ST213" s="2"/>
      <c r="SU213" s="2"/>
      <c r="SV213" s="2"/>
      <c r="SW213" s="2"/>
      <c r="SX213" s="2"/>
    </row>
    <row r="214" spans="33:518" x14ac:dyDescent="0.25"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  <c r="FK214" s="2"/>
      <c r="FL214" s="2"/>
      <c r="FM214" s="2"/>
      <c r="FN214" s="2"/>
      <c r="FO214" s="2"/>
      <c r="FP214" s="2"/>
      <c r="FQ214" s="2"/>
      <c r="FR214" s="2"/>
      <c r="FS214" s="2"/>
      <c r="FT214" s="2"/>
      <c r="FU214" s="2"/>
      <c r="FV214" s="2"/>
      <c r="FW214" s="2"/>
      <c r="FX214" s="2"/>
      <c r="FY214" s="2"/>
      <c r="FZ214" s="2"/>
      <c r="GA214" s="2"/>
      <c r="GB214" s="2"/>
      <c r="GC214" s="2"/>
      <c r="GD214" s="2"/>
      <c r="GE214" s="2"/>
      <c r="GF214" s="2"/>
      <c r="GG214" s="2"/>
      <c r="GH214" s="2"/>
      <c r="GI214" s="2"/>
      <c r="GJ214" s="2"/>
      <c r="GK214" s="2"/>
      <c r="GL214" s="2"/>
      <c r="GM214" s="2"/>
      <c r="GN214" s="2"/>
      <c r="GO214" s="2"/>
      <c r="GP214" s="2"/>
      <c r="GQ214" s="2"/>
      <c r="GR214" s="2"/>
      <c r="GS214" s="2"/>
      <c r="GT214" s="2"/>
      <c r="GU214" s="2"/>
      <c r="GV214" s="2"/>
      <c r="GW214" s="2"/>
      <c r="GX214" s="2"/>
      <c r="GY214" s="2"/>
      <c r="GZ214" s="2"/>
      <c r="HA214" s="2"/>
      <c r="HB214" s="2"/>
      <c r="HC214" s="2"/>
      <c r="HD214" s="2"/>
      <c r="HE214" s="2"/>
      <c r="HF214" s="2"/>
      <c r="HG214" s="2"/>
      <c r="HH214" s="2"/>
      <c r="HI214" s="2"/>
      <c r="HJ214" s="2"/>
      <c r="HK214" s="2"/>
      <c r="HL214" s="2"/>
      <c r="HM214" s="2"/>
      <c r="HN214" s="2"/>
      <c r="HO214" s="2"/>
      <c r="HP214" s="2"/>
      <c r="HQ214" s="2"/>
      <c r="HR214" s="2"/>
      <c r="HS214" s="2"/>
      <c r="HT214" s="2"/>
      <c r="HU214" s="2"/>
      <c r="HV214" s="2"/>
      <c r="HW214" s="2"/>
      <c r="HX214" s="2"/>
      <c r="HY214" s="2"/>
      <c r="HZ214" s="2"/>
      <c r="IA214" s="2"/>
      <c r="IB214" s="2"/>
      <c r="IC214" s="2"/>
      <c r="ID214" s="2"/>
      <c r="IE214" s="2"/>
      <c r="IF214" s="2"/>
      <c r="IG214" s="2"/>
      <c r="IH214" s="2"/>
      <c r="II214" s="2"/>
      <c r="IJ214" s="2"/>
      <c r="IK214" s="2"/>
      <c r="IL214" s="2"/>
      <c r="IM214" s="2"/>
      <c r="IN214" s="2"/>
      <c r="IO214" s="2"/>
      <c r="IP214" s="2"/>
      <c r="IQ214" s="2"/>
      <c r="IR214" s="2"/>
      <c r="IS214" s="2"/>
      <c r="IT214" s="2"/>
      <c r="IU214" s="2"/>
      <c r="IV214" s="2"/>
      <c r="IW214" s="2"/>
      <c r="IX214" s="2"/>
      <c r="IY214" s="2"/>
      <c r="IZ214" s="2"/>
      <c r="JA214" s="2"/>
      <c r="JB214" s="2"/>
      <c r="JC214" s="2"/>
      <c r="JD214" s="2"/>
      <c r="JE214" s="2"/>
      <c r="JF214" s="2"/>
      <c r="JG214" s="2"/>
      <c r="JH214" s="2"/>
      <c r="JI214" s="2"/>
      <c r="JJ214" s="2"/>
      <c r="JK214" s="2"/>
      <c r="JL214" s="2"/>
      <c r="JM214" s="2"/>
      <c r="JN214" s="2"/>
      <c r="JO214" s="2"/>
      <c r="JP214" s="2"/>
      <c r="JQ214" s="2"/>
      <c r="JR214" s="2"/>
      <c r="JS214" s="2"/>
      <c r="JT214" s="2"/>
      <c r="JU214" s="2"/>
      <c r="JV214" s="2"/>
      <c r="JW214" s="2"/>
      <c r="JX214" s="2"/>
      <c r="JY214" s="2"/>
      <c r="JZ214" s="2"/>
      <c r="KA214" s="2"/>
      <c r="KB214" s="2"/>
      <c r="KC214" s="2"/>
      <c r="KD214" s="2"/>
      <c r="KE214" s="2"/>
      <c r="KF214" s="2"/>
      <c r="KG214" s="2"/>
      <c r="KH214" s="2"/>
      <c r="KI214" s="2"/>
      <c r="KJ214" s="2"/>
      <c r="KK214" s="2"/>
      <c r="KL214" s="2"/>
      <c r="KM214" s="2"/>
      <c r="KN214" s="2"/>
      <c r="KO214" s="2"/>
      <c r="KP214" s="2"/>
      <c r="KQ214" s="2"/>
      <c r="KR214" s="2"/>
      <c r="KS214" s="2"/>
      <c r="KT214" s="2"/>
      <c r="KU214" s="2"/>
      <c r="KV214" s="2"/>
      <c r="KW214" s="2"/>
      <c r="KX214" s="2"/>
      <c r="KY214" s="2"/>
      <c r="KZ214" s="2"/>
      <c r="LA214" s="2"/>
      <c r="LB214" s="2"/>
      <c r="LC214" s="2"/>
      <c r="LD214" s="2"/>
      <c r="LE214" s="2"/>
      <c r="LF214" s="2"/>
      <c r="LG214" s="2"/>
      <c r="LH214" s="2"/>
      <c r="LI214" s="2"/>
      <c r="LJ214" s="2"/>
      <c r="LK214" s="2"/>
      <c r="LL214" s="2"/>
      <c r="LM214" s="2"/>
      <c r="LN214" s="2"/>
      <c r="LO214" s="2"/>
      <c r="LP214" s="2"/>
      <c r="LQ214" s="2"/>
      <c r="LR214" s="2"/>
      <c r="LS214" s="2"/>
      <c r="LT214" s="2"/>
      <c r="LU214" s="2"/>
      <c r="LV214" s="2"/>
      <c r="LW214" s="2"/>
      <c r="LX214" s="2"/>
      <c r="LY214" s="2"/>
      <c r="LZ214" s="2"/>
      <c r="MA214" s="2"/>
      <c r="MB214" s="2"/>
      <c r="MC214" s="2"/>
      <c r="MD214" s="2"/>
      <c r="ME214" s="2"/>
      <c r="MF214" s="2"/>
      <c r="MG214" s="2"/>
      <c r="MH214" s="2"/>
      <c r="MI214" s="2"/>
      <c r="MJ214" s="2"/>
      <c r="MK214" s="2"/>
      <c r="ML214" s="2"/>
      <c r="MM214" s="2"/>
      <c r="MN214" s="2"/>
      <c r="MO214" s="2"/>
      <c r="MP214" s="2"/>
      <c r="MQ214" s="2"/>
      <c r="MR214" s="2"/>
      <c r="MS214" s="2"/>
      <c r="MT214" s="2"/>
      <c r="MU214" s="2"/>
      <c r="MV214" s="2"/>
      <c r="MW214" s="2"/>
      <c r="MX214" s="2"/>
      <c r="MY214" s="2"/>
      <c r="MZ214" s="2"/>
      <c r="NA214" s="2"/>
      <c r="NB214" s="2"/>
      <c r="NC214" s="2"/>
      <c r="ND214" s="2"/>
      <c r="NE214" s="2"/>
      <c r="NF214" s="2"/>
      <c r="NG214" s="2"/>
      <c r="NH214" s="2"/>
      <c r="NI214" s="2"/>
      <c r="NJ214" s="2"/>
      <c r="NK214" s="2"/>
      <c r="NL214" s="2"/>
      <c r="NM214" s="2"/>
      <c r="NN214" s="2"/>
      <c r="NO214" s="2"/>
      <c r="NP214" s="2"/>
      <c r="NQ214" s="2"/>
      <c r="NR214" s="2"/>
      <c r="NS214" s="2"/>
      <c r="NT214" s="2"/>
      <c r="NU214" s="2"/>
      <c r="NV214" s="2"/>
      <c r="NW214" s="2"/>
      <c r="NX214" s="2"/>
      <c r="NY214" s="2"/>
      <c r="NZ214" s="2"/>
      <c r="OA214" s="2"/>
      <c r="OB214" s="2"/>
      <c r="OC214" s="2"/>
      <c r="OD214" s="2"/>
      <c r="OE214" s="2"/>
      <c r="OF214" s="2"/>
      <c r="OG214" s="2"/>
      <c r="OH214" s="2"/>
      <c r="OI214" s="2"/>
      <c r="OJ214" s="2"/>
      <c r="OK214" s="2"/>
      <c r="OL214" s="2"/>
      <c r="OM214" s="2"/>
      <c r="ON214" s="2"/>
      <c r="OO214" s="2"/>
      <c r="OP214" s="2"/>
      <c r="OQ214" s="2"/>
      <c r="OR214" s="2"/>
      <c r="OS214" s="2"/>
      <c r="OT214" s="2"/>
      <c r="OU214" s="2"/>
      <c r="OV214" s="2"/>
      <c r="OW214" s="2"/>
      <c r="OX214" s="2"/>
      <c r="OY214" s="2"/>
      <c r="OZ214" s="2"/>
      <c r="PA214" s="2"/>
      <c r="PB214" s="2"/>
      <c r="PC214" s="2"/>
      <c r="PD214" s="2"/>
      <c r="PE214" s="2"/>
      <c r="PF214" s="2"/>
      <c r="PG214" s="2"/>
      <c r="PH214" s="2"/>
      <c r="PI214" s="2"/>
      <c r="PJ214" s="2"/>
      <c r="PK214" s="2"/>
      <c r="PL214" s="2"/>
      <c r="PM214" s="2"/>
      <c r="PN214" s="2"/>
      <c r="PO214" s="2"/>
      <c r="PP214" s="2"/>
      <c r="PQ214" s="2"/>
      <c r="PR214" s="2"/>
      <c r="PS214" s="2"/>
      <c r="PT214" s="2"/>
      <c r="PU214" s="2"/>
      <c r="PV214" s="2"/>
      <c r="PW214" s="2"/>
      <c r="PX214" s="2"/>
      <c r="PY214" s="2"/>
      <c r="PZ214" s="2"/>
      <c r="QA214" s="2"/>
      <c r="QB214" s="2"/>
      <c r="QC214" s="2"/>
      <c r="QD214" s="2"/>
      <c r="QE214" s="2"/>
      <c r="QF214" s="2"/>
      <c r="QG214" s="2"/>
      <c r="QH214" s="2"/>
      <c r="QI214" s="2"/>
      <c r="QJ214" s="2"/>
      <c r="QK214" s="2"/>
      <c r="QL214" s="2"/>
      <c r="QM214" s="2"/>
      <c r="QN214" s="2"/>
      <c r="QO214" s="2"/>
      <c r="QP214" s="2"/>
      <c r="QQ214" s="2"/>
      <c r="QR214" s="2"/>
      <c r="QS214" s="2"/>
      <c r="QT214" s="2"/>
      <c r="QU214" s="2"/>
      <c r="QV214" s="2"/>
      <c r="QW214" s="2"/>
      <c r="QX214" s="2"/>
      <c r="QY214" s="2"/>
      <c r="QZ214" s="2"/>
      <c r="RA214" s="2"/>
      <c r="RB214" s="2"/>
      <c r="RC214" s="2"/>
      <c r="RD214" s="2"/>
      <c r="RE214" s="2"/>
      <c r="RF214" s="2"/>
      <c r="RG214" s="2"/>
      <c r="RH214" s="2"/>
      <c r="RI214" s="2"/>
      <c r="RJ214" s="2"/>
      <c r="RK214" s="2"/>
      <c r="RL214" s="2"/>
      <c r="RM214" s="2"/>
      <c r="RN214" s="2"/>
      <c r="RO214" s="2"/>
      <c r="RP214" s="2"/>
      <c r="RQ214" s="2"/>
      <c r="RR214" s="2"/>
      <c r="RS214" s="2"/>
      <c r="RT214" s="2"/>
      <c r="RU214" s="2"/>
      <c r="RV214" s="2"/>
      <c r="RW214" s="2"/>
      <c r="RX214" s="2"/>
      <c r="RY214" s="2"/>
      <c r="RZ214" s="2"/>
      <c r="SA214" s="2"/>
      <c r="SB214" s="2"/>
      <c r="SC214" s="2"/>
      <c r="SD214" s="2"/>
      <c r="SE214" s="2"/>
      <c r="SF214" s="2"/>
      <c r="SG214" s="2"/>
      <c r="SH214" s="2"/>
      <c r="SI214" s="2"/>
      <c r="SJ214" s="2"/>
      <c r="SK214" s="2"/>
      <c r="SL214" s="2"/>
      <c r="SM214" s="2"/>
      <c r="SN214" s="2"/>
      <c r="SO214" s="2"/>
      <c r="SP214" s="2"/>
      <c r="SQ214" s="2"/>
      <c r="SR214" s="2"/>
      <c r="SS214" s="2"/>
      <c r="ST214" s="2"/>
      <c r="SU214" s="2"/>
      <c r="SV214" s="2"/>
      <c r="SW214" s="2"/>
      <c r="SX214" s="2"/>
    </row>
    <row r="215" spans="33:518" x14ac:dyDescent="0.25"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  <c r="FK215" s="2"/>
      <c r="FL215" s="2"/>
      <c r="FM215" s="2"/>
      <c r="FN215" s="2"/>
      <c r="FO215" s="2"/>
      <c r="FP215" s="2"/>
      <c r="FQ215" s="2"/>
      <c r="FR215" s="2"/>
      <c r="FS215" s="2"/>
      <c r="FT215" s="2"/>
      <c r="FU215" s="2"/>
      <c r="FV215" s="2"/>
      <c r="FW215" s="2"/>
      <c r="FX215" s="2"/>
      <c r="FY215" s="2"/>
      <c r="FZ215" s="2"/>
      <c r="GA215" s="2"/>
      <c r="GB215" s="2"/>
      <c r="GC215" s="2"/>
      <c r="GD215" s="2"/>
      <c r="GE215" s="2"/>
      <c r="GF215" s="2"/>
      <c r="GG215" s="2"/>
      <c r="GH215" s="2"/>
      <c r="GI215" s="2"/>
      <c r="GJ215" s="2"/>
      <c r="GK215" s="2"/>
      <c r="GL215" s="2"/>
      <c r="GM215" s="2"/>
      <c r="GN215" s="2"/>
      <c r="GO215" s="2"/>
      <c r="GP215" s="2"/>
      <c r="GQ215" s="2"/>
      <c r="GR215" s="2"/>
      <c r="GS215" s="2"/>
      <c r="GT215" s="2"/>
      <c r="GU215" s="2"/>
      <c r="GV215" s="2"/>
      <c r="GW215" s="2"/>
      <c r="GX215" s="2"/>
      <c r="GY215" s="2"/>
      <c r="GZ215" s="2"/>
      <c r="HA215" s="2"/>
      <c r="HB215" s="2"/>
      <c r="HC215" s="2"/>
      <c r="HD215" s="2"/>
      <c r="HE215" s="2"/>
      <c r="HF215" s="2"/>
      <c r="HG215" s="2"/>
      <c r="HH215" s="2"/>
      <c r="HI215" s="2"/>
      <c r="HJ215" s="2"/>
      <c r="HK215" s="2"/>
      <c r="HL215" s="2"/>
      <c r="HM215" s="2"/>
      <c r="HN215" s="2"/>
      <c r="HO215" s="2"/>
      <c r="HP215" s="2"/>
      <c r="HQ215" s="2"/>
      <c r="HR215" s="2"/>
      <c r="HS215" s="2"/>
      <c r="HT215" s="2"/>
      <c r="HU215" s="2"/>
      <c r="HV215" s="2"/>
      <c r="HW215" s="2"/>
      <c r="HX215" s="2"/>
      <c r="HY215" s="2"/>
      <c r="HZ215" s="2"/>
      <c r="IA215" s="2"/>
      <c r="IB215" s="2"/>
      <c r="IC215" s="2"/>
      <c r="ID215" s="2"/>
      <c r="IE215" s="2"/>
      <c r="IF215" s="2"/>
      <c r="IG215" s="2"/>
      <c r="IH215" s="2"/>
      <c r="II215" s="2"/>
      <c r="IJ215" s="2"/>
      <c r="IK215" s="2"/>
      <c r="IL215" s="2"/>
      <c r="IM215" s="2"/>
      <c r="IN215" s="2"/>
      <c r="IO215" s="2"/>
      <c r="IP215" s="2"/>
      <c r="IQ215" s="2"/>
      <c r="IR215" s="2"/>
      <c r="IS215" s="2"/>
      <c r="IT215" s="2"/>
      <c r="IU215" s="2"/>
      <c r="IV215" s="2"/>
      <c r="IW215" s="2"/>
      <c r="IX215" s="2"/>
      <c r="IY215" s="2"/>
      <c r="IZ215" s="2"/>
      <c r="JA215" s="2"/>
      <c r="JB215" s="2"/>
      <c r="JC215" s="2"/>
      <c r="JD215" s="2"/>
      <c r="JE215" s="2"/>
      <c r="JF215" s="2"/>
      <c r="JG215" s="2"/>
      <c r="JH215" s="2"/>
      <c r="JI215" s="2"/>
      <c r="JJ215" s="2"/>
      <c r="JK215" s="2"/>
      <c r="JL215" s="2"/>
      <c r="JM215" s="2"/>
      <c r="JN215" s="2"/>
      <c r="JO215" s="2"/>
      <c r="JP215" s="2"/>
      <c r="JQ215" s="2"/>
      <c r="JR215" s="2"/>
      <c r="JS215" s="2"/>
      <c r="JT215" s="2"/>
      <c r="JU215" s="2"/>
      <c r="JV215" s="2"/>
      <c r="JW215" s="2"/>
      <c r="JX215" s="2"/>
      <c r="JY215" s="2"/>
      <c r="JZ215" s="2"/>
      <c r="KA215" s="2"/>
      <c r="KB215" s="2"/>
      <c r="KC215" s="2"/>
      <c r="KD215" s="2"/>
      <c r="KE215" s="2"/>
      <c r="KF215" s="2"/>
      <c r="KG215" s="2"/>
      <c r="KH215" s="2"/>
      <c r="KI215" s="2"/>
      <c r="KJ215" s="2"/>
      <c r="KK215" s="2"/>
      <c r="KL215" s="2"/>
      <c r="KM215" s="2"/>
      <c r="KN215" s="2"/>
      <c r="KO215" s="2"/>
      <c r="KP215" s="2"/>
      <c r="KQ215" s="2"/>
      <c r="KR215" s="2"/>
      <c r="KS215" s="2"/>
      <c r="KT215" s="2"/>
      <c r="KU215" s="2"/>
      <c r="KV215" s="2"/>
      <c r="KW215" s="2"/>
      <c r="KX215" s="2"/>
      <c r="KY215" s="2"/>
      <c r="KZ215" s="2"/>
      <c r="LA215" s="2"/>
      <c r="LB215" s="2"/>
      <c r="LC215" s="2"/>
      <c r="LD215" s="2"/>
      <c r="LE215" s="2"/>
      <c r="LF215" s="2"/>
      <c r="LG215" s="2"/>
      <c r="LH215" s="2"/>
      <c r="LI215" s="2"/>
      <c r="LJ215" s="2"/>
      <c r="LK215" s="2"/>
      <c r="LL215" s="2"/>
      <c r="LM215" s="2"/>
      <c r="LN215" s="2"/>
      <c r="LO215" s="2"/>
      <c r="LP215" s="2"/>
      <c r="LQ215" s="2"/>
      <c r="LR215" s="2"/>
      <c r="LS215" s="2"/>
      <c r="LT215" s="2"/>
      <c r="LU215" s="2"/>
      <c r="LV215" s="2"/>
      <c r="LW215" s="2"/>
      <c r="LX215" s="2"/>
      <c r="LY215" s="2"/>
      <c r="LZ215" s="2"/>
      <c r="MA215" s="2"/>
      <c r="MB215" s="2"/>
      <c r="MC215" s="2"/>
      <c r="MD215" s="2"/>
      <c r="ME215" s="2"/>
      <c r="MF215" s="2"/>
      <c r="MG215" s="2"/>
      <c r="MH215" s="2"/>
      <c r="MI215" s="2"/>
      <c r="MJ215" s="2"/>
      <c r="MK215" s="2"/>
      <c r="ML215" s="2"/>
      <c r="MM215" s="2"/>
      <c r="MN215" s="2"/>
      <c r="MO215" s="2"/>
      <c r="MP215" s="2"/>
      <c r="MQ215" s="2"/>
      <c r="MR215" s="2"/>
      <c r="MS215" s="2"/>
      <c r="MT215" s="2"/>
      <c r="MU215" s="2"/>
      <c r="MV215" s="2"/>
      <c r="MW215" s="2"/>
      <c r="MX215" s="2"/>
      <c r="MY215" s="2"/>
      <c r="MZ215" s="2"/>
      <c r="NA215" s="2"/>
      <c r="NB215" s="2"/>
      <c r="NC215" s="2"/>
      <c r="ND215" s="2"/>
      <c r="NE215" s="2"/>
      <c r="NF215" s="2"/>
      <c r="NG215" s="2"/>
      <c r="NH215" s="2"/>
      <c r="NI215" s="2"/>
      <c r="NJ215" s="2"/>
      <c r="NK215" s="2"/>
      <c r="NL215" s="2"/>
      <c r="NM215" s="2"/>
      <c r="NN215" s="2"/>
      <c r="NO215" s="2"/>
      <c r="NP215" s="2"/>
      <c r="NQ215" s="2"/>
      <c r="NR215" s="2"/>
      <c r="NS215" s="2"/>
      <c r="NT215" s="2"/>
      <c r="NU215" s="2"/>
      <c r="NV215" s="2"/>
      <c r="NW215" s="2"/>
      <c r="NX215" s="2"/>
      <c r="NY215" s="2"/>
      <c r="NZ215" s="2"/>
      <c r="OA215" s="2"/>
      <c r="OB215" s="2"/>
      <c r="OC215" s="2"/>
      <c r="OD215" s="2"/>
      <c r="OE215" s="2"/>
      <c r="OF215" s="2"/>
      <c r="OG215" s="2"/>
      <c r="OH215" s="2"/>
      <c r="OI215" s="2"/>
      <c r="OJ215" s="2"/>
      <c r="OK215" s="2"/>
      <c r="OL215" s="2"/>
      <c r="OM215" s="2"/>
      <c r="ON215" s="2"/>
      <c r="OO215" s="2"/>
      <c r="OP215" s="2"/>
      <c r="OQ215" s="2"/>
      <c r="OR215" s="2"/>
      <c r="OS215" s="2"/>
      <c r="OT215" s="2"/>
      <c r="OU215" s="2"/>
      <c r="OV215" s="2"/>
      <c r="OW215" s="2"/>
      <c r="OX215" s="2"/>
      <c r="OY215" s="2"/>
      <c r="OZ215" s="2"/>
      <c r="PA215" s="2"/>
      <c r="PB215" s="2"/>
      <c r="PC215" s="2"/>
      <c r="PD215" s="2"/>
      <c r="PE215" s="2"/>
      <c r="PF215" s="2"/>
      <c r="PG215" s="2"/>
      <c r="PH215" s="2"/>
      <c r="PI215" s="2"/>
      <c r="PJ215" s="2"/>
      <c r="PK215" s="2"/>
      <c r="PL215" s="2"/>
      <c r="PM215" s="2"/>
      <c r="PN215" s="2"/>
      <c r="PO215" s="2"/>
      <c r="PP215" s="2"/>
      <c r="PQ215" s="2"/>
      <c r="PR215" s="2"/>
      <c r="PS215" s="2"/>
      <c r="PT215" s="2"/>
      <c r="PU215" s="2"/>
      <c r="PV215" s="2"/>
      <c r="PW215" s="2"/>
      <c r="PX215" s="2"/>
      <c r="PY215" s="2"/>
      <c r="PZ215" s="2"/>
      <c r="QA215" s="2"/>
      <c r="QB215" s="2"/>
      <c r="QC215" s="2"/>
      <c r="QD215" s="2"/>
      <c r="QE215" s="2"/>
      <c r="QF215" s="2"/>
      <c r="QG215" s="2"/>
      <c r="QH215" s="2"/>
      <c r="QI215" s="2"/>
      <c r="QJ215" s="2"/>
      <c r="QK215" s="2"/>
      <c r="QL215" s="2"/>
      <c r="QM215" s="2"/>
      <c r="QN215" s="2"/>
      <c r="QO215" s="2"/>
      <c r="QP215" s="2"/>
      <c r="QQ215" s="2"/>
      <c r="QR215" s="2"/>
      <c r="QS215" s="2"/>
      <c r="QT215" s="2"/>
      <c r="QU215" s="2"/>
      <c r="QV215" s="2"/>
      <c r="QW215" s="2"/>
      <c r="QX215" s="2"/>
      <c r="QY215" s="2"/>
      <c r="QZ215" s="2"/>
      <c r="RA215" s="2"/>
      <c r="RB215" s="2"/>
      <c r="RC215" s="2"/>
      <c r="RD215" s="2"/>
      <c r="RE215" s="2"/>
      <c r="RF215" s="2"/>
      <c r="RG215" s="2"/>
      <c r="RH215" s="2"/>
      <c r="RI215" s="2"/>
      <c r="RJ215" s="2"/>
      <c r="RK215" s="2"/>
      <c r="RL215" s="2"/>
      <c r="RM215" s="2"/>
      <c r="RN215" s="2"/>
      <c r="RO215" s="2"/>
      <c r="RP215" s="2"/>
      <c r="RQ215" s="2"/>
      <c r="RR215" s="2"/>
      <c r="RS215" s="2"/>
      <c r="RT215" s="2"/>
      <c r="RU215" s="2"/>
      <c r="RV215" s="2"/>
      <c r="RW215" s="2"/>
      <c r="RX215" s="2"/>
      <c r="RY215" s="2"/>
      <c r="RZ215" s="2"/>
      <c r="SA215" s="2"/>
      <c r="SB215" s="2"/>
      <c r="SC215" s="2"/>
      <c r="SD215" s="2"/>
      <c r="SE215" s="2"/>
      <c r="SF215" s="2"/>
      <c r="SG215" s="2"/>
      <c r="SH215" s="2"/>
      <c r="SI215" s="2"/>
      <c r="SJ215" s="2"/>
      <c r="SK215" s="2"/>
      <c r="SL215" s="2"/>
      <c r="SM215" s="2"/>
      <c r="SN215" s="2"/>
      <c r="SO215" s="2"/>
      <c r="SP215" s="2"/>
      <c r="SQ215" s="2"/>
      <c r="SR215" s="2"/>
      <c r="SS215" s="2"/>
      <c r="ST215" s="2"/>
      <c r="SU215" s="2"/>
      <c r="SV215" s="2"/>
      <c r="SW215" s="2"/>
      <c r="SX215" s="2"/>
    </row>
    <row r="216" spans="33:518" x14ac:dyDescent="0.25"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  <c r="FK216" s="2"/>
      <c r="FL216" s="2"/>
      <c r="FM216" s="2"/>
      <c r="FN216" s="2"/>
      <c r="FO216" s="2"/>
      <c r="FP216" s="2"/>
      <c r="FQ216" s="2"/>
      <c r="FR216" s="2"/>
      <c r="FS216" s="2"/>
      <c r="FT216" s="2"/>
      <c r="FU216" s="2"/>
      <c r="FV216" s="2"/>
      <c r="FW216" s="2"/>
      <c r="FX216" s="2"/>
      <c r="FY216" s="2"/>
      <c r="FZ216" s="2"/>
      <c r="GA216" s="2"/>
      <c r="GB216" s="2"/>
      <c r="GC216" s="2"/>
      <c r="GD216" s="2"/>
      <c r="GE216" s="2"/>
      <c r="GF216" s="2"/>
      <c r="GG216" s="2"/>
      <c r="GH216" s="2"/>
      <c r="GI216" s="2"/>
      <c r="GJ216" s="2"/>
      <c r="GK216" s="2"/>
      <c r="GL216" s="2"/>
      <c r="GM216" s="2"/>
      <c r="GN216" s="2"/>
      <c r="GO216" s="2"/>
      <c r="GP216" s="2"/>
      <c r="GQ216" s="2"/>
      <c r="GR216" s="2"/>
      <c r="GS216" s="2"/>
      <c r="GT216" s="2"/>
      <c r="GU216" s="2"/>
      <c r="GV216" s="2"/>
      <c r="GW216" s="2"/>
      <c r="GX216" s="2"/>
      <c r="GY216" s="2"/>
      <c r="GZ216" s="2"/>
      <c r="HA216" s="2"/>
      <c r="HB216" s="2"/>
      <c r="HC216" s="2"/>
      <c r="HD216" s="2"/>
      <c r="HE216" s="2"/>
      <c r="HF216" s="2"/>
      <c r="HG216" s="2"/>
      <c r="HH216" s="2"/>
      <c r="HI216" s="2"/>
      <c r="HJ216" s="2"/>
      <c r="HK216" s="2"/>
      <c r="HL216" s="2"/>
      <c r="HM216" s="2"/>
      <c r="HN216" s="2"/>
      <c r="HO216" s="2"/>
      <c r="HP216" s="2"/>
      <c r="HQ216" s="2"/>
      <c r="HR216" s="2"/>
      <c r="HS216" s="2"/>
      <c r="HT216" s="2"/>
      <c r="HU216" s="2"/>
      <c r="HV216" s="2"/>
      <c r="HW216" s="2"/>
      <c r="HX216" s="2"/>
      <c r="HY216" s="2"/>
      <c r="HZ216" s="2"/>
      <c r="IA216" s="2"/>
      <c r="IB216" s="2"/>
      <c r="IC216" s="2"/>
      <c r="ID216" s="2"/>
      <c r="IE216" s="2"/>
      <c r="IF216" s="2"/>
      <c r="IG216" s="2"/>
      <c r="IH216" s="2"/>
      <c r="II216" s="2"/>
      <c r="IJ216" s="2"/>
      <c r="IK216" s="2"/>
      <c r="IL216" s="2"/>
      <c r="IM216" s="2"/>
      <c r="IN216" s="2"/>
      <c r="IO216" s="2"/>
      <c r="IP216" s="2"/>
      <c r="IQ216" s="2"/>
      <c r="IR216" s="2"/>
      <c r="IS216" s="2"/>
      <c r="IT216" s="2"/>
      <c r="IU216" s="2"/>
      <c r="IV216" s="2"/>
      <c r="IW216" s="2"/>
      <c r="IX216" s="2"/>
      <c r="IY216" s="2"/>
      <c r="IZ216" s="2"/>
      <c r="JA216" s="2"/>
      <c r="JB216" s="2"/>
      <c r="JC216" s="2"/>
      <c r="JD216" s="2"/>
      <c r="JE216" s="2"/>
      <c r="JF216" s="2"/>
      <c r="JG216" s="2"/>
      <c r="JH216" s="2"/>
      <c r="JI216" s="2"/>
      <c r="JJ216" s="2"/>
      <c r="JK216" s="2"/>
      <c r="JL216" s="2"/>
      <c r="JM216" s="2"/>
      <c r="JN216" s="2"/>
      <c r="JO216" s="2"/>
      <c r="JP216" s="2"/>
      <c r="JQ216" s="2"/>
      <c r="JR216" s="2"/>
      <c r="JS216" s="2"/>
      <c r="JT216" s="2"/>
      <c r="JU216" s="2"/>
      <c r="JV216" s="2"/>
      <c r="JW216" s="2"/>
      <c r="JX216" s="2"/>
      <c r="JY216" s="2"/>
      <c r="JZ216" s="2"/>
      <c r="KA216" s="2"/>
      <c r="KB216" s="2"/>
      <c r="KC216" s="2"/>
      <c r="KD216" s="2"/>
      <c r="KE216" s="2"/>
      <c r="KF216" s="2"/>
      <c r="KG216" s="2"/>
      <c r="KH216" s="2"/>
      <c r="KI216" s="2"/>
      <c r="KJ216" s="2"/>
      <c r="KK216" s="2"/>
      <c r="KL216" s="2"/>
      <c r="KM216" s="2"/>
      <c r="KN216" s="2"/>
      <c r="KO216" s="2"/>
      <c r="KP216" s="2"/>
      <c r="KQ216" s="2"/>
      <c r="KR216" s="2"/>
      <c r="KS216" s="2"/>
      <c r="KT216" s="2"/>
      <c r="KU216" s="2"/>
      <c r="KV216" s="2"/>
      <c r="KW216" s="2"/>
      <c r="KX216" s="2"/>
      <c r="KY216" s="2"/>
      <c r="KZ216" s="2"/>
      <c r="LA216" s="2"/>
      <c r="LB216" s="2"/>
      <c r="LC216" s="2"/>
      <c r="LD216" s="2"/>
      <c r="LE216" s="2"/>
      <c r="LF216" s="2"/>
      <c r="LG216" s="2"/>
      <c r="LH216" s="2"/>
      <c r="LI216" s="2"/>
      <c r="LJ216" s="2"/>
      <c r="LK216" s="2"/>
      <c r="LL216" s="2"/>
      <c r="LM216" s="2"/>
      <c r="LN216" s="2"/>
      <c r="LO216" s="2"/>
      <c r="LP216" s="2"/>
      <c r="LQ216" s="2"/>
      <c r="LR216" s="2"/>
      <c r="LS216" s="2"/>
      <c r="LT216" s="2"/>
      <c r="LU216" s="2"/>
      <c r="LV216" s="2"/>
      <c r="LW216" s="2"/>
      <c r="LX216" s="2"/>
      <c r="LY216" s="2"/>
      <c r="LZ216" s="2"/>
      <c r="MA216" s="2"/>
      <c r="MB216" s="2"/>
      <c r="MC216" s="2"/>
      <c r="MD216" s="2"/>
      <c r="ME216" s="2"/>
      <c r="MF216" s="2"/>
      <c r="MG216" s="2"/>
      <c r="MH216" s="2"/>
      <c r="MI216" s="2"/>
      <c r="MJ216" s="2"/>
      <c r="MK216" s="2"/>
      <c r="ML216" s="2"/>
      <c r="MM216" s="2"/>
      <c r="MN216" s="2"/>
      <c r="MO216" s="2"/>
      <c r="MP216" s="2"/>
      <c r="MQ216" s="2"/>
      <c r="MR216" s="2"/>
      <c r="MS216" s="2"/>
      <c r="MT216" s="2"/>
      <c r="MU216" s="2"/>
      <c r="MV216" s="2"/>
      <c r="MW216" s="2"/>
      <c r="MX216" s="2"/>
      <c r="MY216" s="2"/>
      <c r="MZ216" s="2"/>
      <c r="NA216" s="2"/>
      <c r="NB216" s="2"/>
      <c r="NC216" s="2"/>
      <c r="ND216" s="2"/>
      <c r="NE216" s="2"/>
      <c r="NF216" s="2"/>
      <c r="NG216" s="2"/>
      <c r="NH216" s="2"/>
      <c r="NI216" s="2"/>
      <c r="NJ216" s="2"/>
      <c r="NK216" s="2"/>
      <c r="NL216" s="2"/>
      <c r="NM216" s="2"/>
      <c r="NN216" s="2"/>
      <c r="NO216" s="2"/>
      <c r="NP216" s="2"/>
      <c r="NQ216" s="2"/>
      <c r="NR216" s="2"/>
      <c r="NS216" s="2"/>
      <c r="NT216" s="2"/>
      <c r="NU216" s="2"/>
      <c r="NV216" s="2"/>
      <c r="NW216" s="2"/>
      <c r="NX216" s="2"/>
      <c r="NY216" s="2"/>
      <c r="NZ216" s="2"/>
      <c r="OA216" s="2"/>
      <c r="OB216" s="2"/>
      <c r="OC216" s="2"/>
      <c r="OD216" s="2"/>
      <c r="OE216" s="2"/>
      <c r="OF216" s="2"/>
      <c r="OG216" s="2"/>
      <c r="OH216" s="2"/>
      <c r="OI216" s="2"/>
      <c r="OJ216" s="2"/>
      <c r="OK216" s="2"/>
      <c r="OL216" s="2"/>
      <c r="OM216" s="2"/>
      <c r="ON216" s="2"/>
      <c r="OO216" s="2"/>
      <c r="OP216" s="2"/>
      <c r="OQ216" s="2"/>
      <c r="OR216" s="2"/>
      <c r="OS216" s="2"/>
      <c r="OT216" s="2"/>
      <c r="OU216" s="2"/>
      <c r="OV216" s="2"/>
      <c r="OW216" s="2"/>
      <c r="OX216" s="2"/>
      <c r="OY216" s="2"/>
      <c r="OZ216" s="2"/>
      <c r="PA216" s="2"/>
      <c r="PB216" s="2"/>
      <c r="PC216" s="2"/>
      <c r="PD216" s="2"/>
      <c r="PE216" s="2"/>
      <c r="PF216" s="2"/>
      <c r="PG216" s="2"/>
      <c r="PH216" s="2"/>
      <c r="PI216" s="2"/>
      <c r="PJ216" s="2"/>
      <c r="PK216" s="2"/>
      <c r="PL216" s="2"/>
      <c r="PM216" s="2"/>
      <c r="PN216" s="2"/>
      <c r="PO216" s="2"/>
      <c r="PP216" s="2"/>
      <c r="PQ216" s="2"/>
      <c r="PR216" s="2"/>
      <c r="PS216" s="2"/>
      <c r="PT216" s="2"/>
      <c r="PU216" s="2"/>
      <c r="PV216" s="2"/>
      <c r="PW216" s="2"/>
      <c r="PX216" s="2"/>
      <c r="PY216" s="2"/>
      <c r="PZ216" s="2"/>
      <c r="QA216" s="2"/>
      <c r="QB216" s="2"/>
      <c r="QC216" s="2"/>
      <c r="QD216" s="2"/>
      <c r="QE216" s="2"/>
      <c r="QF216" s="2"/>
      <c r="QG216" s="2"/>
      <c r="QH216" s="2"/>
      <c r="QI216" s="2"/>
      <c r="QJ216" s="2"/>
      <c r="QK216" s="2"/>
      <c r="QL216" s="2"/>
      <c r="QM216" s="2"/>
      <c r="QN216" s="2"/>
      <c r="QO216" s="2"/>
      <c r="QP216" s="2"/>
      <c r="QQ216" s="2"/>
      <c r="QR216" s="2"/>
      <c r="QS216" s="2"/>
      <c r="QT216" s="2"/>
      <c r="QU216" s="2"/>
      <c r="QV216" s="2"/>
      <c r="QW216" s="2"/>
      <c r="QX216" s="2"/>
      <c r="QY216" s="2"/>
      <c r="QZ216" s="2"/>
      <c r="RA216" s="2"/>
      <c r="RB216" s="2"/>
      <c r="RC216" s="2"/>
      <c r="RD216" s="2"/>
      <c r="RE216" s="2"/>
      <c r="RF216" s="2"/>
      <c r="RG216" s="2"/>
      <c r="RH216" s="2"/>
      <c r="RI216" s="2"/>
      <c r="RJ216" s="2"/>
      <c r="RK216" s="2"/>
      <c r="RL216" s="2"/>
      <c r="RM216" s="2"/>
      <c r="RN216" s="2"/>
      <c r="RO216" s="2"/>
      <c r="RP216" s="2"/>
      <c r="RQ216" s="2"/>
      <c r="RR216" s="2"/>
      <c r="RS216" s="2"/>
      <c r="RT216" s="2"/>
      <c r="RU216" s="2"/>
      <c r="RV216" s="2"/>
      <c r="RW216" s="2"/>
      <c r="RX216" s="2"/>
      <c r="RY216" s="2"/>
      <c r="RZ216" s="2"/>
      <c r="SA216" s="2"/>
      <c r="SB216" s="2"/>
      <c r="SC216" s="2"/>
      <c r="SD216" s="2"/>
      <c r="SE216" s="2"/>
      <c r="SF216" s="2"/>
      <c r="SG216" s="2"/>
      <c r="SH216" s="2"/>
      <c r="SI216" s="2"/>
      <c r="SJ216" s="2"/>
      <c r="SK216" s="2"/>
      <c r="SL216" s="2"/>
      <c r="SM216" s="2"/>
      <c r="SN216" s="2"/>
      <c r="SO216" s="2"/>
      <c r="SP216" s="2"/>
      <c r="SQ216" s="2"/>
      <c r="SR216" s="2"/>
      <c r="SS216" s="2"/>
      <c r="ST216" s="2"/>
      <c r="SU216" s="2"/>
      <c r="SV216" s="2"/>
      <c r="SW216" s="2"/>
      <c r="SX216" s="2"/>
    </row>
    <row r="217" spans="33:518" x14ac:dyDescent="0.25"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  <c r="FK217" s="2"/>
      <c r="FL217" s="2"/>
      <c r="FM217" s="2"/>
      <c r="FN217" s="2"/>
      <c r="FO217" s="2"/>
      <c r="FP217" s="2"/>
      <c r="FQ217" s="2"/>
      <c r="FR217" s="2"/>
      <c r="FS217" s="2"/>
      <c r="FT217" s="2"/>
      <c r="FU217" s="2"/>
      <c r="FV217" s="2"/>
      <c r="FW217" s="2"/>
      <c r="FX217" s="2"/>
      <c r="FY217" s="2"/>
      <c r="FZ217" s="2"/>
      <c r="GA217" s="2"/>
      <c r="GB217" s="2"/>
      <c r="GC217" s="2"/>
      <c r="GD217" s="2"/>
      <c r="GE217" s="2"/>
      <c r="GF217" s="2"/>
      <c r="GG217" s="2"/>
      <c r="GH217" s="2"/>
      <c r="GI217" s="2"/>
      <c r="GJ217" s="2"/>
      <c r="GK217" s="2"/>
      <c r="GL217" s="2"/>
      <c r="GM217" s="2"/>
      <c r="GN217" s="2"/>
      <c r="GO217" s="2"/>
      <c r="GP217" s="2"/>
      <c r="GQ217" s="2"/>
      <c r="GR217" s="2"/>
      <c r="GS217" s="2"/>
      <c r="GT217" s="2"/>
      <c r="GU217" s="2"/>
      <c r="GV217" s="2"/>
      <c r="GW217" s="2"/>
      <c r="GX217" s="2"/>
      <c r="GY217" s="2"/>
      <c r="GZ217" s="2"/>
      <c r="HA217" s="2"/>
      <c r="HB217" s="2"/>
      <c r="HC217" s="2"/>
      <c r="HD217" s="2"/>
      <c r="HE217" s="2"/>
      <c r="HF217" s="2"/>
      <c r="HG217" s="2"/>
      <c r="HH217" s="2"/>
      <c r="HI217" s="2"/>
      <c r="HJ217" s="2"/>
      <c r="HK217" s="2"/>
      <c r="HL217" s="2"/>
      <c r="HM217" s="2"/>
      <c r="HN217" s="2"/>
      <c r="HO217" s="2"/>
      <c r="HP217" s="2"/>
      <c r="HQ217" s="2"/>
      <c r="HR217" s="2"/>
      <c r="HS217" s="2"/>
      <c r="HT217" s="2"/>
      <c r="HU217" s="2"/>
      <c r="HV217" s="2"/>
      <c r="HW217" s="2"/>
      <c r="HX217" s="2"/>
      <c r="HY217" s="2"/>
      <c r="HZ217" s="2"/>
      <c r="IA217" s="2"/>
      <c r="IB217" s="2"/>
      <c r="IC217" s="2"/>
      <c r="ID217" s="2"/>
      <c r="IE217" s="2"/>
      <c r="IF217" s="2"/>
      <c r="IG217" s="2"/>
      <c r="IH217" s="2"/>
      <c r="II217" s="2"/>
      <c r="IJ217" s="2"/>
      <c r="IK217" s="2"/>
      <c r="IL217" s="2"/>
      <c r="IM217" s="2"/>
      <c r="IN217" s="2"/>
      <c r="IO217" s="2"/>
      <c r="IP217" s="2"/>
      <c r="IQ217" s="2"/>
      <c r="IR217" s="2"/>
      <c r="IS217" s="2"/>
      <c r="IT217" s="2"/>
      <c r="IU217" s="2"/>
      <c r="IV217" s="2"/>
      <c r="IW217" s="2"/>
      <c r="IX217" s="2"/>
      <c r="IY217" s="2"/>
      <c r="IZ217" s="2"/>
      <c r="JA217" s="2"/>
      <c r="JB217" s="2"/>
      <c r="JC217" s="2"/>
      <c r="JD217" s="2"/>
      <c r="JE217" s="2"/>
      <c r="JF217" s="2"/>
      <c r="JG217" s="2"/>
      <c r="JH217" s="2"/>
      <c r="JI217" s="2"/>
      <c r="JJ217" s="2"/>
      <c r="JK217" s="2"/>
      <c r="JL217" s="2"/>
      <c r="JM217" s="2"/>
      <c r="JN217" s="2"/>
      <c r="JO217" s="2"/>
      <c r="JP217" s="2"/>
      <c r="JQ217" s="2"/>
      <c r="JR217" s="2"/>
      <c r="JS217" s="2"/>
      <c r="JT217" s="2"/>
      <c r="JU217" s="2"/>
      <c r="JV217" s="2"/>
      <c r="JW217" s="2"/>
      <c r="JX217" s="2"/>
      <c r="JY217" s="2"/>
      <c r="JZ217" s="2"/>
      <c r="KA217" s="2"/>
      <c r="KB217" s="2"/>
      <c r="KC217" s="2"/>
      <c r="KD217" s="2"/>
      <c r="KE217" s="2"/>
      <c r="KF217" s="2"/>
      <c r="KG217" s="2"/>
      <c r="KH217" s="2"/>
      <c r="KI217" s="2"/>
      <c r="KJ217" s="2"/>
      <c r="KK217" s="2"/>
      <c r="KL217" s="2"/>
      <c r="KM217" s="2"/>
      <c r="KN217" s="2"/>
      <c r="KO217" s="2"/>
      <c r="KP217" s="2"/>
      <c r="KQ217" s="2"/>
      <c r="KR217" s="2"/>
      <c r="KS217" s="2"/>
      <c r="KT217" s="2"/>
      <c r="KU217" s="2"/>
      <c r="KV217" s="2"/>
      <c r="KW217" s="2"/>
      <c r="KX217" s="2"/>
      <c r="KY217" s="2"/>
      <c r="KZ217" s="2"/>
      <c r="LA217" s="2"/>
      <c r="LB217" s="2"/>
      <c r="LC217" s="2"/>
      <c r="LD217" s="2"/>
      <c r="LE217" s="2"/>
      <c r="LF217" s="2"/>
      <c r="LG217" s="2"/>
      <c r="LH217" s="2"/>
      <c r="LI217" s="2"/>
      <c r="LJ217" s="2"/>
      <c r="LK217" s="2"/>
      <c r="LL217" s="2"/>
      <c r="LM217" s="2"/>
      <c r="LN217" s="2"/>
      <c r="LO217" s="2"/>
      <c r="LP217" s="2"/>
      <c r="LQ217" s="2"/>
      <c r="LR217" s="2"/>
      <c r="LS217" s="2"/>
      <c r="LT217" s="2"/>
      <c r="LU217" s="2"/>
      <c r="LV217" s="2"/>
      <c r="LW217" s="2"/>
      <c r="LX217" s="2"/>
      <c r="LY217" s="2"/>
      <c r="LZ217" s="2"/>
      <c r="MA217" s="2"/>
      <c r="MB217" s="2"/>
      <c r="MC217" s="2"/>
      <c r="MD217" s="2"/>
      <c r="ME217" s="2"/>
      <c r="MF217" s="2"/>
      <c r="MG217" s="2"/>
      <c r="MH217" s="2"/>
      <c r="MI217" s="2"/>
      <c r="MJ217" s="2"/>
      <c r="MK217" s="2"/>
      <c r="ML217" s="2"/>
      <c r="MM217" s="2"/>
      <c r="MN217" s="2"/>
      <c r="MO217" s="2"/>
      <c r="MP217" s="2"/>
      <c r="MQ217" s="2"/>
      <c r="MR217" s="2"/>
      <c r="MS217" s="2"/>
      <c r="MT217" s="2"/>
      <c r="MU217" s="2"/>
      <c r="MV217" s="2"/>
      <c r="MW217" s="2"/>
      <c r="MX217" s="2"/>
      <c r="MY217" s="2"/>
      <c r="MZ217" s="2"/>
      <c r="NA217" s="2"/>
      <c r="NB217" s="2"/>
      <c r="NC217" s="2"/>
      <c r="ND217" s="2"/>
      <c r="NE217" s="2"/>
      <c r="NF217" s="2"/>
      <c r="NG217" s="2"/>
      <c r="NH217" s="2"/>
      <c r="NI217" s="2"/>
      <c r="NJ217" s="2"/>
      <c r="NK217" s="2"/>
      <c r="NL217" s="2"/>
      <c r="NM217" s="2"/>
      <c r="NN217" s="2"/>
      <c r="NO217" s="2"/>
      <c r="NP217" s="2"/>
      <c r="NQ217" s="2"/>
      <c r="NR217" s="2"/>
      <c r="NS217" s="2"/>
      <c r="NT217" s="2"/>
      <c r="NU217" s="2"/>
      <c r="NV217" s="2"/>
      <c r="NW217" s="2"/>
      <c r="NX217" s="2"/>
      <c r="NY217" s="2"/>
      <c r="NZ217" s="2"/>
      <c r="OA217" s="2"/>
      <c r="OB217" s="2"/>
      <c r="OC217" s="2"/>
      <c r="OD217" s="2"/>
      <c r="OE217" s="2"/>
      <c r="OF217" s="2"/>
      <c r="OG217" s="2"/>
      <c r="OH217" s="2"/>
      <c r="OI217" s="2"/>
      <c r="OJ217" s="2"/>
      <c r="OK217" s="2"/>
      <c r="OL217" s="2"/>
      <c r="OM217" s="2"/>
      <c r="ON217" s="2"/>
      <c r="OO217" s="2"/>
      <c r="OP217" s="2"/>
      <c r="OQ217" s="2"/>
      <c r="OR217" s="2"/>
      <c r="OS217" s="2"/>
      <c r="OT217" s="2"/>
      <c r="OU217" s="2"/>
      <c r="OV217" s="2"/>
      <c r="OW217" s="2"/>
      <c r="OX217" s="2"/>
      <c r="OY217" s="2"/>
      <c r="OZ217" s="2"/>
      <c r="PA217" s="2"/>
      <c r="PB217" s="2"/>
      <c r="PC217" s="2"/>
      <c r="PD217" s="2"/>
      <c r="PE217" s="2"/>
      <c r="PF217" s="2"/>
      <c r="PG217" s="2"/>
      <c r="PH217" s="2"/>
      <c r="PI217" s="2"/>
      <c r="PJ217" s="2"/>
      <c r="PK217" s="2"/>
      <c r="PL217" s="2"/>
      <c r="PM217" s="2"/>
      <c r="PN217" s="2"/>
      <c r="PO217" s="2"/>
      <c r="PP217" s="2"/>
      <c r="PQ217" s="2"/>
      <c r="PR217" s="2"/>
      <c r="PS217" s="2"/>
      <c r="PT217" s="2"/>
      <c r="PU217" s="2"/>
      <c r="PV217" s="2"/>
      <c r="PW217" s="2"/>
      <c r="PX217" s="2"/>
      <c r="PY217" s="2"/>
      <c r="PZ217" s="2"/>
      <c r="QA217" s="2"/>
      <c r="QB217" s="2"/>
      <c r="QC217" s="2"/>
      <c r="QD217" s="2"/>
      <c r="QE217" s="2"/>
      <c r="QF217" s="2"/>
      <c r="QG217" s="2"/>
      <c r="QH217" s="2"/>
      <c r="QI217" s="2"/>
      <c r="QJ217" s="2"/>
      <c r="QK217" s="2"/>
      <c r="QL217" s="2"/>
      <c r="QM217" s="2"/>
      <c r="QN217" s="2"/>
      <c r="QO217" s="2"/>
      <c r="QP217" s="2"/>
      <c r="QQ217" s="2"/>
      <c r="QR217" s="2"/>
      <c r="QS217" s="2"/>
      <c r="QT217" s="2"/>
      <c r="QU217" s="2"/>
      <c r="QV217" s="2"/>
      <c r="QW217" s="2"/>
      <c r="QX217" s="2"/>
      <c r="QY217" s="2"/>
      <c r="QZ217" s="2"/>
      <c r="RA217" s="2"/>
      <c r="RB217" s="2"/>
      <c r="RC217" s="2"/>
      <c r="RD217" s="2"/>
      <c r="RE217" s="2"/>
      <c r="RF217" s="2"/>
      <c r="RG217" s="2"/>
      <c r="RH217" s="2"/>
      <c r="RI217" s="2"/>
      <c r="RJ217" s="2"/>
      <c r="RK217" s="2"/>
      <c r="RL217" s="2"/>
      <c r="RM217" s="2"/>
      <c r="RN217" s="2"/>
      <c r="RO217" s="2"/>
      <c r="RP217" s="2"/>
      <c r="RQ217" s="2"/>
      <c r="RR217" s="2"/>
      <c r="RS217" s="2"/>
      <c r="RT217" s="2"/>
      <c r="RU217" s="2"/>
      <c r="RV217" s="2"/>
      <c r="RW217" s="2"/>
      <c r="RX217" s="2"/>
      <c r="RY217" s="2"/>
      <c r="RZ217" s="2"/>
      <c r="SA217" s="2"/>
      <c r="SB217" s="2"/>
      <c r="SC217" s="2"/>
      <c r="SD217" s="2"/>
      <c r="SE217" s="2"/>
      <c r="SF217" s="2"/>
      <c r="SG217" s="2"/>
      <c r="SH217" s="2"/>
      <c r="SI217" s="2"/>
      <c r="SJ217" s="2"/>
      <c r="SK217" s="2"/>
      <c r="SL217" s="2"/>
      <c r="SM217" s="2"/>
      <c r="SN217" s="2"/>
      <c r="SO217" s="2"/>
      <c r="SP217" s="2"/>
      <c r="SQ217" s="2"/>
      <c r="SR217" s="2"/>
      <c r="SS217" s="2"/>
      <c r="ST217" s="2"/>
      <c r="SU217" s="2"/>
      <c r="SV217" s="2"/>
      <c r="SW217" s="2"/>
      <c r="SX217" s="2"/>
    </row>
    <row r="218" spans="33:518" x14ac:dyDescent="0.25"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  <c r="FK218" s="2"/>
      <c r="FL218" s="2"/>
      <c r="FM218" s="2"/>
      <c r="FN218" s="2"/>
      <c r="FO218" s="2"/>
      <c r="FP218" s="2"/>
      <c r="FQ218" s="2"/>
      <c r="FR218" s="2"/>
      <c r="FS218" s="2"/>
      <c r="FT218" s="2"/>
      <c r="FU218" s="2"/>
      <c r="FV218" s="2"/>
      <c r="FW218" s="2"/>
      <c r="FX218" s="2"/>
      <c r="FY218" s="2"/>
      <c r="FZ218" s="2"/>
      <c r="GA218" s="2"/>
      <c r="GB218" s="2"/>
      <c r="GC218" s="2"/>
      <c r="GD218" s="2"/>
      <c r="GE218" s="2"/>
      <c r="GF218" s="2"/>
      <c r="GG218" s="2"/>
      <c r="GH218" s="2"/>
      <c r="GI218" s="2"/>
      <c r="GJ218" s="2"/>
      <c r="GK218" s="2"/>
      <c r="GL218" s="2"/>
      <c r="GM218" s="2"/>
      <c r="GN218" s="2"/>
      <c r="GO218" s="2"/>
      <c r="GP218" s="2"/>
      <c r="GQ218" s="2"/>
      <c r="GR218" s="2"/>
      <c r="GS218" s="2"/>
      <c r="GT218" s="2"/>
      <c r="GU218" s="2"/>
      <c r="GV218" s="2"/>
      <c r="GW218" s="2"/>
      <c r="GX218" s="2"/>
      <c r="GY218" s="2"/>
      <c r="GZ218" s="2"/>
      <c r="HA218" s="2"/>
      <c r="HB218" s="2"/>
      <c r="HC218" s="2"/>
      <c r="HD218" s="2"/>
      <c r="HE218" s="2"/>
      <c r="HF218" s="2"/>
      <c r="HG218" s="2"/>
      <c r="HH218" s="2"/>
      <c r="HI218" s="2"/>
      <c r="HJ218" s="2"/>
      <c r="HK218" s="2"/>
      <c r="HL218" s="2"/>
      <c r="HM218" s="2"/>
      <c r="HN218" s="2"/>
      <c r="HO218" s="2"/>
      <c r="HP218" s="2"/>
      <c r="HQ218" s="2"/>
      <c r="HR218" s="2"/>
      <c r="HS218" s="2"/>
      <c r="HT218" s="2"/>
      <c r="HU218" s="2"/>
      <c r="HV218" s="2"/>
      <c r="HW218" s="2"/>
      <c r="HX218" s="2"/>
      <c r="HY218" s="2"/>
      <c r="HZ218" s="2"/>
      <c r="IA218" s="2"/>
      <c r="IB218" s="2"/>
      <c r="IC218" s="2"/>
      <c r="ID218" s="2"/>
      <c r="IE218" s="2"/>
      <c r="IF218" s="2"/>
      <c r="IG218" s="2"/>
      <c r="IH218" s="2"/>
      <c r="II218" s="2"/>
      <c r="IJ218" s="2"/>
      <c r="IK218" s="2"/>
      <c r="IL218" s="2"/>
      <c r="IM218" s="2"/>
      <c r="IN218" s="2"/>
      <c r="IO218" s="2"/>
      <c r="IP218" s="2"/>
      <c r="IQ218" s="2"/>
      <c r="IR218" s="2"/>
      <c r="IS218" s="2"/>
      <c r="IT218" s="2"/>
      <c r="IU218" s="2"/>
      <c r="IV218" s="2"/>
      <c r="IW218" s="2"/>
      <c r="IX218" s="2"/>
      <c r="IY218" s="2"/>
      <c r="IZ218" s="2"/>
      <c r="JA218" s="2"/>
      <c r="JB218" s="2"/>
      <c r="JC218" s="2"/>
      <c r="JD218" s="2"/>
      <c r="JE218" s="2"/>
      <c r="JF218" s="2"/>
      <c r="JG218" s="2"/>
      <c r="JH218" s="2"/>
      <c r="JI218" s="2"/>
      <c r="JJ218" s="2"/>
      <c r="JK218" s="2"/>
      <c r="JL218" s="2"/>
      <c r="JM218" s="2"/>
      <c r="JN218" s="2"/>
      <c r="JO218" s="2"/>
      <c r="JP218" s="2"/>
      <c r="JQ218" s="2"/>
      <c r="JR218" s="2"/>
      <c r="JS218" s="2"/>
      <c r="JT218" s="2"/>
      <c r="JU218" s="2"/>
      <c r="JV218" s="2"/>
      <c r="JW218" s="2"/>
      <c r="JX218" s="2"/>
      <c r="JY218" s="2"/>
      <c r="JZ218" s="2"/>
      <c r="KA218" s="2"/>
      <c r="KB218" s="2"/>
      <c r="KC218" s="2"/>
      <c r="KD218" s="2"/>
      <c r="KE218" s="2"/>
      <c r="KF218" s="2"/>
      <c r="KG218" s="2"/>
      <c r="KH218" s="2"/>
      <c r="KI218" s="2"/>
      <c r="KJ218" s="2"/>
      <c r="KK218" s="2"/>
      <c r="KL218" s="2"/>
      <c r="KM218" s="2"/>
      <c r="KN218" s="2"/>
      <c r="KO218" s="2"/>
      <c r="KP218" s="2"/>
      <c r="KQ218" s="2"/>
      <c r="KR218" s="2"/>
      <c r="KS218" s="2"/>
      <c r="KT218" s="2"/>
      <c r="KU218" s="2"/>
      <c r="KV218" s="2"/>
      <c r="KW218" s="2"/>
      <c r="KX218" s="2"/>
      <c r="KY218" s="2"/>
      <c r="KZ218" s="2"/>
      <c r="LA218" s="2"/>
      <c r="LB218" s="2"/>
      <c r="LC218" s="2"/>
      <c r="LD218" s="2"/>
      <c r="LE218" s="2"/>
      <c r="LF218" s="2"/>
      <c r="LG218" s="2"/>
      <c r="LH218" s="2"/>
      <c r="LI218" s="2"/>
      <c r="LJ218" s="2"/>
      <c r="LK218" s="2"/>
      <c r="LL218" s="2"/>
      <c r="LM218" s="2"/>
      <c r="LN218" s="2"/>
      <c r="LO218" s="2"/>
      <c r="LP218" s="2"/>
      <c r="LQ218" s="2"/>
      <c r="LR218" s="2"/>
      <c r="LS218" s="2"/>
      <c r="LT218" s="2"/>
      <c r="LU218" s="2"/>
      <c r="LV218" s="2"/>
      <c r="LW218" s="2"/>
      <c r="LX218" s="2"/>
      <c r="LY218" s="2"/>
      <c r="LZ218" s="2"/>
      <c r="MA218" s="2"/>
      <c r="MB218" s="2"/>
      <c r="MC218" s="2"/>
      <c r="MD218" s="2"/>
      <c r="ME218" s="2"/>
      <c r="MF218" s="2"/>
      <c r="MG218" s="2"/>
      <c r="MH218" s="2"/>
      <c r="MI218" s="2"/>
      <c r="MJ218" s="2"/>
      <c r="MK218" s="2"/>
      <c r="ML218" s="2"/>
      <c r="MM218" s="2"/>
      <c r="MN218" s="2"/>
      <c r="MO218" s="2"/>
      <c r="MP218" s="2"/>
      <c r="MQ218" s="2"/>
      <c r="MR218" s="2"/>
      <c r="MS218" s="2"/>
      <c r="MT218" s="2"/>
      <c r="MU218" s="2"/>
      <c r="MV218" s="2"/>
      <c r="MW218" s="2"/>
      <c r="MX218" s="2"/>
      <c r="MY218" s="2"/>
      <c r="MZ218" s="2"/>
      <c r="NA218" s="2"/>
      <c r="NB218" s="2"/>
      <c r="NC218" s="2"/>
      <c r="ND218" s="2"/>
      <c r="NE218" s="2"/>
      <c r="NF218" s="2"/>
      <c r="NG218" s="2"/>
      <c r="NH218" s="2"/>
      <c r="NI218" s="2"/>
      <c r="NJ218" s="2"/>
      <c r="NK218" s="2"/>
      <c r="NL218" s="2"/>
      <c r="NM218" s="2"/>
      <c r="NN218" s="2"/>
      <c r="NO218" s="2"/>
      <c r="NP218" s="2"/>
      <c r="NQ218" s="2"/>
      <c r="NR218" s="2"/>
      <c r="NS218" s="2"/>
      <c r="NT218" s="2"/>
      <c r="NU218" s="2"/>
      <c r="NV218" s="2"/>
      <c r="NW218" s="2"/>
      <c r="NX218" s="2"/>
      <c r="NY218" s="2"/>
      <c r="NZ218" s="2"/>
      <c r="OA218" s="2"/>
      <c r="OB218" s="2"/>
      <c r="OC218" s="2"/>
      <c r="OD218" s="2"/>
      <c r="OE218" s="2"/>
      <c r="OF218" s="2"/>
      <c r="OG218" s="2"/>
      <c r="OH218" s="2"/>
      <c r="OI218" s="2"/>
      <c r="OJ218" s="2"/>
      <c r="OK218" s="2"/>
      <c r="OL218" s="2"/>
      <c r="OM218" s="2"/>
      <c r="ON218" s="2"/>
      <c r="OO218" s="2"/>
      <c r="OP218" s="2"/>
      <c r="OQ218" s="2"/>
      <c r="OR218" s="2"/>
      <c r="OS218" s="2"/>
      <c r="OT218" s="2"/>
      <c r="OU218" s="2"/>
      <c r="OV218" s="2"/>
      <c r="OW218" s="2"/>
      <c r="OX218" s="2"/>
      <c r="OY218" s="2"/>
      <c r="OZ218" s="2"/>
      <c r="PA218" s="2"/>
      <c r="PB218" s="2"/>
      <c r="PC218" s="2"/>
      <c r="PD218" s="2"/>
      <c r="PE218" s="2"/>
      <c r="PF218" s="2"/>
      <c r="PG218" s="2"/>
      <c r="PH218" s="2"/>
      <c r="PI218" s="2"/>
      <c r="PJ218" s="2"/>
      <c r="PK218" s="2"/>
      <c r="PL218" s="2"/>
      <c r="PM218" s="2"/>
      <c r="PN218" s="2"/>
      <c r="PO218" s="2"/>
      <c r="PP218" s="2"/>
      <c r="PQ218" s="2"/>
      <c r="PR218" s="2"/>
      <c r="PS218" s="2"/>
      <c r="PT218" s="2"/>
      <c r="PU218" s="2"/>
      <c r="PV218" s="2"/>
      <c r="PW218" s="2"/>
      <c r="PX218" s="2"/>
      <c r="PY218" s="2"/>
      <c r="PZ218" s="2"/>
      <c r="QA218" s="2"/>
      <c r="QB218" s="2"/>
      <c r="QC218" s="2"/>
      <c r="QD218" s="2"/>
      <c r="QE218" s="2"/>
      <c r="QF218" s="2"/>
      <c r="QG218" s="2"/>
      <c r="QH218" s="2"/>
      <c r="QI218" s="2"/>
      <c r="QJ218" s="2"/>
      <c r="QK218" s="2"/>
      <c r="QL218" s="2"/>
      <c r="QM218" s="2"/>
      <c r="QN218" s="2"/>
      <c r="QO218" s="2"/>
      <c r="QP218" s="2"/>
      <c r="QQ218" s="2"/>
      <c r="QR218" s="2"/>
      <c r="QS218" s="2"/>
      <c r="QT218" s="2"/>
      <c r="QU218" s="2"/>
      <c r="QV218" s="2"/>
      <c r="QW218" s="2"/>
      <c r="QX218" s="2"/>
      <c r="QY218" s="2"/>
      <c r="QZ218" s="2"/>
      <c r="RA218" s="2"/>
      <c r="RB218" s="2"/>
      <c r="RC218" s="2"/>
      <c r="RD218" s="2"/>
      <c r="RE218" s="2"/>
      <c r="RF218" s="2"/>
      <c r="RG218" s="2"/>
      <c r="RH218" s="2"/>
      <c r="RI218" s="2"/>
      <c r="RJ218" s="2"/>
      <c r="RK218" s="2"/>
      <c r="RL218" s="2"/>
      <c r="RM218" s="2"/>
      <c r="RN218" s="2"/>
      <c r="RO218" s="2"/>
      <c r="RP218" s="2"/>
      <c r="RQ218" s="2"/>
      <c r="RR218" s="2"/>
      <c r="RS218" s="2"/>
      <c r="RT218" s="2"/>
      <c r="RU218" s="2"/>
      <c r="RV218" s="2"/>
      <c r="RW218" s="2"/>
      <c r="RX218" s="2"/>
      <c r="RY218" s="2"/>
      <c r="RZ218" s="2"/>
      <c r="SA218" s="2"/>
      <c r="SB218" s="2"/>
      <c r="SC218" s="2"/>
      <c r="SD218" s="2"/>
      <c r="SE218" s="2"/>
      <c r="SF218" s="2"/>
      <c r="SG218" s="2"/>
      <c r="SH218" s="2"/>
      <c r="SI218" s="2"/>
      <c r="SJ218" s="2"/>
      <c r="SK218" s="2"/>
      <c r="SL218" s="2"/>
      <c r="SM218" s="2"/>
      <c r="SN218" s="2"/>
      <c r="SO218" s="2"/>
      <c r="SP218" s="2"/>
      <c r="SQ218" s="2"/>
      <c r="SR218" s="2"/>
      <c r="SS218" s="2"/>
      <c r="ST218" s="2"/>
      <c r="SU218" s="2"/>
      <c r="SV218" s="2"/>
      <c r="SW218" s="2"/>
      <c r="SX218" s="2"/>
    </row>
    <row r="219" spans="33:518" x14ac:dyDescent="0.25"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  <c r="FK219" s="2"/>
      <c r="FL219" s="2"/>
      <c r="FM219" s="2"/>
      <c r="FN219" s="2"/>
      <c r="FO219" s="2"/>
      <c r="FP219" s="2"/>
      <c r="FQ219" s="2"/>
      <c r="FR219" s="2"/>
      <c r="FS219" s="2"/>
      <c r="FT219" s="2"/>
      <c r="FU219" s="2"/>
      <c r="FV219" s="2"/>
      <c r="FW219" s="2"/>
      <c r="FX219" s="2"/>
      <c r="FY219" s="2"/>
      <c r="FZ219" s="2"/>
      <c r="GA219" s="2"/>
      <c r="GB219" s="2"/>
      <c r="GC219" s="2"/>
      <c r="GD219" s="2"/>
      <c r="GE219" s="2"/>
      <c r="GF219" s="2"/>
      <c r="GG219" s="2"/>
      <c r="GH219" s="2"/>
      <c r="GI219" s="2"/>
      <c r="GJ219" s="2"/>
      <c r="GK219" s="2"/>
      <c r="GL219" s="2"/>
      <c r="GM219" s="2"/>
      <c r="GN219" s="2"/>
      <c r="GO219" s="2"/>
      <c r="GP219" s="2"/>
      <c r="GQ219" s="2"/>
      <c r="GR219" s="2"/>
      <c r="GS219" s="2"/>
      <c r="GT219" s="2"/>
      <c r="GU219" s="2"/>
      <c r="GV219" s="2"/>
      <c r="GW219" s="2"/>
      <c r="GX219" s="2"/>
      <c r="GY219" s="2"/>
      <c r="GZ219" s="2"/>
      <c r="HA219" s="2"/>
      <c r="HB219" s="2"/>
      <c r="HC219" s="2"/>
      <c r="HD219" s="2"/>
      <c r="HE219" s="2"/>
      <c r="HF219" s="2"/>
      <c r="HG219" s="2"/>
      <c r="HH219" s="2"/>
      <c r="HI219" s="2"/>
      <c r="HJ219" s="2"/>
      <c r="HK219" s="2"/>
      <c r="HL219" s="2"/>
      <c r="HM219" s="2"/>
      <c r="HN219" s="2"/>
      <c r="HO219" s="2"/>
      <c r="HP219" s="2"/>
      <c r="HQ219" s="2"/>
      <c r="HR219" s="2"/>
      <c r="HS219" s="2"/>
      <c r="HT219" s="2"/>
      <c r="HU219" s="2"/>
      <c r="HV219" s="2"/>
      <c r="HW219" s="2"/>
      <c r="HX219" s="2"/>
      <c r="HY219" s="2"/>
      <c r="HZ219" s="2"/>
      <c r="IA219" s="2"/>
      <c r="IB219" s="2"/>
      <c r="IC219" s="2"/>
      <c r="ID219" s="2"/>
      <c r="IE219" s="2"/>
      <c r="IF219" s="2"/>
      <c r="IG219" s="2"/>
      <c r="IH219" s="2"/>
      <c r="II219" s="2"/>
      <c r="IJ219" s="2"/>
      <c r="IK219" s="2"/>
      <c r="IL219" s="2"/>
      <c r="IM219" s="2"/>
      <c r="IN219" s="2"/>
      <c r="IO219" s="2"/>
      <c r="IP219" s="2"/>
      <c r="IQ219" s="2"/>
      <c r="IR219" s="2"/>
      <c r="IS219" s="2"/>
      <c r="IT219" s="2"/>
      <c r="IU219" s="2"/>
      <c r="IV219" s="2"/>
      <c r="IW219" s="2"/>
      <c r="IX219" s="2"/>
      <c r="IY219" s="2"/>
      <c r="IZ219" s="2"/>
      <c r="JA219" s="2"/>
      <c r="JB219" s="2"/>
      <c r="JC219" s="2"/>
      <c r="JD219" s="2"/>
      <c r="JE219" s="2"/>
      <c r="JF219" s="2"/>
      <c r="JG219" s="2"/>
      <c r="JH219" s="2"/>
      <c r="JI219" s="2"/>
      <c r="JJ219" s="2"/>
      <c r="JK219" s="2"/>
      <c r="JL219" s="2"/>
      <c r="JM219" s="2"/>
      <c r="JN219" s="2"/>
      <c r="JO219" s="2"/>
      <c r="JP219" s="2"/>
      <c r="JQ219" s="2"/>
      <c r="JR219" s="2"/>
      <c r="JS219" s="2"/>
      <c r="JT219" s="2"/>
      <c r="JU219" s="2"/>
      <c r="JV219" s="2"/>
      <c r="JW219" s="2"/>
      <c r="JX219" s="2"/>
      <c r="JY219" s="2"/>
      <c r="JZ219" s="2"/>
      <c r="KA219" s="2"/>
      <c r="KB219" s="2"/>
      <c r="KC219" s="2"/>
      <c r="KD219" s="2"/>
      <c r="KE219" s="2"/>
      <c r="KF219" s="2"/>
      <c r="KG219" s="2"/>
      <c r="KH219" s="2"/>
      <c r="KI219" s="2"/>
      <c r="KJ219" s="2"/>
      <c r="KK219" s="2"/>
      <c r="KL219" s="2"/>
      <c r="KM219" s="2"/>
      <c r="KN219" s="2"/>
      <c r="KO219" s="2"/>
      <c r="KP219" s="2"/>
      <c r="KQ219" s="2"/>
      <c r="KR219" s="2"/>
      <c r="KS219" s="2"/>
      <c r="KT219" s="2"/>
      <c r="KU219" s="2"/>
      <c r="KV219" s="2"/>
      <c r="KW219" s="2"/>
      <c r="KX219" s="2"/>
      <c r="KY219" s="2"/>
      <c r="KZ219" s="2"/>
      <c r="LA219" s="2"/>
      <c r="LB219" s="2"/>
      <c r="LC219" s="2"/>
      <c r="LD219" s="2"/>
      <c r="LE219" s="2"/>
      <c r="LF219" s="2"/>
      <c r="LG219" s="2"/>
      <c r="LH219" s="2"/>
      <c r="LI219" s="2"/>
      <c r="LJ219" s="2"/>
      <c r="LK219" s="2"/>
      <c r="LL219" s="2"/>
      <c r="LM219" s="2"/>
      <c r="LN219" s="2"/>
      <c r="LO219" s="2"/>
      <c r="LP219" s="2"/>
      <c r="LQ219" s="2"/>
      <c r="LR219" s="2"/>
      <c r="LS219" s="2"/>
      <c r="LT219" s="2"/>
      <c r="LU219" s="2"/>
      <c r="LV219" s="2"/>
      <c r="LW219" s="2"/>
      <c r="LX219" s="2"/>
      <c r="LY219" s="2"/>
      <c r="LZ219" s="2"/>
      <c r="MA219" s="2"/>
      <c r="MB219" s="2"/>
      <c r="MC219" s="2"/>
      <c r="MD219" s="2"/>
      <c r="ME219" s="2"/>
      <c r="MF219" s="2"/>
      <c r="MG219" s="2"/>
      <c r="MH219" s="2"/>
      <c r="MI219" s="2"/>
      <c r="MJ219" s="2"/>
      <c r="MK219" s="2"/>
      <c r="ML219" s="2"/>
      <c r="MM219" s="2"/>
      <c r="MN219" s="2"/>
      <c r="MO219" s="2"/>
      <c r="MP219" s="2"/>
      <c r="MQ219" s="2"/>
      <c r="MR219" s="2"/>
      <c r="MS219" s="2"/>
      <c r="MT219" s="2"/>
      <c r="MU219" s="2"/>
      <c r="MV219" s="2"/>
      <c r="MW219" s="2"/>
      <c r="MX219" s="2"/>
      <c r="MY219" s="2"/>
      <c r="MZ219" s="2"/>
      <c r="NA219" s="2"/>
      <c r="NB219" s="2"/>
      <c r="NC219" s="2"/>
      <c r="ND219" s="2"/>
      <c r="NE219" s="2"/>
      <c r="NF219" s="2"/>
      <c r="NG219" s="2"/>
      <c r="NH219" s="2"/>
      <c r="NI219" s="2"/>
      <c r="NJ219" s="2"/>
      <c r="NK219" s="2"/>
      <c r="NL219" s="2"/>
      <c r="NM219" s="2"/>
      <c r="NN219" s="2"/>
      <c r="NO219" s="2"/>
      <c r="NP219" s="2"/>
      <c r="NQ219" s="2"/>
      <c r="NR219" s="2"/>
      <c r="NS219" s="2"/>
      <c r="NT219" s="2"/>
      <c r="NU219" s="2"/>
      <c r="NV219" s="2"/>
      <c r="NW219" s="2"/>
      <c r="NX219" s="2"/>
      <c r="NY219" s="2"/>
      <c r="NZ219" s="2"/>
      <c r="OA219" s="2"/>
      <c r="OB219" s="2"/>
      <c r="OC219" s="2"/>
      <c r="OD219" s="2"/>
      <c r="OE219" s="2"/>
      <c r="OF219" s="2"/>
      <c r="OG219" s="2"/>
      <c r="OH219" s="2"/>
      <c r="OI219" s="2"/>
      <c r="OJ219" s="2"/>
      <c r="OK219" s="2"/>
      <c r="OL219" s="2"/>
      <c r="OM219" s="2"/>
      <c r="ON219" s="2"/>
      <c r="OO219" s="2"/>
      <c r="OP219" s="2"/>
      <c r="OQ219" s="2"/>
      <c r="OR219" s="2"/>
      <c r="OS219" s="2"/>
      <c r="OT219" s="2"/>
      <c r="OU219" s="2"/>
      <c r="OV219" s="2"/>
      <c r="OW219" s="2"/>
      <c r="OX219" s="2"/>
      <c r="OY219" s="2"/>
      <c r="OZ219" s="2"/>
      <c r="PA219" s="2"/>
      <c r="PB219" s="2"/>
      <c r="PC219" s="2"/>
      <c r="PD219" s="2"/>
      <c r="PE219" s="2"/>
      <c r="PF219" s="2"/>
      <c r="PG219" s="2"/>
      <c r="PH219" s="2"/>
      <c r="PI219" s="2"/>
      <c r="PJ219" s="2"/>
      <c r="PK219" s="2"/>
      <c r="PL219" s="2"/>
      <c r="PM219" s="2"/>
      <c r="PN219" s="2"/>
      <c r="PO219" s="2"/>
      <c r="PP219" s="2"/>
      <c r="PQ219" s="2"/>
      <c r="PR219" s="2"/>
      <c r="PS219" s="2"/>
      <c r="PT219" s="2"/>
      <c r="PU219" s="2"/>
      <c r="PV219" s="2"/>
      <c r="PW219" s="2"/>
      <c r="PX219" s="2"/>
      <c r="PY219" s="2"/>
      <c r="PZ219" s="2"/>
      <c r="QA219" s="2"/>
      <c r="QB219" s="2"/>
      <c r="QC219" s="2"/>
      <c r="QD219" s="2"/>
      <c r="QE219" s="2"/>
      <c r="QF219" s="2"/>
      <c r="QG219" s="2"/>
      <c r="QH219" s="2"/>
      <c r="QI219" s="2"/>
      <c r="QJ219" s="2"/>
      <c r="QK219" s="2"/>
      <c r="QL219" s="2"/>
      <c r="QM219" s="2"/>
      <c r="QN219" s="2"/>
      <c r="QO219" s="2"/>
      <c r="QP219" s="2"/>
      <c r="QQ219" s="2"/>
      <c r="QR219" s="2"/>
      <c r="QS219" s="2"/>
      <c r="QT219" s="2"/>
      <c r="QU219" s="2"/>
      <c r="QV219" s="2"/>
      <c r="QW219" s="2"/>
      <c r="QX219" s="2"/>
      <c r="QY219" s="2"/>
      <c r="QZ219" s="2"/>
      <c r="RA219" s="2"/>
      <c r="RB219" s="2"/>
      <c r="RC219" s="2"/>
      <c r="RD219" s="2"/>
      <c r="RE219" s="2"/>
      <c r="RF219" s="2"/>
      <c r="RG219" s="2"/>
      <c r="RH219" s="2"/>
      <c r="RI219" s="2"/>
      <c r="RJ219" s="2"/>
      <c r="RK219" s="2"/>
      <c r="RL219" s="2"/>
      <c r="RM219" s="2"/>
      <c r="RN219" s="2"/>
      <c r="RO219" s="2"/>
      <c r="RP219" s="2"/>
      <c r="RQ219" s="2"/>
      <c r="RR219" s="2"/>
      <c r="RS219" s="2"/>
      <c r="RT219" s="2"/>
      <c r="RU219" s="2"/>
      <c r="RV219" s="2"/>
      <c r="RW219" s="2"/>
      <c r="RX219" s="2"/>
      <c r="RY219" s="2"/>
      <c r="RZ219" s="2"/>
      <c r="SA219" s="2"/>
      <c r="SB219" s="2"/>
      <c r="SC219" s="2"/>
      <c r="SD219" s="2"/>
      <c r="SE219" s="2"/>
      <c r="SF219" s="2"/>
      <c r="SG219" s="2"/>
      <c r="SH219" s="2"/>
      <c r="SI219" s="2"/>
      <c r="SJ219" s="2"/>
      <c r="SK219" s="2"/>
      <c r="SL219" s="2"/>
      <c r="SM219" s="2"/>
      <c r="SN219" s="2"/>
      <c r="SO219" s="2"/>
      <c r="SP219" s="2"/>
      <c r="SQ219" s="2"/>
      <c r="SR219" s="2"/>
      <c r="SS219" s="2"/>
      <c r="ST219" s="2"/>
      <c r="SU219" s="2"/>
      <c r="SV219" s="2"/>
      <c r="SW219" s="2"/>
      <c r="SX219" s="2"/>
    </row>
    <row r="220" spans="33:518" x14ac:dyDescent="0.25"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  <c r="FK220" s="2"/>
      <c r="FL220" s="2"/>
      <c r="FM220" s="2"/>
      <c r="FN220" s="2"/>
      <c r="FO220" s="2"/>
      <c r="FP220" s="2"/>
      <c r="FQ220" s="2"/>
      <c r="FR220" s="2"/>
      <c r="FS220" s="2"/>
      <c r="FT220" s="2"/>
      <c r="FU220" s="2"/>
      <c r="FV220" s="2"/>
      <c r="FW220" s="2"/>
      <c r="FX220" s="2"/>
      <c r="FY220" s="2"/>
      <c r="FZ220" s="2"/>
      <c r="GA220" s="2"/>
      <c r="GB220" s="2"/>
      <c r="GC220" s="2"/>
      <c r="GD220" s="2"/>
      <c r="GE220" s="2"/>
      <c r="GF220" s="2"/>
      <c r="GG220" s="2"/>
      <c r="GH220" s="2"/>
      <c r="GI220" s="2"/>
      <c r="GJ220" s="2"/>
      <c r="GK220" s="2"/>
      <c r="GL220" s="2"/>
      <c r="GM220" s="2"/>
      <c r="GN220" s="2"/>
      <c r="GO220" s="2"/>
      <c r="GP220" s="2"/>
      <c r="GQ220" s="2"/>
      <c r="GR220" s="2"/>
      <c r="GS220" s="2"/>
      <c r="GT220" s="2"/>
      <c r="GU220" s="2"/>
      <c r="GV220" s="2"/>
      <c r="GW220" s="2"/>
      <c r="GX220" s="2"/>
      <c r="GY220" s="2"/>
      <c r="GZ220" s="2"/>
      <c r="HA220" s="2"/>
      <c r="HB220" s="2"/>
      <c r="HC220" s="2"/>
      <c r="HD220" s="2"/>
      <c r="HE220" s="2"/>
      <c r="HF220" s="2"/>
      <c r="HG220" s="2"/>
      <c r="HH220" s="2"/>
      <c r="HI220" s="2"/>
      <c r="HJ220" s="2"/>
      <c r="HK220" s="2"/>
      <c r="HL220" s="2"/>
      <c r="HM220" s="2"/>
      <c r="HN220" s="2"/>
      <c r="HO220" s="2"/>
      <c r="HP220" s="2"/>
      <c r="HQ220" s="2"/>
      <c r="HR220" s="2"/>
      <c r="HS220" s="2"/>
      <c r="HT220" s="2"/>
      <c r="HU220" s="2"/>
      <c r="HV220" s="2"/>
      <c r="HW220" s="2"/>
      <c r="HX220" s="2"/>
      <c r="HY220" s="2"/>
      <c r="HZ220" s="2"/>
      <c r="IA220" s="2"/>
      <c r="IB220" s="2"/>
      <c r="IC220" s="2"/>
      <c r="ID220" s="2"/>
      <c r="IE220" s="2"/>
      <c r="IF220" s="2"/>
      <c r="IG220" s="2"/>
      <c r="IH220" s="2"/>
      <c r="II220" s="2"/>
      <c r="IJ220" s="2"/>
      <c r="IK220" s="2"/>
      <c r="IL220" s="2"/>
      <c r="IM220" s="2"/>
      <c r="IN220" s="2"/>
      <c r="IO220" s="2"/>
      <c r="IP220" s="2"/>
      <c r="IQ220" s="2"/>
      <c r="IR220" s="2"/>
      <c r="IS220" s="2"/>
      <c r="IT220" s="2"/>
      <c r="IU220" s="2"/>
      <c r="IV220" s="2"/>
      <c r="IW220" s="2"/>
      <c r="IX220" s="2"/>
      <c r="IY220" s="2"/>
      <c r="IZ220" s="2"/>
      <c r="JA220" s="2"/>
      <c r="JB220" s="2"/>
      <c r="JC220" s="2"/>
      <c r="JD220" s="2"/>
      <c r="JE220" s="2"/>
      <c r="JF220" s="2"/>
      <c r="JG220" s="2"/>
      <c r="JH220" s="2"/>
      <c r="JI220" s="2"/>
      <c r="JJ220" s="2"/>
      <c r="JK220" s="2"/>
      <c r="JL220" s="2"/>
      <c r="JM220" s="2"/>
      <c r="JN220" s="2"/>
      <c r="JO220" s="2"/>
      <c r="JP220" s="2"/>
      <c r="JQ220" s="2"/>
      <c r="JR220" s="2"/>
      <c r="JS220" s="2"/>
      <c r="JT220" s="2"/>
      <c r="JU220" s="2"/>
      <c r="JV220" s="2"/>
      <c r="JW220" s="2"/>
      <c r="JX220" s="2"/>
      <c r="JY220" s="2"/>
      <c r="JZ220" s="2"/>
      <c r="KA220" s="2"/>
      <c r="KB220" s="2"/>
      <c r="KC220" s="2"/>
      <c r="KD220" s="2"/>
      <c r="KE220" s="2"/>
      <c r="KF220" s="2"/>
      <c r="KG220" s="2"/>
      <c r="KH220" s="2"/>
      <c r="KI220" s="2"/>
      <c r="KJ220" s="2"/>
      <c r="KK220" s="2"/>
      <c r="KL220" s="2"/>
      <c r="KM220" s="2"/>
      <c r="KN220" s="2"/>
      <c r="KO220" s="2"/>
      <c r="KP220" s="2"/>
      <c r="KQ220" s="2"/>
      <c r="KR220" s="2"/>
      <c r="KS220" s="2"/>
      <c r="KT220" s="2"/>
      <c r="KU220" s="2"/>
      <c r="KV220" s="2"/>
      <c r="KW220" s="2"/>
      <c r="KX220" s="2"/>
      <c r="KY220" s="2"/>
      <c r="KZ220" s="2"/>
      <c r="LA220" s="2"/>
      <c r="LB220" s="2"/>
      <c r="LC220" s="2"/>
      <c r="LD220" s="2"/>
      <c r="LE220" s="2"/>
      <c r="LF220" s="2"/>
      <c r="LG220" s="2"/>
      <c r="LH220" s="2"/>
      <c r="LI220" s="2"/>
      <c r="LJ220" s="2"/>
      <c r="LK220" s="2"/>
      <c r="LL220" s="2"/>
      <c r="LM220" s="2"/>
      <c r="LN220" s="2"/>
      <c r="LO220" s="2"/>
      <c r="LP220" s="2"/>
      <c r="LQ220" s="2"/>
      <c r="LR220" s="2"/>
      <c r="LS220" s="2"/>
      <c r="LT220" s="2"/>
      <c r="LU220" s="2"/>
      <c r="LV220" s="2"/>
      <c r="LW220" s="2"/>
      <c r="LX220" s="2"/>
      <c r="LY220" s="2"/>
      <c r="LZ220" s="2"/>
      <c r="MA220" s="2"/>
      <c r="MB220" s="2"/>
      <c r="MC220" s="2"/>
      <c r="MD220" s="2"/>
      <c r="ME220" s="2"/>
      <c r="MF220" s="2"/>
      <c r="MG220" s="2"/>
      <c r="MH220" s="2"/>
      <c r="MI220" s="2"/>
      <c r="MJ220" s="2"/>
      <c r="MK220" s="2"/>
      <c r="ML220" s="2"/>
      <c r="MM220" s="2"/>
      <c r="MN220" s="2"/>
      <c r="MO220" s="2"/>
      <c r="MP220" s="2"/>
      <c r="MQ220" s="2"/>
      <c r="MR220" s="2"/>
      <c r="MS220" s="2"/>
      <c r="MT220" s="2"/>
      <c r="MU220" s="2"/>
      <c r="MV220" s="2"/>
      <c r="MW220" s="2"/>
      <c r="MX220" s="2"/>
      <c r="MY220" s="2"/>
      <c r="MZ220" s="2"/>
      <c r="NA220" s="2"/>
      <c r="NB220" s="2"/>
      <c r="NC220" s="2"/>
      <c r="ND220" s="2"/>
      <c r="NE220" s="2"/>
      <c r="NF220" s="2"/>
      <c r="NG220" s="2"/>
      <c r="NH220" s="2"/>
      <c r="NI220" s="2"/>
      <c r="NJ220" s="2"/>
      <c r="NK220" s="2"/>
      <c r="NL220" s="2"/>
      <c r="NM220" s="2"/>
      <c r="NN220" s="2"/>
      <c r="NO220" s="2"/>
      <c r="NP220" s="2"/>
      <c r="NQ220" s="2"/>
      <c r="NR220" s="2"/>
      <c r="NS220" s="2"/>
      <c r="NT220" s="2"/>
      <c r="NU220" s="2"/>
      <c r="NV220" s="2"/>
      <c r="NW220" s="2"/>
      <c r="NX220" s="2"/>
      <c r="NY220" s="2"/>
      <c r="NZ220" s="2"/>
      <c r="OA220" s="2"/>
      <c r="OB220" s="2"/>
      <c r="OC220" s="2"/>
      <c r="OD220" s="2"/>
      <c r="OE220" s="2"/>
      <c r="OF220" s="2"/>
      <c r="OG220" s="2"/>
      <c r="OH220" s="2"/>
      <c r="OI220" s="2"/>
      <c r="OJ220" s="2"/>
      <c r="OK220" s="2"/>
      <c r="OL220" s="2"/>
      <c r="OM220" s="2"/>
      <c r="ON220" s="2"/>
      <c r="OO220" s="2"/>
      <c r="OP220" s="2"/>
      <c r="OQ220" s="2"/>
      <c r="OR220" s="2"/>
      <c r="OS220" s="2"/>
      <c r="OT220" s="2"/>
      <c r="OU220" s="2"/>
      <c r="OV220" s="2"/>
      <c r="OW220" s="2"/>
      <c r="OX220" s="2"/>
      <c r="OY220" s="2"/>
      <c r="OZ220" s="2"/>
      <c r="PA220" s="2"/>
      <c r="PB220" s="2"/>
      <c r="PC220" s="2"/>
      <c r="PD220" s="2"/>
      <c r="PE220" s="2"/>
      <c r="PF220" s="2"/>
      <c r="PG220" s="2"/>
      <c r="PH220" s="2"/>
      <c r="PI220" s="2"/>
      <c r="PJ220" s="2"/>
      <c r="PK220" s="2"/>
      <c r="PL220" s="2"/>
      <c r="PM220" s="2"/>
      <c r="PN220" s="2"/>
      <c r="PO220" s="2"/>
      <c r="PP220" s="2"/>
      <c r="PQ220" s="2"/>
      <c r="PR220" s="2"/>
      <c r="PS220" s="2"/>
      <c r="PT220" s="2"/>
      <c r="PU220" s="2"/>
      <c r="PV220" s="2"/>
      <c r="PW220" s="2"/>
      <c r="PX220" s="2"/>
      <c r="PY220" s="2"/>
      <c r="PZ220" s="2"/>
      <c r="QA220" s="2"/>
      <c r="QB220" s="2"/>
      <c r="QC220" s="2"/>
      <c r="QD220" s="2"/>
      <c r="QE220" s="2"/>
      <c r="QF220" s="2"/>
      <c r="QG220" s="2"/>
      <c r="QH220" s="2"/>
      <c r="QI220" s="2"/>
      <c r="QJ220" s="2"/>
      <c r="QK220" s="2"/>
      <c r="QL220" s="2"/>
      <c r="QM220" s="2"/>
      <c r="QN220" s="2"/>
      <c r="QO220" s="2"/>
      <c r="QP220" s="2"/>
      <c r="QQ220" s="2"/>
      <c r="QR220" s="2"/>
      <c r="QS220" s="2"/>
      <c r="QT220" s="2"/>
      <c r="QU220" s="2"/>
      <c r="QV220" s="2"/>
      <c r="QW220" s="2"/>
      <c r="QX220" s="2"/>
      <c r="QY220" s="2"/>
      <c r="QZ220" s="2"/>
      <c r="RA220" s="2"/>
      <c r="RB220" s="2"/>
      <c r="RC220" s="2"/>
      <c r="RD220" s="2"/>
      <c r="RE220" s="2"/>
      <c r="RF220" s="2"/>
      <c r="RG220" s="2"/>
      <c r="RH220" s="2"/>
      <c r="RI220" s="2"/>
      <c r="RJ220" s="2"/>
      <c r="RK220" s="2"/>
      <c r="RL220" s="2"/>
      <c r="RM220" s="2"/>
      <c r="RN220" s="2"/>
      <c r="RO220" s="2"/>
      <c r="RP220" s="2"/>
      <c r="RQ220" s="2"/>
      <c r="RR220" s="2"/>
      <c r="RS220" s="2"/>
      <c r="RT220" s="2"/>
      <c r="RU220" s="2"/>
      <c r="RV220" s="2"/>
      <c r="RW220" s="2"/>
      <c r="RX220" s="2"/>
      <c r="RY220" s="2"/>
      <c r="RZ220" s="2"/>
      <c r="SA220" s="2"/>
      <c r="SB220" s="2"/>
      <c r="SC220" s="2"/>
      <c r="SD220" s="2"/>
      <c r="SE220" s="2"/>
      <c r="SF220" s="2"/>
      <c r="SG220" s="2"/>
      <c r="SH220" s="2"/>
      <c r="SI220" s="2"/>
      <c r="SJ220" s="2"/>
      <c r="SK220" s="2"/>
      <c r="SL220" s="2"/>
      <c r="SM220" s="2"/>
      <c r="SN220" s="2"/>
      <c r="SO220" s="2"/>
      <c r="SP220" s="2"/>
      <c r="SQ220" s="2"/>
      <c r="SR220" s="2"/>
      <c r="SS220" s="2"/>
      <c r="ST220" s="2"/>
      <c r="SU220" s="2"/>
      <c r="SV220" s="2"/>
      <c r="SW220" s="2"/>
      <c r="SX220" s="2"/>
    </row>
    <row r="221" spans="33:518" x14ac:dyDescent="0.25"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  <c r="FK221" s="2"/>
      <c r="FL221" s="2"/>
      <c r="FM221" s="2"/>
      <c r="FN221" s="2"/>
      <c r="FO221" s="2"/>
      <c r="FP221" s="2"/>
      <c r="FQ221" s="2"/>
      <c r="FR221" s="2"/>
      <c r="FS221" s="2"/>
      <c r="FT221" s="2"/>
      <c r="FU221" s="2"/>
      <c r="FV221" s="2"/>
      <c r="FW221" s="2"/>
      <c r="FX221" s="2"/>
      <c r="FY221" s="2"/>
      <c r="FZ221" s="2"/>
      <c r="GA221" s="2"/>
      <c r="GB221" s="2"/>
      <c r="GC221" s="2"/>
      <c r="GD221" s="2"/>
      <c r="GE221" s="2"/>
      <c r="GF221" s="2"/>
      <c r="GG221" s="2"/>
      <c r="GH221" s="2"/>
      <c r="GI221" s="2"/>
      <c r="GJ221" s="2"/>
      <c r="GK221" s="2"/>
      <c r="GL221" s="2"/>
      <c r="GM221" s="2"/>
      <c r="GN221" s="2"/>
      <c r="GO221" s="2"/>
      <c r="GP221" s="2"/>
      <c r="GQ221" s="2"/>
      <c r="GR221" s="2"/>
      <c r="GS221" s="2"/>
      <c r="GT221" s="2"/>
      <c r="GU221" s="2"/>
      <c r="GV221" s="2"/>
      <c r="GW221" s="2"/>
      <c r="GX221" s="2"/>
      <c r="GY221" s="2"/>
      <c r="GZ221" s="2"/>
      <c r="HA221" s="2"/>
      <c r="HB221" s="2"/>
      <c r="HC221" s="2"/>
      <c r="HD221" s="2"/>
      <c r="HE221" s="2"/>
      <c r="HF221" s="2"/>
      <c r="HG221" s="2"/>
      <c r="HH221" s="2"/>
      <c r="HI221" s="2"/>
      <c r="HJ221" s="2"/>
      <c r="HK221" s="2"/>
      <c r="HL221" s="2"/>
      <c r="HM221" s="2"/>
      <c r="HN221" s="2"/>
      <c r="HO221" s="2"/>
      <c r="HP221" s="2"/>
      <c r="HQ221" s="2"/>
      <c r="HR221" s="2"/>
      <c r="HS221" s="2"/>
      <c r="HT221" s="2"/>
      <c r="HU221" s="2"/>
      <c r="HV221" s="2"/>
      <c r="HW221" s="2"/>
      <c r="HX221" s="2"/>
      <c r="HY221" s="2"/>
      <c r="HZ221" s="2"/>
      <c r="IA221" s="2"/>
      <c r="IB221" s="2"/>
      <c r="IC221" s="2"/>
      <c r="ID221" s="2"/>
      <c r="IE221" s="2"/>
      <c r="IF221" s="2"/>
      <c r="IG221" s="2"/>
      <c r="IH221" s="2"/>
      <c r="II221" s="2"/>
      <c r="IJ221" s="2"/>
      <c r="IK221" s="2"/>
      <c r="IL221" s="2"/>
      <c r="IM221" s="2"/>
      <c r="IN221" s="2"/>
      <c r="IO221" s="2"/>
      <c r="IP221" s="2"/>
      <c r="IQ221" s="2"/>
      <c r="IR221" s="2"/>
      <c r="IS221" s="2"/>
      <c r="IT221" s="2"/>
      <c r="IU221" s="2"/>
      <c r="IV221" s="2"/>
      <c r="IW221" s="2"/>
      <c r="IX221" s="2"/>
      <c r="IY221" s="2"/>
      <c r="IZ221" s="2"/>
      <c r="JA221" s="2"/>
      <c r="JB221" s="2"/>
      <c r="JC221" s="2"/>
      <c r="JD221" s="2"/>
      <c r="JE221" s="2"/>
      <c r="JF221" s="2"/>
      <c r="JG221" s="2"/>
      <c r="JH221" s="2"/>
      <c r="JI221" s="2"/>
      <c r="JJ221" s="2"/>
      <c r="JK221" s="2"/>
      <c r="JL221" s="2"/>
      <c r="JM221" s="2"/>
      <c r="JN221" s="2"/>
      <c r="JO221" s="2"/>
      <c r="JP221" s="2"/>
      <c r="JQ221" s="2"/>
      <c r="JR221" s="2"/>
      <c r="JS221" s="2"/>
      <c r="JT221" s="2"/>
      <c r="JU221" s="2"/>
      <c r="JV221" s="2"/>
      <c r="JW221" s="2"/>
      <c r="JX221" s="2"/>
      <c r="JY221" s="2"/>
      <c r="JZ221" s="2"/>
      <c r="KA221" s="2"/>
      <c r="KB221" s="2"/>
      <c r="KC221" s="2"/>
      <c r="KD221" s="2"/>
      <c r="KE221" s="2"/>
      <c r="KF221" s="2"/>
      <c r="KG221" s="2"/>
      <c r="KH221" s="2"/>
      <c r="KI221" s="2"/>
      <c r="KJ221" s="2"/>
      <c r="KK221" s="2"/>
      <c r="KL221" s="2"/>
      <c r="KM221" s="2"/>
      <c r="KN221" s="2"/>
      <c r="KO221" s="2"/>
      <c r="KP221" s="2"/>
      <c r="KQ221" s="2"/>
      <c r="KR221" s="2"/>
      <c r="KS221" s="2"/>
      <c r="KT221" s="2"/>
      <c r="KU221" s="2"/>
      <c r="KV221" s="2"/>
      <c r="KW221" s="2"/>
      <c r="KX221" s="2"/>
      <c r="KY221" s="2"/>
      <c r="KZ221" s="2"/>
      <c r="LA221" s="2"/>
      <c r="LB221" s="2"/>
      <c r="LC221" s="2"/>
      <c r="LD221" s="2"/>
      <c r="LE221" s="2"/>
      <c r="LF221" s="2"/>
      <c r="LG221" s="2"/>
      <c r="LH221" s="2"/>
      <c r="LI221" s="2"/>
      <c r="LJ221" s="2"/>
      <c r="LK221" s="2"/>
      <c r="LL221" s="2"/>
      <c r="LM221" s="2"/>
      <c r="LN221" s="2"/>
      <c r="LO221" s="2"/>
      <c r="LP221" s="2"/>
      <c r="LQ221" s="2"/>
      <c r="LR221" s="2"/>
      <c r="LS221" s="2"/>
      <c r="LT221" s="2"/>
      <c r="LU221" s="2"/>
      <c r="LV221" s="2"/>
      <c r="LW221" s="2"/>
      <c r="LX221" s="2"/>
      <c r="LY221" s="2"/>
      <c r="LZ221" s="2"/>
      <c r="MA221" s="2"/>
      <c r="MB221" s="2"/>
      <c r="MC221" s="2"/>
      <c r="MD221" s="2"/>
      <c r="ME221" s="2"/>
      <c r="MF221" s="2"/>
      <c r="MG221" s="2"/>
      <c r="MH221" s="2"/>
      <c r="MI221" s="2"/>
      <c r="MJ221" s="2"/>
      <c r="MK221" s="2"/>
      <c r="ML221" s="2"/>
      <c r="MM221" s="2"/>
      <c r="MN221" s="2"/>
      <c r="MO221" s="2"/>
      <c r="MP221" s="2"/>
      <c r="MQ221" s="2"/>
      <c r="MR221" s="2"/>
      <c r="MS221" s="2"/>
      <c r="MT221" s="2"/>
      <c r="MU221" s="2"/>
      <c r="MV221" s="2"/>
      <c r="MW221" s="2"/>
      <c r="MX221" s="2"/>
      <c r="MY221" s="2"/>
      <c r="MZ221" s="2"/>
      <c r="NA221" s="2"/>
      <c r="NB221" s="2"/>
      <c r="NC221" s="2"/>
      <c r="ND221" s="2"/>
      <c r="NE221" s="2"/>
      <c r="NF221" s="2"/>
      <c r="NG221" s="2"/>
      <c r="NH221" s="2"/>
      <c r="NI221" s="2"/>
      <c r="NJ221" s="2"/>
      <c r="NK221" s="2"/>
      <c r="NL221" s="2"/>
      <c r="NM221" s="2"/>
      <c r="NN221" s="2"/>
      <c r="NO221" s="2"/>
      <c r="NP221" s="2"/>
      <c r="NQ221" s="2"/>
      <c r="NR221" s="2"/>
      <c r="NS221" s="2"/>
      <c r="NT221" s="2"/>
      <c r="NU221" s="2"/>
      <c r="NV221" s="2"/>
      <c r="NW221" s="2"/>
      <c r="NX221" s="2"/>
      <c r="NY221" s="2"/>
      <c r="NZ221" s="2"/>
      <c r="OA221" s="2"/>
      <c r="OB221" s="2"/>
      <c r="OC221" s="2"/>
      <c r="OD221" s="2"/>
      <c r="OE221" s="2"/>
      <c r="OF221" s="2"/>
      <c r="OG221" s="2"/>
      <c r="OH221" s="2"/>
      <c r="OI221" s="2"/>
      <c r="OJ221" s="2"/>
      <c r="OK221" s="2"/>
      <c r="OL221" s="2"/>
      <c r="OM221" s="2"/>
      <c r="ON221" s="2"/>
      <c r="OO221" s="2"/>
      <c r="OP221" s="2"/>
      <c r="OQ221" s="2"/>
      <c r="OR221" s="2"/>
      <c r="OS221" s="2"/>
      <c r="OT221" s="2"/>
      <c r="OU221" s="2"/>
      <c r="OV221" s="2"/>
      <c r="OW221" s="2"/>
      <c r="OX221" s="2"/>
      <c r="OY221" s="2"/>
      <c r="OZ221" s="2"/>
      <c r="PA221" s="2"/>
      <c r="PB221" s="2"/>
      <c r="PC221" s="2"/>
      <c r="PD221" s="2"/>
      <c r="PE221" s="2"/>
      <c r="PF221" s="2"/>
      <c r="PG221" s="2"/>
      <c r="PH221" s="2"/>
      <c r="PI221" s="2"/>
      <c r="PJ221" s="2"/>
      <c r="PK221" s="2"/>
      <c r="PL221" s="2"/>
      <c r="PM221" s="2"/>
      <c r="PN221" s="2"/>
      <c r="PO221" s="2"/>
      <c r="PP221" s="2"/>
      <c r="PQ221" s="2"/>
      <c r="PR221" s="2"/>
      <c r="PS221" s="2"/>
      <c r="PT221" s="2"/>
      <c r="PU221" s="2"/>
      <c r="PV221" s="2"/>
      <c r="PW221" s="2"/>
      <c r="PX221" s="2"/>
      <c r="PY221" s="2"/>
      <c r="PZ221" s="2"/>
      <c r="QA221" s="2"/>
      <c r="QB221" s="2"/>
      <c r="QC221" s="2"/>
      <c r="QD221" s="2"/>
      <c r="QE221" s="2"/>
      <c r="QF221" s="2"/>
      <c r="QG221" s="2"/>
      <c r="QH221" s="2"/>
      <c r="QI221" s="2"/>
      <c r="QJ221" s="2"/>
      <c r="QK221" s="2"/>
      <c r="QL221" s="2"/>
      <c r="QM221" s="2"/>
      <c r="QN221" s="2"/>
      <c r="QO221" s="2"/>
      <c r="QP221" s="2"/>
      <c r="QQ221" s="2"/>
      <c r="QR221" s="2"/>
      <c r="QS221" s="2"/>
      <c r="QT221" s="2"/>
      <c r="QU221" s="2"/>
      <c r="QV221" s="2"/>
      <c r="QW221" s="2"/>
      <c r="QX221" s="2"/>
      <c r="QY221" s="2"/>
      <c r="QZ221" s="2"/>
      <c r="RA221" s="2"/>
      <c r="RB221" s="2"/>
      <c r="RC221" s="2"/>
      <c r="RD221" s="2"/>
      <c r="RE221" s="2"/>
      <c r="RF221" s="2"/>
      <c r="RG221" s="2"/>
      <c r="RH221" s="2"/>
      <c r="RI221" s="2"/>
      <c r="RJ221" s="2"/>
      <c r="RK221" s="2"/>
      <c r="RL221" s="2"/>
      <c r="RM221" s="2"/>
      <c r="RN221" s="2"/>
      <c r="RO221" s="2"/>
      <c r="RP221" s="2"/>
      <c r="RQ221" s="2"/>
      <c r="RR221" s="2"/>
      <c r="RS221" s="2"/>
      <c r="RT221" s="2"/>
      <c r="RU221" s="2"/>
      <c r="RV221" s="2"/>
      <c r="RW221" s="2"/>
      <c r="RX221" s="2"/>
      <c r="RY221" s="2"/>
      <c r="RZ221" s="2"/>
      <c r="SA221" s="2"/>
      <c r="SB221" s="2"/>
      <c r="SC221" s="2"/>
      <c r="SD221" s="2"/>
      <c r="SE221" s="2"/>
      <c r="SF221" s="2"/>
      <c r="SG221" s="2"/>
      <c r="SH221" s="2"/>
      <c r="SI221" s="2"/>
      <c r="SJ221" s="2"/>
      <c r="SK221" s="2"/>
      <c r="SL221" s="2"/>
      <c r="SM221" s="2"/>
      <c r="SN221" s="2"/>
      <c r="SO221" s="2"/>
      <c r="SP221" s="2"/>
      <c r="SQ221" s="2"/>
      <c r="SR221" s="2"/>
      <c r="SS221" s="2"/>
      <c r="ST221" s="2"/>
      <c r="SU221" s="2"/>
      <c r="SV221" s="2"/>
      <c r="SW221" s="2"/>
      <c r="SX221" s="2"/>
    </row>
    <row r="222" spans="33:518" x14ac:dyDescent="0.25"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  <c r="FK222" s="2"/>
      <c r="FL222" s="2"/>
      <c r="FM222" s="2"/>
      <c r="FN222" s="2"/>
      <c r="FO222" s="2"/>
      <c r="FP222" s="2"/>
      <c r="FQ222" s="2"/>
      <c r="FR222" s="2"/>
      <c r="FS222" s="2"/>
      <c r="FT222" s="2"/>
      <c r="FU222" s="2"/>
      <c r="FV222" s="2"/>
      <c r="FW222" s="2"/>
      <c r="FX222" s="2"/>
      <c r="FY222" s="2"/>
      <c r="FZ222" s="2"/>
      <c r="GA222" s="2"/>
      <c r="GB222" s="2"/>
      <c r="GC222" s="2"/>
      <c r="GD222" s="2"/>
      <c r="GE222" s="2"/>
      <c r="GF222" s="2"/>
      <c r="GG222" s="2"/>
      <c r="GH222" s="2"/>
      <c r="GI222" s="2"/>
      <c r="GJ222" s="2"/>
      <c r="GK222" s="2"/>
      <c r="GL222" s="2"/>
      <c r="GM222" s="2"/>
      <c r="GN222" s="2"/>
      <c r="GO222" s="2"/>
      <c r="GP222" s="2"/>
      <c r="GQ222" s="2"/>
      <c r="GR222" s="2"/>
      <c r="GS222" s="2"/>
      <c r="GT222" s="2"/>
      <c r="GU222" s="2"/>
      <c r="GV222" s="2"/>
      <c r="GW222" s="2"/>
      <c r="GX222" s="2"/>
      <c r="GY222" s="2"/>
      <c r="GZ222" s="2"/>
      <c r="HA222" s="2"/>
      <c r="HB222" s="2"/>
      <c r="HC222" s="2"/>
      <c r="HD222" s="2"/>
      <c r="HE222" s="2"/>
      <c r="HF222" s="2"/>
      <c r="HG222" s="2"/>
      <c r="HH222" s="2"/>
      <c r="HI222" s="2"/>
      <c r="HJ222" s="2"/>
      <c r="HK222" s="2"/>
      <c r="HL222" s="2"/>
      <c r="HM222" s="2"/>
      <c r="HN222" s="2"/>
      <c r="HO222" s="2"/>
      <c r="HP222" s="2"/>
      <c r="HQ222" s="2"/>
      <c r="HR222" s="2"/>
      <c r="HS222" s="2"/>
      <c r="HT222" s="2"/>
      <c r="HU222" s="2"/>
      <c r="HV222" s="2"/>
      <c r="HW222" s="2"/>
      <c r="HX222" s="2"/>
      <c r="HY222" s="2"/>
      <c r="HZ222" s="2"/>
      <c r="IA222" s="2"/>
      <c r="IB222" s="2"/>
      <c r="IC222" s="2"/>
      <c r="ID222" s="2"/>
      <c r="IE222" s="2"/>
      <c r="IF222" s="2"/>
      <c r="IG222" s="2"/>
      <c r="IH222" s="2"/>
      <c r="II222" s="2"/>
      <c r="IJ222" s="2"/>
      <c r="IK222" s="2"/>
      <c r="IL222" s="2"/>
      <c r="IM222" s="2"/>
      <c r="IN222" s="2"/>
      <c r="IO222" s="2"/>
      <c r="IP222" s="2"/>
      <c r="IQ222" s="2"/>
      <c r="IR222" s="2"/>
      <c r="IS222" s="2"/>
      <c r="IT222" s="2"/>
      <c r="IU222" s="2"/>
      <c r="IV222" s="2"/>
      <c r="IW222" s="2"/>
      <c r="IX222" s="2"/>
      <c r="IY222" s="2"/>
      <c r="IZ222" s="2"/>
      <c r="JA222" s="2"/>
      <c r="JB222" s="2"/>
      <c r="JC222" s="2"/>
      <c r="JD222" s="2"/>
      <c r="JE222" s="2"/>
      <c r="JF222" s="2"/>
      <c r="JG222" s="2"/>
      <c r="JH222" s="2"/>
      <c r="JI222" s="2"/>
      <c r="JJ222" s="2"/>
      <c r="JK222" s="2"/>
      <c r="JL222" s="2"/>
      <c r="JM222" s="2"/>
      <c r="JN222" s="2"/>
      <c r="JO222" s="2"/>
      <c r="JP222" s="2"/>
      <c r="JQ222" s="2"/>
      <c r="JR222" s="2"/>
      <c r="JS222" s="2"/>
      <c r="JT222" s="2"/>
      <c r="JU222" s="2"/>
      <c r="JV222" s="2"/>
      <c r="JW222" s="2"/>
      <c r="JX222" s="2"/>
      <c r="JY222" s="2"/>
      <c r="JZ222" s="2"/>
      <c r="KA222" s="2"/>
      <c r="KB222" s="2"/>
      <c r="KC222" s="2"/>
      <c r="KD222" s="2"/>
      <c r="KE222" s="2"/>
      <c r="KF222" s="2"/>
      <c r="KG222" s="2"/>
      <c r="KH222" s="2"/>
      <c r="KI222" s="2"/>
      <c r="KJ222" s="2"/>
      <c r="KK222" s="2"/>
      <c r="KL222" s="2"/>
      <c r="KM222" s="2"/>
      <c r="KN222" s="2"/>
      <c r="KO222" s="2"/>
      <c r="KP222" s="2"/>
      <c r="KQ222" s="2"/>
      <c r="KR222" s="2"/>
      <c r="KS222" s="2"/>
      <c r="KT222" s="2"/>
      <c r="KU222" s="2"/>
      <c r="KV222" s="2"/>
      <c r="KW222" s="2"/>
      <c r="KX222" s="2"/>
      <c r="KY222" s="2"/>
      <c r="KZ222" s="2"/>
      <c r="LA222" s="2"/>
      <c r="LB222" s="2"/>
      <c r="LC222" s="2"/>
      <c r="LD222" s="2"/>
      <c r="LE222" s="2"/>
      <c r="LF222" s="2"/>
      <c r="LG222" s="2"/>
      <c r="LH222" s="2"/>
      <c r="LI222" s="2"/>
      <c r="LJ222" s="2"/>
      <c r="LK222" s="2"/>
      <c r="LL222" s="2"/>
      <c r="LM222" s="2"/>
      <c r="LN222" s="2"/>
      <c r="LO222" s="2"/>
      <c r="LP222" s="2"/>
      <c r="LQ222" s="2"/>
      <c r="LR222" s="2"/>
      <c r="LS222" s="2"/>
      <c r="LT222" s="2"/>
      <c r="LU222" s="2"/>
      <c r="LV222" s="2"/>
      <c r="LW222" s="2"/>
      <c r="LX222" s="2"/>
      <c r="LY222" s="2"/>
      <c r="LZ222" s="2"/>
      <c r="MA222" s="2"/>
      <c r="MB222" s="2"/>
      <c r="MC222" s="2"/>
      <c r="MD222" s="2"/>
      <c r="ME222" s="2"/>
      <c r="MF222" s="2"/>
      <c r="MG222" s="2"/>
      <c r="MH222" s="2"/>
      <c r="MI222" s="2"/>
      <c r="MJ222" s="2"/>
      <c r="MK222" s="2"/>
      <c r="ML222" s="2"/>
      <c r="MM222" s="2"/>
      <c r="MN222" s="2"/>
      <c r="MO222" s="2"/>
      <c r="MP222" s="2"/>
      <c r="MQ222" s="2"/>
      <c r="MR222" s="2"/>
      <c r="MS222" s="2"/>
      <c r="MT222" s="2"/>
      <c r="MU222" s="2"/>
      <c r="MV222" s="2"/>
      <c r="MW222" s="2"/>
      <c r="MX222" s="2"/>
      <c r="MY222" s="2"/>
      <c r="MZ222" s="2"/>
      <c r="NA222" s="2"/>
      <c r="NB222" s="2"/>
      <c r="NC222" s="2"/>
      <c r="ND222" s="2"/>
      <c r="NE222" s="2"/>
      <c r="NF222" s="2"/>
      <c r="NG222" s="2"/>
      <c r="NH222" s="2"/>
      <c r="NI222" s="2"/>
      <c r="NJ222" s="2"/>
      <c r="NK222" s="2"/>
      <c r="NL222" s="2"/>
      <c r="NM222" s="2"/>
      <c r="NN222" s="2"/>
      <c r="NO222" s="2"/>
      <c r="NP222" s="2"/>
      <c r="NQ222" s="2"/>
      <c r="NR222" s="2"/>
      <c r="NS222" s="2"/>
      <c r="NT222" s="2"/>
      <c r="NU222" s="2"/>
      <c r="NV222" s="2"/>
      <c r="NW222" s="2"/>
      <c r="NX222" s="2"/>
      <c r="NY222" s="2"/>
      <c r="NZ222" s="2"/>
      <c r="OA222" s="2"/>
      <c r="OB222" s="2"/>
      <c r="OC222" s="2"/>
      <c r="OD222" s="2"/>
      <c r="OE222" s="2"/>
      <c r="OF222" s="2"/>
      <c r="OG222" s="2"/>
      <c r="OH222" s="2"/>
      <c r="OI222" s="2"/>
      <c r="OJ222" s="2"/>
      <c r="OK222" s="2"/>
      <c r="OL222" s="2"/>
      <c r="OM222" s="2"/>
      <c r="ON222" s="2"/>
      <c r="OO222" s="2"/>
      <c r="OP222" s="2"/>
      <c r="OQ222" s="2"/>
      <c r="OR222" s="2"/>
      <c r="OS222" s="2"/>
      <c r="OT222" s="2"/>
      <c r="OU222" s="2"/>
      <c r="OV222" s="2"/>
      <c r="OW222" s="2"/>
      <c r="OX222" s="2"/>
      <c r="OY222" s="2"/>
      <c r="OZ222" s="2"/>
      <c r="PA222" s="2"/>
      <c r="PB222" s="2"/>
      <c r="PC222" s="2"/>
      <c r="PD222" s="2"/>
      <c r="PE222" s="2"/>
      <c r="PF222" s="2"/>
      <c r="PG222" s="2"/>
      <c r="PH222" s="2"/>
      <c r="PI222" s="2"/>
      <c r="PJ222" s="2"/>
      <c r="PK222" s="2"/>
      <c r="PL222" s="2"/>
      <c r="PM222" s="2"/>
      <c r="PN222" s="2"/>
      <c r="PO222" s="2"/>
      <c r="PP222" s="2"/>
      <c r="PQ222" s="2"/>
      <c r="PR222" s="2"/>
      <c r="PS222" s="2"/>
      <c r="PT222" s="2"/>
      <c r="PU222" s="2"/>
      <c r="PV222" s="2"/>
      <c r="PW222" s="2"/>
      <c r="PX222" s="2"/>
      <c r="PY222" s="2"/>
      <c r="PZ222" s="2"/>
      <c r="QA222" s="2"/>
      <c r="QB222" s="2"/>
      <c r="QC222" s="2"/>
      <c r="QD222" s="2"/>
      <c r="QE222" s="2"/>
      <c r="QF222" s="2"/>
      <c r="QG222" s="2"/>
      <c r="QH222" s="2"/>
      <c r="QI222" s="2"/>
      <c r="QJ222" s="2"/>
      <c r="QK222" s="2"/>
      <c r="QL222" s="2"/>
      <c r="QM222" s="2"/>
      <c r="QN222" s="2"/>
      <c r="QO222" s="2"/>
      <c r="QP222" s="2"/>
      <c r="QQ222" s="2"/>
      <c r="QR222" s="2"/>
      <c r="QS222" s="2"/>
      <c r="QT222" s="2"/>
      <c r="QU222" s="2"/>
      <c r="QV222" s="2"/>
      <c r="QW222" s="2"/>
      <c r="QX222" s="2"/>
      <c r="QY222" s="2"/>
      <c r="QZ222" s="2"/>
      <c r="RA222" s="2"/>
      <c r="RB222" s="2"/>
      <c r="RC222" s="2"/>
      <c r="RD222" s="2"/>
      <c r="RE222" s="2"/>
      <c r="RF222" s="2"/>
      <c r="RG222" s="2"/>
      <c r="RH222" s="2"/>
      <c r="RI222" s="2"/>
      <c r="RJ222" s="2"/>
      <c r="RK222" s="2"/>
      <c r="RL222" s="2"/>
      <c r="RM222" s="2"/>
      <c r="RN222" s="2"/>
      <c r="RO222" s="2"/>
      <c r="RP222" s="2"/>
      <c r="RQ222" s="2"/>
      <c r="RR222" s="2"/>
      <c r="RS222" s="2"/>
      <c r="RT222" s="2"/>
      <c r="RU222" s="2"/>
      <c r="RV222" s="2"/>
      <c r="RW222" s="2"/>
      <c r="RX222" s="2"/>
      <c r="RY222" s="2"/>
      <c r="RZ222" s="2"/>
      <c r="SA222" s="2"/>
      <c r="SB222" s="2"/>
      <c r="SC222" s="2"/>
      <c r="SD222" s="2"/>
      <c r="SE222" s="2"/>
      <c r="SF222" s="2"/>
      <c r="SG222" s="2"/>
      <c r="SH222" s="2"/>
      <c r="SI222" s="2"/>
      <c r="SJ222" s="2"/>
      <c r="SK222" s="2"/>
      <c r="SL222" s="2"/>
      <c r="SM222" s="2"/>
      <c r="SN222" s="2"/>
      <c r="SO222" s="2"/>
      <c r="SP222" s="2"/>
      <c r="SQ222" s="2"/>
      <c r="SR222" s="2"/>
      <c r="SS222" s="2"/>
      <c r="ST222" s="2"/>
      <c r="SU222" s="2"/>
      <c r="SV222" s="2"/>
      <c r="SW222" s="2"/>
      <c r="SX222" s="2"/>
    </row>
    <row r="223" spans="33:518" x14ac:dyDescent="0.25"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  <c r="FK223" s="2"/>
      <c r="FL223" s="2"/>
      <c r="FM223" s="2"/>
      <c r="FN223" s="2"/>
      <c r="FO223" s="2"/>
      <c r="FP223" s="2"/>
      <c r="FQ223" s="2"/>
      <c r="FR223" s="2"/>
      <c r="FS223" s="2"/>
      <c r="FT223" s="2"/>
      <c r="FU223" s="2"/>
      <c r="FV223" s="2"/>
      <c r="FW223" s="2"/>
      <c r="FX223" s="2"/>
      <c r="FY223" s="2"/>
      <c r="FZ223" s="2"/>
      <c r="GA223" s="2"/>
      <c r="GB223" s="2"/>
      <c r="GC223" s="2"/>
      <c r="GD223" s="2"/>
      <c r="GE223" s="2"/>
      <c r="GF223" s="2"/>
      <c r="GG223" s="2"/>
      <c r="GH223" s="2"/>
      <c r="GI223" s="2"/>
      <c r="GJ223" s="2"/>
      <c r="GK223" s="2"/>
      <c r="GL223" s="2"/>
      <c r="GM223" s="2"/>
      <c r="GN223" s="2"/>
      <c r="GO223" s="2"/>
      <c r="GP223" s="2"/>
      <c r="GQ223" s="2"/>
      <c r="GR223" s="2"/>
      <c r="GS223" s="2"/>
      <c r="GT223" s="2"/>
      <c r="GU223" s="2"/>
      <c r="GV223" s="2"/>
      <c r="GW223" s="2"/>
      <c r="GX223" s="2"/>
      <c r="GY223" s="2"/>
      <c r="GZ223" s="2"/>
      <c r="HA223" s="2"/>
      <c r="HB223" s="2"/>
      <c r="HC223" s="2"/>
      <c r="HD223" s="2"/>
      <c r="HE223" s="2"/>
      <c r="HF223" s="2"/>
      <c r="HG223" s="2"/>
      <c r="HH223" s="2"/>
      <c r="HI223" s="2"/>
      <c r="HJ223" s="2"/>
      <c r="HK223" s="2"/>
      <c r="HL223" s="2"/>
      <c r="HM223" s="2"/>
      <c r="HN223" s="2"/>
      <c r="HO223" s="2"/>
      <c r="HP223" s="2"/>
      <c r="HQ223" s="2"/>
      <c r="HR223" s="2"/>
      <c r="HS223" s="2"/>
      <c r="HT223" s="2"/>
      <c r="HU223" s="2"/>
      <c r="HV223" s="2"/>
      <c r="HW223" s="2"/>
      <c r="HX223" s="2"/>
      <c r="HY223" s="2"/>
      <c r="HZ223" s="2"/>
      <c r="IA223" s="2"/>
      <c r="IB223" s="2"/>
      <c r="IC223" s="2"/>
      <c r="ID223" s="2"/>
      <c r="IE223" s="2"/>
      <c r="IF223" s="2"/>
      <c r="IG223" s="2"/>
      <c r="IH223" s="2"/>
      <c r="II223" s="2"/>
      <c r="IJ223" s="2"/>
      <c r="IK223" s="2"/>
      <c r="IL223" s="2"/>
      <c r="IM223" s="2"/>
      <c r="IN223" s="2"/>
      <c r="IO223" s="2"/>
      <c r="IP223" s="2"/>
      <c r="IQ223" s="2"/>
      <c r="IR223" s="2"/>
      <c r="IS223" s="2"/>
      <c r="IT223" s="2"/>
      <c r="IU223" s="2"/>
      <c r="IV223" s="2"/>
      <c r="IW223" s="2"/>
      <c r="IX223" s="2"/>
      <c r="IY223" s="2"/>
      <c r="IZ223" s="2"/>
      <c r="JA223" s="2"/>
      <c r="JB223" s="2"/>
      <c r="JC223" s="2"/>
      <c r="JD223" s="2"/>
      <c r="JE223" s="2"/>
      <c r="JF223" s="2"/>
      <c r="JG223" s="2"/>
      <c r="JH223" s="2"/>
      <c r="JI223" s="2"/>
      <c r="JJ223" s="2"/>
      <c r="JK223" s="2"/>
      <c r="JL223" s="2"/>
      <c r="JM223" s="2"/>
      <c r="JN223" s="2"/>
      <c r="JO223" s="2"/>
      <c r="JP223" s="2"/>
      <c r="JQ223" s="2"/>
      <c r="JR223" s="2"/>
      <c r="JS223" s="2"/>
      <c r="JT223" s="2"/>
      <c r="JU223" s="2"/>
      <c r="JV223" s="2"/>
      <c r="JW223" s="2"/>
      <c r="JX223" s="2"/>
      <c r="JY223" s="2"/>
      <c r="JZ223" s="2"/>
      <c r="KA223" s="2"/>
      <c r="KB223" s="2"/>
      <c r="KC223" s="2"/>
      <c r="KD223" s="2"/>
      <c r="KE223" s="2"/>
      <c r="KF223" s="2"/>
      <c r="KG223" s="2"/>
      <c r="KH223" s="2"/>
      <c r="KI223" s="2"/>
      <c r="KJ223" s="2"/>
      <c r="KK223" s="2"/>
      <c r="KL223" s="2"/>
      <c r="KM223" s="2"/>
      <c r="KN223" s="2"/>
      <c r="KO223" s="2"/>
      <c r="KP223" s="2"/>
      <c r="KQ223" s="2"/>
      <c r="KR223" s="2"/>
      <c r="KS223" s="2"/>
      <c r="KT223" s="2"/>
      <c r="KU223" s="2"/>
      <c r="KV223" s="2"/>
      <c r="KW223" s="2"/>
      <c r="KX223" s="2"/>
      <c r="KY223" s="2"/>
      <c r="KZ223" s="2"/>
      <c r="LA223" s="2"/>
      <c r="LB223" s="2"/>
      <c r="LC223" s="2"/>
      <c r="LD223" s="2"/>
      <c r="LE223" s="2"/>
      <c r="LF223" s="2"/>
      <c r="LG223" s="2"/>
      <c r="LH223" s="2"/>
      <c r="LI223" s="2"/>
      <c r="LJ223" s="2"/>
      <c r="LK223" s="2"/>
      <c r="LL223" s="2"/>
      <c r="LM223" s="2"/>
      <c r="LN223" s="2"/>
      <c r="LO223" s="2"/>
      <c r="LP223" s="2"/>
      <c r="LQ223" s="2"/>
      <c r="LR223" s="2"/>
      <c r="LS223" s="2"/>
      <c r="LT223" s="2"/>
      <c r="LU223" s="2"/>
      <c r="LV223" s="2"/>
      <c r="LW223" s="2"/>
      <c r="LX223" s="2"/>
      <c r="LY223" s="2"/>
      <c r="LZ223" s="2"/>
      <c r="MA223" s="2"/>
      <c r="MB223" s="2"/>
      <c r="MC223" s="2"/>
      <c r="MD223" s="2"/>
      <c r="ME223" s="2"/>
      <c r="MF223" s="2"/>
      <c r="MG223" s="2"/>
      <c r="MH223" s="2"/>
      <c r="MI223" s="2"/>
      <c r="MJ223" s="2"/>
      <c r="MK223" s="2"/>
      <c r="ML223" s="2"/>
      <c r="MM223" s="2"/>
      <c r="MN223" s="2"/>
      <c r="MO223" s="2"/>
      <c r="MP223" s="2"/>
      <c r="MQ223" s="2"/>
      <c r="MR223" s="2"/>
      <c r="MS223" s="2"/>
      <c r="MT223" s="2"/>
      <c r="MU223" s="2"/>
      <c r="MV223" s="2"/>
      <c r="MW223" s="2"/>
      <c r="MX223" s="2"/>
      <c r="MY223" s="2"/>
      <c r="MZ223" s="2"/>
      <c r="NA223" s="2"/>
      <c r="NB223" s="2"/>
      <c r="NC223" s="2"/>
      <c r="ND223" s="2"/>
      <c r="NE223" s="2"/>
      <c r="NF223" s="2"/>
      <c r="NG223" s="2"/>
      <c r="NH223" s="2"/>
      <c r="NI223" s="2"/>
      <c r="NJ223" s="2"/>
      <c r="NK223" s="2"/>
      <c r="NL223" s="2"/>
      <c r="NM223" s="2"/>
      <c r="NN223" s="2"/>
      <c r="NO223" s="2"/>
      <c r="NP223" s="2"/>
      <c r="NQ223" s="2"/>
      <c r="NR223" s="2"/>
      <c r="NS223" s="2"/>
      <c r="NT223" s="2"/>
      <c r="NU223" s="2"/>
      <c r="NV223" s="2"/>
      <c r="NW223" s="2"/>
      <c r="NX223" s="2"/>
      <c r="NY223" s="2"/>
      <c r="NZ223" s="2"/>
      <c r="OA223" s="2"/>
      <c r="OB223" s="2"/>
      <c r="OC223" s="2"/>
      <c r="OD223" s="2"/>
      <c r="OE223" s="2"/>
      <c r="OF223" s="2"/>
      <c r="OG223" s="2"/>
      <c r="OH223" s="2"/>
      <c r="OI223" s="2"/>
      <c r="OJ223" s="2"/>
      <c r="OK223" s="2"/>
      <c r="OL223" s="2"/>
      <c r="OM223" s="2"/>
      <c r="ON223" s="2"/>
      <c r="OO223" s="2"/>
      <c r="OP223" s="2"/>
      <c r="OQ223" s="2"/>
      <c r="OR223" s="2"/>
      <c r="OS223" s="2"/>
      <c r="OT223" s="2"/>
      <c r="OU223" s="2"/>
      <c r="OV223" s="2"/>
      <c r="OW223" s="2"/>
      <c r="OX223" s="2"/>
      <c r="OY223" s="2"/>
      <c r="OZ223" s="2"/>
      <c r="PA223" s="2"/>
      <c r="PB223" s="2"/>
      <c r="PC223" s="2"/>
      <c r="PD223" s="2"/>
      <c r="PE223" s="2"/>
      <c r="PF223" s="2"/>
      <c r="PG223" s="2"/>
      <c r="PH223" s="2"/>
      <c r="PI223" s="2"/>
      <c r="PJ223" s="2"/>
      <c r="PK223" s="2"/>
      <c r="PL223" s="2"/>
      <c r="PM223" s="2"/>
      <c r="PN223" s="2"/>
      <c r="PO223" s="2"/>
      <c r="PP223" s="2"/>
      <c r="PQ223" s="2"/>
      <c r="PR223" s="2"/>
      <c r="PS223" s="2"/>
      <c r="PT223" s="2"/>
      <c r="PU223" s="2"/>
      <c r="PV223" s="2"/>
      <c r="PW223" s="2"/>
      <c r="PX223" s="2"/>
      <c r="PY223" s="2"/>
      <c r="PZ223" s="2"/>
      <c r="QA223" s="2"/>
      <c r="QB223" s="2"/>
      <c r="QC223" s="2"/>
      <c r="QD223" s="2"/>
      <c r="QE223" s="2"/>
      <c r="QF223" s="2"/>
      <c r="QG223" s="2"/>
      <c r="QH223" s="2"/>
      <c r="QI223" s="2"/>
      <c r="QJ223" s="2"/>
      <c r="QK223" s="2"/>
      <c r="QL223" s="2"/>
      <c r="QM223" s="2"/>
      <c r="QN223" s="2"/>
      <c r="QO223" s="2"/>
      <c r="QP223" s="2"/>
      <c r="QQ223" s="2"/>
      <c r="QR223" s="2"/>
      <c r="QS223" s="2"/>
      <c r="QT223" s="2"/>
      <c r="QU223" s="2"/>
      <c r="QV223" s="2"/>
      <c r="QW223" s="2"/>
      <c r="QX223" s="2"/>
      <c r="QY223" s="2"/>
      <c r="QZ223" s="2"/>
      <c r="RA223" s="2"/>
      <c r="RB223" s="2"/>
      <c r="RC223" s="2"/>
      <c r="RD223" s="2"/>
      <c r="RE223" s="2"/>
      <c r="RF223" s="2"/>
      <c r="RG223" s="2"/>
      <c r="RH223" s="2"/>
      <c r="RI223" s="2"/>
      <c r="RJ223" s="2"/>
      <c r="RK223" s="2"/>
      <c r="RL223" s="2"/>
      <c r="RM223" s="2"/>
      <c r="RN223" s="2"/>
      <c r="RO223" s="2"/>
      <c r="RP223" s="2"/>
      <c r="RQ223" s="2"/>
      <c r="RR223" s="2"/>
      <c r="RS223" s="2"/>
      <c r="RT223" s="2"/>
      <c r="RU223" s="2"/>
      <c r="RV223" s="2"/>
      <c r="RW223" s="2"/>
      <c r="RX223" s="2"/>
      <c r="RY223" s="2"/>
      <c r="RZ223" s="2"/>
      <c r="SA223" s="2"/>
      <c r="SB223" s="2"/>
      <c r="SC223" s="2"/>
      <c r="SD223" s="2"/>
      <c r="SE223" s="2"/>
      <c r="SF223" s="2"/>
      <c r="SG223" s="2"/>
      <c r="SH223" s="2"/>
      <c r="SI223" s="2"/>
      <c r="SJ223" s="2"/>
      <c r="SK223" s="2"/>
      <c r="SL223" s="2"/>
      <c r="SM223" s="2"/>
      <c r="SN223" s="2"/>
      <c r="SO223" s="2"/>
      <c r="SP223" s="2"/>
      <c r="SQ223" s="2"/>
      <c r="SR223" s="2"/>
      <c r="SS223" s="2"/>
      <c r="ST223" s="2"/>
      <c r="SU223" s="2"/>
      <c r="SV223" s="2"/>
      <c r="SW223" s="2"/>
      <c r="SX223" s="2"/>
    </row>
    <row r="224" spans="33:518" x14ac:dyDescent="0.25"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  <c r="FK224" s="2"/>
      <c r="FL224" s="2"/>
      <c r="FM224" s="2"/>
      <c r="FN224" s="2"/>
      <c r="FO224" s="2"/>
      <c r="FP224" s="2"/>
      <c r="FQ224" s="2"/>
      <c r="FR224" s="2"/>
      <c r="FS224" s="2"/>
      <c r="FT224" s="2"/>
      <c r="FU224" s="2"/>
      <c r="FV224" s="2"/>
      <c r="FW224" s="2"/>
      <c r="FX224" s="2"/>
      <c r="FY224" s="2"/>
      <c r="FZ224" s="2"/>
      <c r="GA224" s="2"/>
      <c r="GB224" s="2"/>
      <c r="GC224" s="2"/>
      <c r="GD224" s="2"/>
      <c r="GE224" s="2"/>
      <c r="GF224" s="2"/>
      <c r="GG224" s="2"/>
      <c r="GH224" s="2"/>
      <c r="GI224" s="2"/>
      <c r="GJ224" s="2"/>
      <c r="GK224" s="2"/>
      <c r="GL224" s="2"/>
      <c r="GM224" s="2"/>
      <c r="GN224" s="2"/>
      <c r="GO224" s="2"/>
      <c r="GP224" s="2"/>
      <c r="GQ224" s="2"/>
      <c r="GR224" s="2"/>
      <c r="GS224" s="2"/>
      <c r="GT224" s="2"/>
      <c r="GU224" s="2"/>
      <c r="GV224" s="2"/>
      <c r="GW224" s="2"/>
      <c r="GX224" s="2"/>
      <c r="GY224" s="2"/>
      <c r="GZ224" s="2"/>
      <c r="HA224" s="2"/>
      <c r="HB224" s="2"/>
      <c r="HC224" s="2"/>
      <c r="HD224" s="2"/>
      <c r="HE224" s="2"/>
      <c r="HF224" s="2"/>
      <c r="HG224" s="2"/>
      <c r="HH224" s="2"/>
      <c r="HI224" s="2"/>
      <c r="HJ224" s="2"/>
      <c r="HK224" s="2"/>
      <c r="HL224" s="2"/>
      <c r="HM224" s="2"/>
      <c r="HN224" s="2"/>
      <c r="HO224" s="2"/>
      <c r="HP224" s="2"/>
      <c r="HQ224" s="2"/>
      <c r="HR224" s="2"/>
      <c r="HS224" s="2"/>
      <c r="HT224" s="2"/>
      <c r="HU224" s="2"/>
      <c r="HV224" s="2"/>
      <c r="HW224" s="2"/>
      <c r="HX224" s="2"/>
      <c r="HY224" s="2"/>
      <c r="HZ224" s="2"/>
      <c r="IA224" s="2"/>
      <c r="IB224" s="2"/>
      <c r="IC224" s="2"/>
      <c r="ID224" s="2"/>
      <c r="IE224" s="2"/>
      <c r="IF224" s="2"/>
      <c r="IG224" s="2"/>
      <c r="IH224" s="2"/>
      <c r="II224" s="2"/>
      <c r="IJ224" s="2"/>
      <c r="IK224" s="2"/>
      <c r="IL224" s="2"/>
      <c r="IM224" s="2"/>
      <c r="IN224" s="2"/>
      <c r="IO224" s="2"/>
      <c r="IP224" s="2"/>
      <c r="IQ224" s="2"/>
      <c r="IR224" s="2"/>
      <c r="IS224" s="2"/>
      <c r="IT224" s="2"/>
      <c r="IU224" s="2"/>
      <c r="IV224" s="2"/>
      <c r="IW224" s="2"/>
      <c r="IX224" s="2"/>
      <c r="IY224" s="2"/>
      <c r="IZ224" s="2"/>
      <c r="JA224" s="2"/>
      <c r="JB224" s="2"/>
      <c r="JC224" s="2"/>
      <c r="JD224" s="2"/>
      <c r="JE224" s="2"/>
      <c r="JF224" s="2"/>
      <c r="JG224" s="2"/>
      <c r="JH224" s="2"/>
      <c r="JI224" s="2"/>
      <c r="JJ224" s="2"/>
      <c r="JK224" s="2"/>
      <c r="JL224" s="2"/>
      <c r="JM224" s="2"/>
      <c r="JN224" s="2"/>
      <c r="JO224" s="2"/>
      <c r="JP224" s="2"/>
      <c r="JQ224" s="2"/>
      <c r="JR224" s="2"/>
      <c r="JS224" s="2"/>
      <c r="JT224" s="2"/>
      <c r="JU224" s="2"/>
      <c r="JV224" s="2"/>
      <c r="JW224" s="2"/>
      <c r="JX224" s="2"/>
      <c r="JY224" s="2"/>
      <c r="JZ224" s="2"/>
      <c r="KA224" s="2"/>
      <c r="KB224" s="2"/>
      <c r="KC224" s="2"/>
      <c r="KD224" s="2"/>
      <c r="KE224" s="2"/>
      <c r="KF224" s="2"/>
      <c r="KG224" s="2"/>
      <c r="KH224" s="2"/>
      <c r="KI224" s="2"/>
      <c r="KJ224" s="2"/>
      <c r="KK224" s="2"/>
      <c r="KL224" s="2"/>
      <c r="KM224" s="2"/>
      <c r="KN224" s="2"/>
      <c r="KO224" s="2"/>
      <c r="KP224" s="2"/>
      <c r="KQ224" s="2"/>
      <c r="KR224" s="2"/>
      <c r="KS224" s="2"/>
      <c r="KT224" s="2"/>
      <c r="KU224" s="2"/>
      <c r="KV224" s="2"/>
      <c r="KW224" s="2"/>
      <c r="KX224" s="2"/>
      <c r="KY224" s="2"/>
      <c r="KZ224" s="2"/>
      <c r="LA224" s="2"/>
      <c r="LB224" s="2"/>
      <c r="LC224" s="2"/>
      <c r="LD224" s="2"/>
      <c r="LE224" s="2"/>
      <c r="LF224" s="2"/>
      <c r="LG224" s="2"/>
      <c r="LH224" s="2"/>
      <c r="LI224" s="2"/>
      <c r="LJ224" s="2"/>
      <c r="LK224" s="2"/>
      <c r="LL224" s="2"/>
      <c r="LM224" s="2"/>
      <c r="LN224" s="2"/>
      <c r="LO224" s="2"/>
      <c r="LP224" s="2"/>
      <c r="LQ224" s="2"/>
      <c r="LR224" s="2"/>
      <c r="LS224" s="2"/>
      <c r="LT224" s="2"/>
      <c r="LU224" s="2"/>
      <c r="LV224" s="2"/>
      <c r="LW224" s="2"/>
      <c r="LX224" s="2"/>
      <c r="LY224" s="2"/>
      <c r="LZ224" s="2"/>
      <c r="MA224" s="2"/>
      <c r="MB224" s="2"/>
      <c r="MC224" s="2"/>
      <c r="MD224" s="2"/>
      <c r="ME224" s="2"/>
      <c r="MF224" s="2"/>
      <c r="MG224" s="2"/>
      <c r="MH224" s="2"/>
      <c r="MI224" s="2"/>
      <c r="MJ224" s="2"/>
      <c r="MK224" s="2"/>
      <c r="ML224" s="2"/>
      <c r="MM224" s="2"/>
      <c r="MN224" s="2"/>
      <c r="MO224" s="2"/>
      <c r="MP224" s="2"/>
      <c r="MQ224" s="2"/>
      <c r="MR224" s="2"/>
      <c r="MS224" s="2"/>
      <c r="MT224" s="2"/>
      <c r="MU224" s="2"/>
      <c r="MV224" s="2"/>
      <c r="MW224" s="2"/>
      <c r="MX224" s="2"/>
      <c r="MY224" s="2"/>
      <c r="MZ224" s="2"/>
      <c r="NA224" s="2"/>
      <c r="NB224" s="2"/>
      <c r="NC224" s="2"/>
      <c r="ND224" s="2"/>
      <c r="NE224" s="2"/>
      <c r="NF224" s="2"/>
      <c r="NG224" s="2"/>
      <c r="NH224" s="2"/>
      <c r="NI224" s="2"/>
      <c r="NJ224" s="2"/>
      <c r="NK224" s="2"/>
      <c r="NL224" s="2"/>
      <c r="NM224" s="2"/>
      <c r="NN224" s="2"/>
      <c r="NO224" s="2"/>
      <c r="NP224" s="2"/>
      <c r="NQ224" s="2"/>
      <c r="NR224" s="2"/>
      <c r="NS224" s="2"/>
      <c r="NT224" s="2"/>
      <c r="NU224" s="2"/>
      <c r="NV224" s="2"/>
      <c r="NW224" s="2"/>
      <c r="NX224" s="2"/>
      <c r="NY224" s="2"/>
      <c r="NZ224" s="2"/>
      <c r="OA224" s="2"/>
      <c r="OB224" s="2"/>
      <c r="OC224" s="2"/>
      <c r="OD224" s="2"/>
      <c r="OE224" s="2"/>
      <c r="OF224" s="2"/>
      <c r="OG224" s="2"/>
      <c r="OH224" s="2"/>
      <c r="OI224" s="2"/>
      <c r="OJ224" s="2"/>
      <c r="OK224" s="2"/>
      <c r="OL224" s="2"/>
      <c r="OM224" s="2"/>
      <c r="ON224" s="2"/>
      <c r="OO224" s="2"/>
      <c r="OP224" s="2"/>
      <c r="OQ224" s="2"/>
      <c r="OR224" s="2"/>
      <c r="OS224" s="2"/>
      <c r="OT224" s="2"/>
      <c r="OU224" s="2"/>
      <c r="OV224" s="2"/>
      <c r="OW224" s="2"/>
      <c r="OX224" s="2"/>
      <c r="OY224" s="2"/>
      <c r="OZ224" s="2"/>
      <c r="PA224" s="2"/>
      <c r="PB224" s="2"/>
      <c r="PC224" s="2"/>
      <c r="PD224" s="2"/>
      <c r="PE224" s="2"/>
      <c r="PF224" s="2"/>
      <c r="PG224" s="2"/>
      <c r="PH224" s="2"/>
      <c r="PI224" s="2"/>
      <c r="PJ224" s="2"/>
      <c r="PK224" s="2"/>
      <c r="PL224" s="2"/>
      <c r="PM224" s="2"/>
      <c r="PN224" s="2"/>
      <c r="PO224" s="2"/>
      <c r="PP224" s="2"/>
      <c r="PQ224" s="2"/>
      <c r="PR224" s="2"/>
      <c r="PS224" s="2"/>
      <c r="PT224" s="2"/>
      <c r="PU224" s="2"/>
      <c r="PV224" s="2"/>
      <c r="PW224" s="2"/>
      <c r="PX224" s="2"/>
      <c r="PY224" s="2"/>
      <c r="PZ224" s="2"/>
      <c r="QA224" s="2"/>
      <c r="QB224" s="2"/>
      <c r="QC224" s="2"/>
      <c r="QD224" s="2"/>
      <c r="QE224" s="2"/>
      <c r="QF224" s="2"/>
      <c r="QG224" s="2"/>
      <c r="QH224" s="2"/>
      <c r="QI224" s="2"/>
      <c r="QJ224" s="2"/>
      <c r="QK224" s="2"/>
      <c r="QL224" s="2"/>
      <c r="QM224" s="2"/>
      <c r="QN224" s="2"/>
      <c r="QO224" s="2"/>
      <c r="QP224" s="2"/>
      <c r="QQ224" s="2"/>
      <c r="QR224" s="2"/>
      <c r="QS224" s="2"/>
      <c r="QT224" s="2"/>
      <c r="QU224" s="2"/>
      <c r="QV224" s="2"/>
      <c r="QW224" s="2"/>
      <c r="QX224" s="2"/>
      <c r="QY224" s="2"/>
      <c r="QZ224" s="2"/>
      <c r="RA224" s="2"/>
      <c r="RB224" s="2"/>
      <c r="RC224" s="2"/>
      <c r="RD224" s="2"/>
      <c r="RE224" s="2"/>
      <c r="RF224" s="2"/>
      <c r="RG224" s="2"/>
      <c r="RH224" s="2"/>
      <c r="RI224" s="2"/>
      <c r="RJ224" s="2"/>
      <c r="RK224" s="2"/>
      <c r="RL224" s="2"/>
      <c r="RM224" s="2"/>
      <c r="RN224" s="2"/>
      <c r="RO224" s="2"/>
      <c r="RP224" s="2"/>
      <c r="RQ224" s="2"/>
      <c r="RR224" s="2"/>
      <c r="RS224" s="2"/>
      <c r="RT224" s="2"/>
      <c r="RU224" s="2"/>
      <c r="RV224" s="2"/>
      <c r="RW224" s="2"/>
      <c r="RX224" s="2"/>
      <c r="RY224" s="2"/>
      <c r="RZ224" s="2"/>
      <c r="SA224" s="2"/>
      <c r="SB224" s="2"/>
      <c r="SC224" s="2"/>
      <c r="SD224" s="2"/>
      <c r="SE224" s="2"/>
      <c r="SF224" s="2"/>
      <c r="SG224" s="2"/>
      <c r="SH224" s="2"/>
      <c r="SI224" s="2"/>
      <c r="SJ224" s="2"/>
      <c r="SK224" s="2"/>
      <c r="SL224" s="2"/>
      <c r="SM224" s="2"/>
      <c r="SN224" s="2"/>
      <c r="SO224" s="2"/>
      <c r="SP224" s="2"/>
      <c r="SQ224" s="2"/>
      <c r="SR224" s="2"/>
      <c r="SS224" s="2"/>
      <c r="ST224" s="2"/>
      <c r="SU224" s="2"/>
      <c r="SV224" s="2"/>
      <c r="SW224" s="2"/>
      <c r="SX224" s="2"/>
    </row>
  </sheetData>
  <sheetProtection selectLockedCells="1" selectUnlockedCells="1"/>
  <mergeCells count="25">
    <mergeCell ref="A51:A56"/>
    <mergeCell ref="A58:A63"/>
    <mergeCell ref="A43:B43"/>
    <mergeCell ref="A50:B50"/>
    <mergeCell ref="A57:B57"/>
    <mergeCell ref="A44:A49"/>
    <mergeCell ref="A79:A84"/>
    <mergeCell ref="A85:B85"/>
    <mergeCell ref="A64:B64"/>
    <mergeCell ref="A65:A70"/>
    <mergeCell ref="A71:B71"/>
    <mergeCell ref="A72:A77"/>
    <mergeCell ref="A78:B78"/>
    <mergeCell ref="A29:B29"/>
    <mergeCell ref="A36:B36"/>
    <mergeCell ref="A30:A35"/>
    <mergeCell ref="A37:A42"/>
    <mergeCell ref="A1:B1"/>
    <mergeCell ref="A2:A7"/>
    <mergeCell ref="A9:A14"/>
    <mergeCell ref="A16:A21"/>
    <mergeCell ref="A23:A28"/>
    <mergeCell ref="A8:B8"/>
    <mergeCell ref="A15:B15"/>
    <mergeCell ref="A22:B22"/>
  </mergeCells>
  <hyperlinks>
    <hyperlink ref="B2" location="'PAPEL 1'!A1" display="PAPEL 1"/>
    <hyperlink ref="B3" location="'PLASTICO 1'!A1" display="PLASTICO 1"/>
    <hyperlink ref="B4" location="'BOLSA GRIS 1'!A1" display="BOLSA GRIS 1"/>
    <hyperlink ref="B5" location="'BOLSA VERDE 1'!A1" display="BOLSA VERDE 1"/>
    <hyperlink ref="B6" location="'BOLSA NEGRA 1'!A1" display="BOLSA NEGRA 1"/>
    <hyperlink ref="B7" location="'ICOPOR 1'!A1" display="ICOPOR 1"/>
    <hyperlink ref="B9" location="'PAPEL 2'!A1" display="PAPEL 2"/>
    <hyperlink ref="B10" location="'PLASTICO 2'!A1" display="PLASTICO 2"/>
    <hyperlink ref="B11" location="'BOLSA GRIS 2'!A1" display="BOLSA GRIS 2"/>
    <hyperlink ref="B12" location="'BOLSA VERDE 2'!A1" display="BOLSA VERDE 2"/>
    <hyperlink ref="B13" location="'BOLSA NEGRA 2'!A1" display="BOLSA NEGRA 2"/>
    <hyperlink ref="B14" location="'ICOPOR 2'!A1" display="ICOPOR 2"/>
    <hyperlink ref="B16" location="'PAPEL 3'!A1" display="PAPEL 3"/>
    <hyperlink ref="B17" location="'PLASTICO 3'!A1" display="PLASTICO 3"/>
    <hyperlink ref="B18" location="'BOLSA GRIS 3'!A1" display="BOLSA GRIS 3"/>
    <hyperlink ref="B19" location="'BOLSA VERDE 3'!A1" display="BOLSA VERDE 3"/>
    <hyperlink ref="B20" location="'BOLSA NEGRA 3'!A1" display="BOLSA NEGRA 3"/>
    <hyperlink ref="B21" location="'ICOPOR 3'!A1" display="ICOPOR 3"/>
    <hyperlink ref="B23" location="'PAPEL 4'!A1" display="PAPEL 4"/>
    <hyperlink ref="B24" location="'PLASTICO 4'!A1" display="PLASTICO 4"/>
    <hyperlink ref="B25" location="'BOLSA GRIS 4'!A1" display="BOLSA GRIS 4"/>
    <hyperlink ref="B26" location="'BOLSA VERDE 4'!A1" display="BOLSA VERDE 4"/>
    <hyperlink ref="B27" location="'BOLSA NEGRA 4'!A1" display="BOLSA NEGRA 4"/>
    <hyperlink ref="B28" location="'ICOPOR 4'!A1" display="ICOPOR 4"/>
    <hyperlink ref="B30" location="'PAPEL 4'!A1" display="PAPEL 5"/>
    <hyperlink ref="B31" location="'PLASTICO 3'!A1" display="PLASTICO 5"/>
    <hyperlink ref="B32" location="'BOLSA GRIS 3'!A1" display="BOLSA GRIS 5"/>
    <hyperlink ref="B33" location="'BOLSA VERDE 3'!A1" display="BOLSA VERDE 5"/>
    <hyperlink ref="B34" location="'BOLSA NEGRA 3'!A1" display="BOLSA NEGRA 5"/>
    <hyperlink ref="B35" location="'ICOPOR 3'!A1" display="ICOPOR 5"/>
    <hyperlink ref="B37" location="'PAPEL 6'!A1" display="PAPEL 6"/>
    <hyperlink ref="B38" location="'PLASTICO 6'!A1" display="PLASTICO 6"/>
    <hyperlink ref="B39" location="'BOLSA GRIS 6'!A1" display="BOLSA GRIS 6"/>
    <hyperlink ref="B40" location="'BOLSA VERDE 6'!A1" display="BOLSA VERDE 6"/>
    <hyperlink ref="B41" location="'BOLSA NEGRA 6'!A1" display="BOLSA NEGRA 6"/>
    <hyperlink ref="B42" location="'ICOPOR 6'!A1" display="ICOPOR 6"/>
    <hyperlink ref="B44" location="'PAPEL 7'!A1" display="PAPEL 7"/>
    <hyperlink ref="B46" location="'BOLSA GRIS 7'!A1" display="BOLSA GRIS 7"/>
    <hyperlink ref="B47" location="'BOLSA VERDE 7'!A1" display="BOLSA VERDE 7"/>
    <hyperlink ref="B48" location="'BOLSA NEGRA 7'!A1" display="BOLSA NEGRA 7"/>
    <hyperlink ref="B49" location="'ICOPOR 7'!A1" display="ICOPOR 7"/>
  </hyperlinks>
  <pageMargins left="0.7" right="0.7" top="0.75" bottom="0.75" header="0.51180555555555551" footer="0.51180555555555551"/>
  <pageSetup firstPageNumber="0" orientation="portrait" horizontalDpi="300" verticalDpi="300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8.5703125" customWidth="1"/>
    <col min="3" max="3" width="8" customWidth="1"/>
    <col min="4" max="5" width="7.28515625" customWidth="1"/>
    <col min="6" max="6" width="7.5703125" customWidth="1"/>
    <col min="7" max="7" width="7.42578125" customWidth="1"/>
    <col min="8" max="8" width="7.140625" customWidth="1"/>
    <col min="9" max="9" width="7.5703125" customWidth="1"/>
    <col min="10" max="10" width="9.42578125" customWidth="1"/>
    <col min="11" max="12" width="7.28515625" customWidth="1"/>
    <col min="13" max="13" width="7.42578125" customWidth="1"/>
    <col min="14" max="14" width="7.28515625" customWidth="1"/>
    <col min="15" max="15" width="7.5703125" customWidth="1"/>
    <col min="16" max="16" width="7.85546875" customWidth="1"/>
    <col min="17" max="17" width="7.140625" customWidth="1"/>
    <col min="18" max="18" width="7.5703125" customWidth="1"/>
    <col min="19" max="19" width="8" customWidth="1"/>
    <col min="20" max="20" width="7.7109375" customWidth="1"/>
    <col min="21" max="21" width="7.140625" customWidth="1"/>
    <col min="22" max="22" width="7.85546875" customWidth="1"/>
    <col min="23" max="23" width="8" customWidth="1"/>
    <col min="24" max="24" width="7.28515625" customWidth="1"/>
    <col min="25" max="26" width="7.5703125" customWidth="1"/>
    <col min="27" max="29" width="7.85546875" customWidth="1"/>
    <col min="30" max="30" width="7.7109375" customWidth="1"/>
    <col min="31" max="31" width="6.85546875" customWidth="1"/>
    <col min="32" max="32" width="7.85546875" customWidth="1"/>
    <col min="33" max="33" width="13.4257812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46"/>
      <c r="AH3" s="47"/>
      <c r="AI3" s="48"/>
    </row>
    <row r="4" spans="1:35" s="44" customFormat="1" ht="21" x14ac:dyDescent="0.35">
      <c r="A4" s="60" t="s">
        <v>193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46"/>
      <c r="AH4" s="48"/>
      <c r="AI4" s="48"/>
    </row>
    <row r="5" spans="1:35" s="44" customFormat="1" ht="18.75" customHeight="1" x14ac:dyDescent="0.35">
      <c r="A5" s="60" t="s">
        <v>83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46"/>
      <c r="AH5" s="48"/>
      <c r="AI5" s="48"/>
    </row>
    <row r="6" spans="1:35" s="44" customFormat="1" ht="18.75" customHeight="1" x14ac:dyDescent="0.35">
      <c r="A6" s="60" t="s">
        <v>84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46">
        <f>SUM(B6:AF6)</f>
        <v>0</v>
      </c>
      <c r="AH6" s="48"/>
      <c r="AI6" s="48"/>
    </row>
    <row r="7" spans="1:35" s="44" customFormat="1" ht="18.75" customHeight="1" x14ac:dyDescent="0.35">
      <c r="A7" s="60" t="s">
        <v>64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46"/>
      <c r="AH7" s="48"/>
      <c r="AI7" s="48"/>
    </row>
    <row r="8" spans="1:35" s="44" customFormat="1" ht="18.75" customHeight="1" x14ac:dyDescent="0.35">
      <c r="A8" s="60" t="s">
        <v>65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46"/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/>
      <c r="AH9" s="48"/>
      <c r="AI9" s="48"/>
    </row>
    <row r="10" spans="1:35" s="44" customFormat="1" ht="18.75" customHeight="1" x14ac:dyDescent="0.35">
      <c r="A10" s="60" t="s">
        <v>67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/>
      <c r="AH10" s="48"/>
      <c r="AI10" s="48"/>
    </row>
    <row r="11" spans="1:35" s="44" customFormat="1" ht="18.75" customHeight="1" x14ac:dyDescent="0.35">
      <c r="A11" s="60" t="s">
        <v>152</v>
      </c>
      <c r="B11" s="52"/>
      <c r="C11" s="52"/>
      <c r="D11" s="52"/>
      <c r="E11" s="52"/>
      <c r="F11" s="52"/>
      <c r="G11" s="52"/>
      <c r="H11" s="52"/>
      <c r="I11" s="52"/>
      <c r="J11" s="52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  <c r="AF11" s="52"/>
      <c r="AG11" s="46"/>
      <c r="AH11" s="48"/>
      <c r="AI11" s="48"/>
    </row>
    <row r="12" spans="1:35" s="44" customFormat="1" ht="18.75" customHeight="1" x14ac:dyDescent="0.35">
      <c r="A12" s="60" t="s">
        <v>91</v>
      </c>
      <c r="B12" s="52"/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46"/>
      <c r="AH12" s="48"/>
      <c r="AI12" s="48"/>
    </row>
    <row r="13" spans="1:35" s="44" customFormat="1" ht="22.5" customHeight="1" x14ac:dyDescent="0.35">
      <c r="A13" s="60" t="s">
        <v>69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/>
      <c r="AH13" s="48"/>
      <c r="AI13" s="48"/>
    </row>
    <row r="14" spans="1:35" s="44" customFormat="1" ht="18.75" customHeight="1" x14ac:dyDescent="0.35">
      <c r="A14" s="60" t="s">
        <v>71</v>
      </c>
      <c r="B14" s="52"/>
      <c r="C14" s="52"/>
      <c r="D14" s="52"/>
      <c r="E14" s="52"/>
      <c r="F14" s="52"/>
      <c r="G14" s="52"/>
      <c r="H14" s="52"/>
      <c r="I14" s="52"/>
      <c r="J14" s="52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/>
      <c r="AH14" s="48"/>
      <c r="AI14" s="48"/>
    </row>
    <row r="15" spans="1:35" s="44" customFormat="1" ht="18.75" customHeight="1" x14ac:dyDescent="0.35">
      <c r="A15" s="60" t="s">
        <v>72</v>
      </c>
      <c r="B15" s="52"/>
      <c r="C15" s="52"/>
      <c r="D15" s="52"/>
      <c r="E15" s="52"/>
      <c r="F15" s="52"/>
      <c r="G15" s="52"/>
      <c r="H15" s="52"/>
      <c r="I15" s="52"/>
      <c r="J15" s="52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46"/>
      <c r="AH15" s="48"/>
      <c r="AI15" s="48"/>
    </row>
    <row r="16" spans="1:35" s="44" customFormat="1" ht="18.75" customHeight="1" x14ac:dyDescent="0.35">
      <c r="A16" s="60" t="s">
        <v>85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46">
        <f>SUM(B16:AF16)</f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52"/>
      <c r="C17" s="52"/>
      <c r="D17" s="52"/>
      <c r="E17" s="52"/>
      <c r="F17" s="52"/>
      <c r="G17" s="52"/>
      <c r="H17" s="52"/>
      <c r="I17" s="52"/>
      <c r="J17" s="52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/>
      <c r="AH17" s="48"/>
      <c r="AI17" s="48"/>
    </row>
    <row r="18" spans="1:35" s="44" customFormat="1" ht="18.75" customHeight="1" x14ac:dyDescent="0.35">
      <c r="A18" s="60" t="s">
        <v>73</v>
      </c>
      <c r="B18" s="52"/>
      <c r="C18" s="52"/>
      <c r="D18" s="52"/>
      <c r="E18" s="52"/>
      <c r="F18" s="52"/>
      <c r="G18" s="52"/>
      <c r="H18" s="52"/>
      <c r="I18" s="52"/>
      <c r="J18" s="52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  <c r="AF18" s="52"/>
      <c r="AG18" s="46"/>
      <c r="AH18" s="48"/>
      <c r="AI18" s="48"/>
    </row>
    <row r="19" spans="1:35" s="44" customFormat="1" ht="18.75" customHeight="1" x14ac:dyDescent="0.35">
      <c r="A19" s="60" t="s">
        <v>92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46"/>
      <c r="AH19" s="48"/>
      <c r="AI19" s="48"/>
    </row>
    <row r="20" spans="1:35" s="44" customFormat="1" ht="18.75" customHeight="1" x14ac:dyDescent="0.35">
      <c r="A20" s="60" t="s">
        <v>89</v>
      </c>
      <c r="B20" s="52"/>
      <c r="C20" s="52"/>
      <c r="D20" s="52"/>
      <c r="E20" s="52"/>
      <c r="F20" s="52"/>
      <c r="G20" s="52"/>
      <c r="H20" s="52"/>
      <c r="I20" s="52"/>
      <c r="J20" s="52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46"/>
      <c r="AH20" s="48"/>
      <c r="AI20" s="48"/>
    </row>
    <row r="21" spans="1:35" s="44" customFormat="1" ht="18.75" customHeight="1" x14ac:dyDescent="0.35">
      <c r="A21" s="60" t="s">
        <v>74</v>
      </c>
      <c r="B21" s="52"/>
      <c r="C21" s="52"/>
      <c r="D21" s="52"/>
      <c r="E21" s="52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/>
      <c r="AH21" s="48"/>
      <c r="AI21" s="48"/>
    </row>
    <row r="22" spans="1:35" s="44" customFormat="1" ht="18.75" customHeight="1" x14ac:dyDescent="0.35">
      <c r="A22" s="60" t="s">
        <v>75</v>
      </c>
      <c r="B22" s="52"/>
      <c r="C22" s="52"/>
      <c r="D22" s="52"/>
      <c r="E22" s="52"/>
      <c r="F22" s="52"/>
      <c r="G22" s="52"/>
      <c r="H22" s="52"/>
      <c r="I22" s="52"/>
      <c r="J22" s="52"/>
      <c r="K22" s="52"/>
      <c r="L22" s="52"/>
      <c r="M22" s="52"/>
      <c r="N22" s="52"/>
      <c r="O22" s="52"/>
      <c r="P22" s="52"/>
      <c r="Q22" s="52"/>
      <c r="R22" s="52"/>
      <c r="S22" s="52"/>
      <c r="T22" s="52"/>
      <c r="U22" s="52"/>
      <c r="V22" s="52"/>
      <c r="W22" s="52"/>
      <c r="X22" s="52"/>
      <c r="Y22" s="52"/>
      <c r="Z22" s="52"/>
      <c r="AA22" s="52"/>
      <c r="AB22" s="52"/>
      <c r="AC22" s="52"/>
      <c r="AD22" s="52"/>
      <c r="AE22" s="52"/>
      <c r="AF22" s="52"/>
      <c r="AG22" s="46"/>
      <c r="AH22" s="48"/>
      <c r="AI22" s="48"/>
    </row>
    <row r="23" spans="1:35" s="44" customFormat="1" ht="18.75" customHeight="1" x14ac:dyDescent="0.35">
      <c r="A23" s="60" t="s">
        <v>77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46"/>
      <c r="AH23" s="48"/>
      <c r="AI23" s="48"/>
    </row>
    <row r="24" spans="1:35" s="44" customFormat="1" ht="18.75" customHeight="1" x14ac:dyDescent="0.35">
      <c r="A24" s="60" t="s">
        <v>78</v>
      </c>
      <c r="B24" s="52"/>
      <c r="C24" s="52"/>
      <c r="D24" s="52"/>
      <c r="E24" s="52"/>
      <c r="F24" s="52"/>
      <c r="G24" s="52"/>
      <c r="H24" s="52"/>
      <c r="I24" s="52"/>
      <c r="J24" s="52"/>
      <c r="K24" s="52"/>
      <c r="L24" s="52"/>
      <c r="M24" s="52"/>
      <c r="N24" s="52"/>
      <c r="O24" s="52"/>
      <c r="P24" s="52"/>
      <c r="Q24" s="52"/>
      <c r="R24" s="52"/>
      <c r="S24" s="52"/>
      <c r="T24" s="52"/>
      <c r="U24" s="52"/>
      <c r="V24" s="52"/>
      <c r="W24" s="52"/>
      <c r="X24" s="52"/>
      <c r="Y24" s="52"/>
      <c r="Z24" s="52"/>
      <c r="AA24" s="52"/>
      <c r="AB24" s="52"/>
      <c r="AC24" s="52"/>
      <c r="AD24" s="52"/>
      <c r="AE24" s="52"/>
      <c r="AF24" s="52"/>
      <c r="AG24" s="46"/>
      <c r="AH24" s="48"/>
      <c r="AI24" s="48"/>
    </row>
    <row r="25" spans="1:35" s="44" customFormat="1" ht="18.75" customHeight="1" x14ac:dyDescent="0.35">
      <c r="A25" s="60" t="s">
        <v>79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/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/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/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/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/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ref="AG30" si="0">SUM(B30:AF30)</f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/>
      <c r="AH31" s="48"/>
      <c r="AI31" s="48"/>
    </row>
    <row r="32" spans="1:35" s="44" customFormat="1" ht="18.75" customHeight="1" x14ac:dyDescent="0.35">
      <c r="A32" s="60" t="s">
        <v>179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46"/>
      <c r="AH32" s="48"/>
      <c r="AI32" s="48"/>
    </row>
    <row r="33" spans="1:35" s="44" customFormat="1" ht="18.75" customHeight="1" x14ac:dyDescent="0.35">
      <c r="A33" s="59" t="s">
        <v>155</v>
      </c>
      <c r="B33" s="70">
        <f t="shared" ref="B33:AF33" si="1">SUM(B6:B32)</f>
        <v>0</v>
      </c>
      <c r="C33" s="70">
        <f t="shared" si="1"/>
        <v>0</v>
      </c>
      <c r="D33" s="70">
        <f t="shared" si="1"/>
        <v>0</v>
      </c>
      <c r="E33" s="70">
        <f t="shared" si="1"/>
        <v>0</v>
      </c>
      <c r="F33" s="70">
        <f t="shared" si="1"/>
        <v>0</v>
      </c>
      <c r="G33" s="70">
        <f t="shared" si="1"/>
        <v>0</v>
      </c>
      <c r="H33" s="70">
        <f t="shared" si="1"/>
        <v>0</v>
      </c>
      <c r="I33" s="70">
        <f t="shared" si="1"/>
        <v>0</v>
      </c>
      <c r="J33" s="70">
        <f t="shared" si="1"/>
        <v>0</v>
      </c>
      <c r="K33" s="70">
        <f t="shared" si="1"/>
        <v>0</v>
      </c>
      <c r="L33" s="70">
        <f t="shared" si="1"/>
        <v>0</v>
      </c>
      <c r="M33" s="70">
        <f t="shared" si="1"/>
        <v>0</v>
      </c>
      <c r="N33" s="70">
        <f t="shared" si="1"/>
        <v>0</v>
      </c>
      <c r="O33" s="70">
        <f t="shared" si="1"/>
        <v>0</v>
      </c>
      <c r="P33" s="70">
        <f t="shared" si="1"/>
        <v>0</v>
      </c>
      <c r="Q33" s="70">
        <f t="shared" si="1"/>
        <v>0</v>
      </c>
      <c r="R33" s="70">
        <f t="shared" si="1"/>
        <v>0</v>
      </c>
      <c r="S33" s="70">
        <f t="shared" si="1"/>
        <v>0</v>
      </c>
      <c r="T33" s="70">
        <f t="shared" si="1"/>
        <v>0</v>
      </c>
      <c r="U33" s="70">
        <f t="shared" si="1"/>
        <v>0</v>
      </c>
      <c r="V33" s="70">
        <f t="shared" si="1"/>
        <v>0</v>
      </c>
      <c r="W33" s="70">
        <f t="shared" si="1"/>
        <v>0</v>
      </c>
      <c r="X33" s="70">
        <f t="shared" si="1"/>
        <v>0</v>
      </c>
      <c r="Y33" s="70">
        <f t="shared" si="1"/>
        <v>0</v>
      </c>
      <c r="Z33" s="70">
        <f t="shared" si="1"/>
        <v>0</v>
      </c>
      <c r="AA33" s="70">
        <f t="shared" si="1"/>
        <v>0</v>
      </c>
      <c r="AB33" s="70">
        <f t="shared" si="1"/>
        <v>0</v>
      </c>
      <c r="AC33" s="70">
        <f t="shared" si="1"/>
        <v>0</v>
      </c>
      <c r="AD33" s="70">
        <f t="shared" si="1"/>
        <v>0</v>
      </c>
      <c r="AE33" s="70">
        <f t="shared" si="1"/>
        <v>0</v>
      </c>
      <c r="AF33" s="70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125" priority="2" operator="equal">
      <formula>$AG$34</formula>
    </cfRule>
  </conditionalFormatting>
  <conditionalFormatting sqref="AG34">
    <cfRule type="cellIs" dxfId="124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7.5703125" customWidth="1"/>
    <col min="3" max="3" width="6.5703125" customWidth="1"/>
    <col min="4" max="5" width="7.28515625" customWidth="1"/>
    <col min="6" max="6" width="7.5703125" customWidth="1"/>
    <col min="7" max="7" width="7.42578125" customWidth="1"/>
    <col min="8" max="8" width="7.140625" customWidth="1"/>
    <col min="9" max="9" width="7.5703125" customWidth="1"/>
    <col min="10" max="10" width="9.42578125" customWidth="1"/>
    <col min="11" max="12" width="7.28515625" customWidth="1"/>
    <col min="13" max="13" width="7.42578125" customWidth="1"/>
    <col min="14" max="14" width="7.28515625" customWidth="1"/>
    <col min="15" max="15" width="7.5703125" customWidth="1"/>
    <col min="16" max="16" width="7.85546875" customWidth="1"/>
    <col min="17" max="17" width="7.140625" customWidth="1"/>
    <col min="18" max="18" width="7.5703125" customWidth="1"/>
    <col min="19" max="19" width="8" customWidth="1"/>
    <col min="20" max="20" width="7.7109375" customWidth="1"/>
    <col min="21" max="21" width="7.140625" customWidth="1"/>
    <col min="22" max="22" width="7.85546875" customWidth="1"/>
    <col min="23" max="23" width="8" customWidth="1"/>
    <col min="24" max="24" width="7.28515625" customWidth="1"/>
    <col min="25" max="26" width="7.5703125" customWidth="1"/>
    <col min="27" max="29" width="7.85546875" customWidth="1"/>
    <col min="30" max="30" width="7.7109375" customWidth="1"/>
    <col min="31" max="31" width="6.85546875" customWidth="1"/>
    <col min="32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0.5" customHeight="1" x14ac:dyDescent="0.35">
      <c r="A3" s="63" t="s">
        <v>94</v>
      </c>
      <c r="B3" s="74"/>
      <c r="C3" s="74"/>
      <c r="D3" s="74"/>
      <c r="E3" s="74"/>
      <c r="F3" s="74"/>
      <c r="G3" s="74"/>
      <c r="H3" s="74"/>
      <c r="I3" s="75"/>
      <c r="J3" s="74"/>
      <c r="K3" s="75"/>
      <c r="L3" s="74"/>
      <c r="M3" s="75"/>
      <c r="N3" s="74"/>
      <c r="O3" s="74"/>
      <c r="P3" s="75"/>
      <c r="Q3" s="74"/>
      <c r="R3" s="74"/>
      <c r="S3" s="75"/>
      <c r="T3" s="75"/>
      <c r="U3" s="75"/>
      <c r="V3" s="75"/>
      <c r="W3" s="74"/>
      <c r="X3" s="74"/>
      <c r="Y3" s="74"/>
      <c r="Z3" s="74"/>
      <c r="AA3" s="74"/>
      <c r="AB3" s="74"/>
      <c r="AC3" s="74"/>
      <c r="AD3" s="74"/>
      <c r="AE3" s="74"/>
      <c r="AF3" s="74"/>
      <c r="AG3" s="46">
        <f t="shared" ref="AG3:AG32" si="0">SUM(B3:AF3)</f>
        <v>0</v>
      </c>
      <c r="AH3" s="47"/>
      <c r="AI3" s="48"/>
    </row>
    <row r="4" spans="1:35" s="44" customFormat="1" ht="33.75" customHeight="1" x14ac:dyDescent="0.35">
      <c r="A4" s="60" t="s">
        <v>193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  <c r="Y4" s="70"/>
      <c r="Z4" s="70"/>
      <c r="AA4" s="70"/>
      <c r="AB4" s="70"/>
      <c r="AC4" s="70"/>
      <c r="AD4" s="70"/>
      <c r="AE4" s="70"/>
      <c r="AF4" s="70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0"/>
      <c r="C5" s="70"/>
      <c r="D5" s="70"/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70"/>
      <c r="R5" s="70"/>
      <c r="S5" s="70"/>
      <c r="T5" s="70"/>
      <c r="U5" s="70"/>
      <c r="V5" s="70"/>
      <c r="W5" s="70"/>
      <c r="X5" s="70"/>
      <c r="Y5" s="70"/>
      <c r="Z5" s="70"/>
      <c r="AA5" s="70"/>
      <c r="AB5" s="70"/>
      <c r="AC5" s="70"/>
      <c r="AD5" s="70"/>
      <c r="AE5" s="70"/>
      <c r="AF5" s="70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70"/>
      <c r="AE6" s="70"/>
      <c r="AF6" s="70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0"/>
      <c r="C8" s="70"/>
      <c r="D8" s="70"/>
      <c r="E8" s="70"/>
      <c r="F8" s="70"/>
      <c r="G8" s="70"/>
      <c r="H8" s="70"/>
      <c r="I8" s="70"/>
      <c r="J8" s="70"/>
      <c r="K8" s="70"/>
      <c r="L8" s="70"/>
      <c r="M8" s="70"/>
      <c r="N8" s="70"/>
      <c r="O8" s="70"/>
      <c r="P8" s="70"/>
      <c r="Q8" s="70"/>
      <c r="R8" s="70"/>
      <c r="S8" s="70"/>
      <c r="T8" s="70"/>
      <c r="U8" s="70"/>
      <c r="V8" s="70"/>
      <c r="W8" s="70"/>
      <c r="X8" s="70"/>
      <c r="Y8" s="70"/>
      <c r="Z8" s="70"/>
      <c r="AA8" s="70"/>
      <c r="AB8" s="70"/>
      <c r="AC8" s="70"/>
      <c r="AD8" s="70"/>
      <c r="AE8" s="70"/>
      <c r="AF8" s="70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155"/>
      <c r="C10" s="155"/>
      <c r="D10" s="156"/>
      <c r="E10" s="155"/>
      <c r="F10" s="155"/>
      <c r="G10" s="156"/>
      <c r="H10" s="155"/>
      <c r="I10" s="156"/>
      <c r="J10" s="155"/>
      <c r="K10" s="156"/>
      <c r="L10" s="156"/>
      <c r="M10" s="155"/>
      <c r="N10" s="155"/>
      <c r="O10" s="156"/>
      <c r="P10" s="155"/>
      <c r="Q10" s="155"/>
      <c r="R10" s="156"/>
      <c r="S10" s="155"/>
      <c r="T10" s="156"/>
      <c r="U10" s="155"/>
      <c r="V10" s="155"/>
      <c r="W10" s="156"/>
      <c r="X10" s="155"/>
      <c r="Y10" s="155"/>
      <c r="Z10" s="156"/>
      <c r="AA10" s="155"/>
      <c r="AB10" s="155"/>
      <c r="AC10" s="156"/>
      <c r="AD10" s="155"/>
      <c r="AE10" s="156"/>
      <c r="AF10" s="155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46">
        <f t="shared" si="0"/>
        <v>0</v>
      </c>
      <c r="AH12" s="48"/>
      <c r="AI12" s="48"/>
    </row>
    <row r="13" spans="1:35" s="44" customFormat="1" ht="22.5" customHeight="1" x14ac:dyDescent="0.35">
      <c r="A13" s="60" t="s">
        <v>69</v>
      </c>
      <c r="B13" s="155"/>
      <c r="C13" s="155"/>
      <c r="D13" s="155"/>
      <c r="E13" s="155"/>
      <c r="F13" s="155"/>
      <c r="G13" s="155"/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  <c r="AA13" s="155"/>
      <c r="AB13" s="155"/>
      <c r="AC13" s="155"/>
      <c r="AD13" s="155"/>
      <c r="AE13" s="155"/>
      <c r="AF13" s="1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70"/>
      <c r="C15" s="70"/>
      <c r="D15" s="70"/>
      <c r="E15" s="70"/>
      <c r="F15" s="70"/>
      <c r="G15" s="70"/>
      <c r="H15" s="70"/>
      <c r="I15" s="70"/>
      <c r="J15" s="70"/>
      <c r="K15" s="70"/>
      <c r="L15" s="70"/>
      <c r="M15" s="70"/>
      <c r="N15" s="70"/>
      <c r="O15" s="70"/>
      <c r="P15" s="70"/>
      <c r="Q15" s="70"/>
      <c r="R15" s="70"/>
      <c r="S15" s="70"/>
      <c r="T15" s="70"/>
      <c r="U15" s="70"/>
      <c r="V15" s="70"/>
      <c r="W15" s="70"/>
      <c r="X15" s="70"/>
      <c r="Y15" s="70"/>
      <c r="Z15" s="70"/>
      <c r="AA15" s="70"/>
      <c r="AB15" s="70"/>
      <c r="AC15" s="70"/>
      <c r="AD15" s="70"/>
      <c r="AE15" s="70"/>
      <c r="AF15" s="70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0"/>
      <c r="C16" s="70"/>
      <c r="D16" s="70"/>
      <c r="E16" s="70"/>
      <c r="F16" s="70"/>
      <c r="G16" s="70"/>
      <c r="H16" s="70"/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70"/>
      <c r="U16" s="70"/>
      <c r="V16" s="70"/>
      <c r="W16" s="70"/>
      <c r="X16" s="70"/>
      <c r="Y16" s="70"/>
      <c r="Z16" s="70"/>
      <c r="AA16" s="70"/>
      <c r="AB16" s="70"/>
      <c r="AC16" s="70"/>
      <c r="AD16" s="70"/>
      <c r="AE16" s="70"/>
      <c r="AF16" s="70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70"/>
      <c r="C19" s="70"/>
      <c r="D19" s="70"/>
      <c r="E19" s="70"/>
      <c r="F19" s="70"/>
      <c r="G19" s="70"/>
      <c r="H19" s="70"/>
      <c r="I19" s="70"/>
      <c r="J19" s="70"/>
      <c r="K19" s="70"/>
      <c r="L19" s="70"/>
      <c r="M19" s="70"/>
      <c r="N19" s="70"/>
      <c r="O19" s="70"/>
      <c r="P19" s="70"/>
      <c r="Q19" s="70"/>
      <c r="R19" s="70"/>
      <c r="S19" s="70"/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155"/>
      <c r="C22" s="155"/>
      <c r="D22" s="155"/>
      <c r="E22" s="155"/>
      <c r="F22" s="155"/>
      <c r="G22" s="155"/>
      <c r="H22" s="155"/>
      <c r="I22" s="155"/>
      <c r="J22" s="155"/>
      <c r="K22" s="155"/>
      <c r="L22" s="155"/>
      <c r="M22" s="156"/>
      <c r="N22" s="155"/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6"/>
      <c r="Z22" s="155"/>
      <c r="AA22" s="156"/>
      <c r="AB22" s="155"/>
      <c r="AC22" s="155"/>
      <c r="AD22" s="155"/>
      <c r="AE22" s="155"/>
      <c r="AF22" s="155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70"/>
      <c r="Y24" s="70"/>
      <c r="Z24" s="70"/>
      <c r="AA24" s="70"/>
      <c r="AB24" s="70"/>
      <c r="AC24" s="70"/>
      <c r="AD24" s="70"/>
      <c r="AE24" s="70"/>
      <c r="AF24" s="70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0"/>
      <c r="C25" s="70"/>
      <c r="D25" s="70"/>
      <c r="E25" s="70"/>
      <c r="F25" s="70"/>
      <c r="G25" s="70"/>
      <c r="H25" s="70"/>
      <c r="I25" s="70"/>
      <c r="J25" s="70"/>
      <c r="K25" s="70"/>
      <c r="L25" s="70"/>
      <c r="M25" s="70"/>
      <c r="N25" s="70"/>
      <c r="O25" s="70"/>
      <c r="P25" s="70"/>
      <c r="Q25" s="70"/>
      <c r="R25" s="70"/>
      <c r="S25" s="70"/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>SUM(B27:AE27)</f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5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6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6"/>
      <c r="C30" s="76"/>
      <c r="D30" s="76"/>
      <c r="E30" s="76"/>
      <c r="F30" s="76"/>
      <c r="G30" s="76"/>
      <c r="H30" s="76"/>
      <c r="I30" s="76"/>
      <c r="J30" s="76"/>
      <c r="K30" s="76"/>
      <c r="L30" s="76"/>
      <c r="M30" s="76"/>
      <c r="N30" s="76"/>
      <c r="O30" s="76"/>
      <c r="P30" s="76"/>
      <c r="Q30" s="76"/>
      <c r="R30" s="76"/>
      <c r="S30" s="76"/>
      <c r="T30" s="76"/>
      <c r="U30" s="76"/>
      <c r="V30" s="76"/>
      <c r="W30" s="76"/>
      <c r="X30" s="76"/>
      <c r="Y30" s="76"/>
      <c r="Z30" s="76"/>
      <c r="AA30" s="76"/>
      <c r="AB30" s="76"/>
      <c r="AC30" s="76"/>
      <c r="AD30" s="76"/>
      <c r="AE30" s="76"/>
      <c r="AF30" s="76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70"/>
      <c r="Y32" s="70"/>
      <c r="Z32" s="70"/>
      <c r="AA32" s="70"/>
      <c r="AB32" s="70"/>
      <c r="AC32" s="70"/>
      <c r="AD32" s="70"/>
      <c r="AE32" s="70"/>
      <c r="AF32" s="70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0</v>
      </c>
      <c r="C33" s="70">
        <f t="shared" ref="C33:AF33" si="1">SUM(C3:C32)</f>
        <v>0</v>
      </c>
      <c r="D33" s="70">
        <f t="shared" si="1"/>
        <v>0</v>
      </c>
      <c r="E33" s="70">
        <f t="shared" si="1"/>
        <v>0</v>
      </c>
      <c r="F33" s="70">
        <f t="shared" si="1"/>
        <v>0</v>
      </c>
      <c r="G33" s="70">
        <f t="shared" si="1"/>
        <v>0</v>
      </c>
      <c r="H33" s="70">
        <f t="shared" si="1"/>
        <v>0</v>
      </c>
      <c r="I33" s="70">
        <f t="shared" si="1"/>
        <v>0</v>
      </c>
      <c r="J33" s="70">
        <f t="shared" si="1"/>
        <v>0</v>
      </c>
      <c r="K33" s="70">
        <f t="shared" si="1"/>
        <v>0</v>
      </c>
      <c r="L33" s="70">
        <f t="shared" si="1"/>
        <v>0</v>
      </c>
      <c r="M33" s="70">
        <f t="shared" si="1"/>
        <v>0</v>
      </c>
      <c r="N33" s="70">
        <f t="shared" si="1"/>
        <v>0</v>
      </c>
      <c r="O33" s="70">
        <f t="shared" si="1"/>
        <v>0</v>
      </c>
      <c r="P33" s="70">
        <f t="shared" si="1"/>
        <v>0</v>
      </c>
      <c r="Q33" s="70">
        <f t="shared" si="1"/>
        <v>0</v>
      </c>
      <c r="R33" s="70">
        <f t="shared" si="1"/>
        <v>0</v>
      </c>
      <c r="S33" s="70">
        <f t="shared" si="1"/>
        <v>0</v>
      </c>
      <c r="T33" s="70">
        <f t="shared" si="1"/>
        <v>0</v>
      </c>
      <c r="U33" s="70">
        <f t="shared" si="1"/>
        <v>0</v>
      </c>
      <c r="V33" s="70">
        <f t="shared" si="1"/>
        <v>0</v>
      </c>
      <c r="W33" s="70">
        <f t="shared" si="1"/>
        <v>0</v>
      </c>
      <c r="X33" s="70">
        <f t="shared" si="1"/>
        <v>0</v>
      </c>
      <c r="Y33" s="70">
        <f t="shared" si="1"/>
        <v>0</v>
      </c>
      <c r="Z33" s="70">
        <f t="shared" si="1"/>
        <v>0</v>
      </c>
      <c r="AA33" s="70">
        <f t="shared" si="1"/>
        <v>0</v>
      </c>
      <c r="AB33" s="70">
        <f t="shared" si="1"/>
        <v>0</v>
      </c>
      <c r="AC33" s="70">
        <f t="shared" si="1"/>
        <v>0</v>
      </c>
      <c r="AD33" s="70">
        <f t="shared" si="1"/>
        <v>0</v>
      </c>
      <c r="AE33" s="70">
        <f t="shared" si="1"/>
        <v>0</v>
      </c>
      <c r="AF33" s="70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123" priority="2" operator="equal">
      <formula>$AG$34</formula>
    </cfRule>
  </conditionalFormatting>
  <conditionalFormatting sqref="AG34">
    <cfRule type="cellIs" dxfId="122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10.42578125" customWidth="1"/>
    <col min="3" max="3" width="7.7109375" customWidth="1"/>
    <col min="4" max="5" width="7.28515625" customWidth="1"/>
    <col min="6" max="6" width="7.5703125" customWidth="1"/>
    <col min="7" max="7" width="7.42578125" customWidth="1"/>
    <col min="8" max="8" width="7.140625" customWidth="1"/>
    <col min="9" max="9" width="7.5703125" customWidth="1"/>
    <col min="10" max="10" width="9.42578125" customWidth="1"/>
    <col min="11" max="12" width="7.28515625" customWidth="1"/>
    <col min="13" max="13" width="7.42578125" customWidth="1"/>
    <col min="14" max="14" width="7.28515625" customWidth="1"/>
    <col min="15" max="15" width="7.5703125" customWidth="1"/>
    <col min="16" max="16" width="7.85546875" customWidth="1"/>
    <col min="17" max="17" width="7.140625" customWidth="1"/>
    <col min="18" max="18" width="7.5703125" customWidth="1"/>
    <col min="19" max="19" width="8" customWidth="1"/>
    <col min="20" max="20" width="7.7109375" customWidth="1"/>
    <col min="21" max="21" width="7.140625" customWidth="1"/>
    <col min="22" max="22" width="7.85546875" customWidth="1"/>
    <col min="23" max="23" width="8" customWidth="1"/>
    <col min="24" max="24" width="7.28515625" customWidth="1"/>
    <col min="25" max="26" width="7.5703125" customWidth="1"/>
    <col min="27" max="29" width="7.85546875" customWidth="1"/>
    <col min="30" max="30" width="7.7109375" customWidth="1"/>
    <col min="31" max="31" width="6.85546875" customWidth="1"/>
    <col min="32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74"/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5"/>
      <c r="P3" s="74"/>
      <c r="Q3" s="74"/>
      <c r="R3" s="74"/>
      <c r="S3" s="74"/>
      <c r="T3" s="74"/>
      <c r="U3" s="74"/>
      <c r="V3" s="75"/>
      <c r="W3" s="74"/>
      <c r="X3" s="74"/>
      <c r="Y3" s="74"/>
      <c r="Z3" s="74"/>
      <c r="AA3" s="74"/>
      <c r="AB3" s="74"/>
      <c r="AC3" s="75"/>
      <c r="AD3" s="74"/>
      <c r="AE3" s="74"/>
      <c r="AF3" s="74"/>
      <c r="AG3" s="46">
        <f t="shared" ref="AG3:AG32" si="0">SUM(B3:AF3)</f>
        <v>0</v>
      </c>
      <c r="AH3" s="47"/>
      <c r="AI3" s="48"/>
    </row>
    <row r="4" spans="1:35" s="44" customFormat="1" ht="25.5" customHeight="1" x14ac:dyDescent="0.35">
      <c r="A4" s="173" t="s">
        <v>193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5"/>
      <c r="U8" s="74"/>
      <c r="V8" s="74"/>
      <c r="W8" s="74"/>
      <c r="X8" s="74"/>
      <c r="Y8" s="74"/>
      <c r="Z8" s="74"/>
      <c r="AA8" s="75"/>
      <c r="AB8" s="74"/>
      <c r="AC8" s="74"/>
      <c r="AD8" s="74"/>
      <c r="AE8" s="74"/>
      <c r="AF8" s="75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5"/>
      <c r="X9" s="74"/>
      <c r="Y9" s="74"/>
      <c r="Z9" s="74"/>
      <c r="AA9" s="74"/>
      <c r="AB9" s="74"/>
      <c r="AC9" s="74"/>
      <c r="AD9" s="74"/>
      <c r="AE9" s="74"/>
      <c r="AF9" s="7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155"/>
      <c r="C10" s="155"/>
      <c r="D10" s="156"/>
      <c r="E10" s="155"/>
      <c r="F10" s="155"/>
      <c r="G10" s="156"/>
      <c r="H10" s="155"/>
      <c r="I10" s="156"/>
      <c r="J10" s="155"/>
      <c r="K10" s="156"/>
      <c r="L10" s="156"/>
      <c r="M10" s="155"/>
      <c r="N10" s="155"/>
      <c r="O10" s="156"/>
      <c r="P10" s="155"/>
      <c r="Q10" s="155"/>
      <c r="R10" s="156"/>
      <c r="S10" s="155"/>
      <c r="T10" s="156"/>
      <c r="U10" s="155"/>
      <c r="V10" s="155"/>
      <c r="W10" s="156"/>
      <c r="X10" s="155"/>
      <c r="Y10" s="155"/>
      <c r="Z10" s="156"/>
      <c r="AA10" s="155"/>
      <c r="AB10" s="155"/>
      <c r="AC10" s="156"/>
      <c r="AD10" s="155"/>
      <c r="AE10" s="156"/>
      <c r="AF10" s="155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5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46">
        <f t="shared" si="0"/>
        <v>0</v>
      </c>
      <c r="AH12" s="48"/>
      <c r="AI12" s="48"/>
    </row>
    <row r="13" spans="1:35" s="44" customFormat="1" ht="22.5" customHeight="1" x14ac:dyDescent="0.35">
      <c r="A13" s="60" t="s">
        <v>69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4"/>
      <c r="C17" s="74"/>
      <c r="D17" s="74"/>
      <c r="E17" s="74"/>
      <c r="F17" s="74"/>
      <c r="G17" s="75"/>
      <c r="H17" s="75"/>
      <c r="I17" s="74"/>
      <c r="J17" s="74"/>
      <c r="K17" s="74"/>
      <c r="L17" s="74"/>
      <c r="M17" s="74"/>
      <c r="N17" s="74"/>
      <c r="O17" s="74"/>
      <c r="P17" s="75"/>
      <c r="Q17" s="74"/>
      <c r="R17" s="74"/>
      <c r="S17" s="75"/>
      <c r="T17" s="74"/>
      <c r="U17" s="74"/>
      <c r="V17" s="74"/>
      <c r="W17" s="74"/>
      <c r="X17" s="74"/>
      <c r="Y17" s="74"/>
      <c r="Z17" s="74"/>
      <c r="AA17" s="74"/>
      <c r="AB17" s="74"/>
      <c r="AC17" s="75"/>
      <c r="AD17" s="75"/>
      <c r="AE17" s="74"/>
      <c r="AF17" s="74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  <c r="AA22" s="74"/>
      <c r="AB22" s="74"/>
      <c r="AC22" s="74"/>
      <c r="AD22" s="74"/>
      <c r="AE22" s="74"/>
      <c r="AF22" s="74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157"/>
      <c r="C23" s="157"/>
      <c r="D23" s="157"/>
      <c r="E23" s="157"/>
      <c r="F23" s="157"/>
      <c r="G23" s="157"/>
      <c r="H23" s="157"/>
      <c r="I23" s="157"/>
      <c r="J23" s="157"/>
      <c r="K23" s="157"/>
      <c r="L23" s="157"/>
      <c r="M23" s="157"/>
      <c r="N23" s="157"/>
      <c r="O23" s="157"/>
      <c r="P23" s="157"/>
      <c r="Q23" s="157"/>
      <c r="R23" s="157"/>
      <c r="S23" s="157"/>
      <c r="T23" s="157"/>
      <c r="U23" s="157"/>
      <c r="V23" s="157"/>
      <c r="W23" s="157"/>
      <c r="X23" s="157"/>
      <c r="Y23" s="157"/>
      <c r="Z23" s="157"/>
      <c r="AA23" s="157"/>
      <c r="AB23" s="157"/>
      <c r="AC23" s="157"/>
      <c r="AD23" s="157"/>
      <c r="AE23" s="157"/>
      <c r="AF23" s="157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>SUM(B27:AE27)</f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4"/>
      <c r="C29" s="74"/>
      <c r="D29" s="74"/>
      <c r="E29" s="74"/>
      <c r="F29" s="75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0</v>
      </c>
      <c r="C33" s="70">
        <f t="shared" ref="C33:AF33" si="1">SUM(C3:C32)</f>
        <v>0</v>
      </c>
      <c r="D33" s="70">
        <f t="shared" si="1"/>
        <v>0</v>
      </c>
      <c r="E33" s="70">
        <f t="shared" si="1"/>
        <v>0</v>
      </c>
      <c r="F33" s="70">
        <f t="shared" si="1"/>
        <v>0</v>
      </c>
      <c r="G33" s="70">
        <f t="shared" si="1"/>
        <v>0</v>
      </c>
      <c r="H33" s="70">
        <f t="shared" si="1"/>
        <v>0</v>
      </c>
      <c r="I33" s="70">
        <f t="shared" si="1"/>
        <v>0</v>
      </c>
      <c r="J33" s="70">
        <f t="shared" si="1"/>
        <v>0</v>
      </c>
      <c r="K33" s="70">
        <f t="shared" si="1"/>
        <v>0</v>
      </c>
      <c r="L33" s="70">
        <f t="shared" si="1"/>
        <v>0</v>
      </c>
      <c r="M33" s="70">
        <f t="shared" si="1"/>
        <v>0</v>
      </c>
      <c r="N33" s="70">
        <f t="shared" si="1"/>
        <v>0</v>
      </c>
      <c r="O33" s="70">
        <f t="shared" si="1"/>
        <v>0</v>
      </c>
      <c r="P33" s="70">
        <f t="shared" si="1"/>
        <v>0</v>
      </c>
      <c r="Q33" s="70">
        <f t="shared" si="1"/>
        <v>0</v>
      </c>
      <c r="R33" s="70">
        <f t="shared" si="1"/>
        <v>0</v>
      </c>
      <c r="S33" s="70">
        <f t="shared" si="1"/>
        <v>0</v>
      </c>
      <c r="T33" s="70">
        <f t="shared" si="1"/>
        <v>0</v>
      </c>
      <c r="U33" s="70">
        <f t="shared" si="1"/>
        <v>0</v>
      </c>
      <c r="V33" s="70">
        <f t="shared" si="1"/>
        <v>0</v>
      </c>
      <c r="W33" s="70">
        <f t="shared" si="1"/>
        <v>0</v>
      </c>
      <c r="X33" s="70">
        <f t="shared" si="1"/>
        <v>0</v>
      </c>
      <c r="Y33" s="70">
        <f t="shared" si="1"/>
        <v>0</v>
      </c>
      <c r="Z33" s="70">
        <f t="shared" si="1"/>
        <v>0</v>
      </c>
      <c r="AA33" s="70">
        <f t="shared" si="1"/>
        <v>0</v>
      </c>
      <c r="AB33" s="70">
        <f t="shared" si="1"/>
        <v>0</v>
      </c>
      <c r="AC33" s="70">
        <f t="shared" si="1"/>
        <v>0</v>
      </c>
      <c r="AD33" s="70">
        <f t="shared" si="1"/>
        <v>0</v>
      </c>
      <c r="AE33" s="70">
        <f t="shared" si="1"/>
        <v>0</v>
      </c>
      <c r="AF33" s="70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121" priority="2" operator="equal">
      <formula>$AG$34</formula>
    </cfRule>
  </conditionalFormatting>
  <conditionalFormatting sqref="AG34">
    <cfRule type="cellIs" dxfId="120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8.28515625" customWidth="1"/>
    <col min="3" max="3" width="8.42578125" customWidth="1"/>
    <col min="4" max="5" width="7.28515625" customWidth="1"/>
    <col min="6" max="6" width="7.5703125" customWidth="1"/>
    <col min="7" max="7" width="7.42578125" customWidth="1"/>
    <col min="8" max="8" width="7.140625" customWidth="1"/>
    <col min="9" max="9" width="7.5703125" customWidth="1"/>
    <col min="10" max="10" width="9.42578125" customWidth="1"/>
    <col min="11" max="12" width="7.28515625" customWidth="1"/>
    <col min="13" max="13" width="7.42578125" customWidth="1"/>
    <col min="14" max="14" width="7.28515625" customWidth="1"/>
    <col min="15" max="15" width="7.5703125" customWidth="1"/>
    <col min="16" max="16" width="7.85546875" customWidth="1"/>
    <col min="17" max="17" width="7.140625" customWidth="1"/>
    <col min="18" max="18" width="7.5703125" customWidth="1"/>
    <col min="19" max="19" width="8" customWidth="1"/>
    <col min="20" max="20" width="7.7109375" customWidth="1"/>
    <col min="21" max="21" width="7.140625" customWidth="1"/>
    <col min="22" max="22" width="7.85546875" customWidth="1"/>
    <col min="23" max="23" width="8" customWidth="1"/>
    <col min="24" max="24" width="7.28515625" customWidth="1"/>
    <col min="25" max="26" width="7.5703125" customWidth="1"/>
    <col min="27" max="29" width="7.85546875" customWidth="1"/>
    <col min="30" max="30" width="7.7109375" customWidth="1"/>
    <col min="31" max="31" width="8.5703125" customWidth="1"/>
    <col min="32" max="32" width="7.85546875" customWidth="1"/>
    <col min="33" max="33" width="14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0.5" customHeight="1" x14ac:dyDescent="0.35">
      <c r="A3" s="63" t="s">
        <v>94</v>
      </c>
      <c r="B3" s="75"/>
      <c r="C3" s="75"/>
      <c r="D3" s="74"/>
      <c r="E3" s="75"/>
      <c r="F3" s="74"/>
      <c r="G3" s="74"/>
      <c r="H3" s="74"/>
      <c r="I3" s="74"/>
      <c r="J3" s="74"/>
      <c r="K3" s="74"/>
      <c r="L3" s="75"/>
      <c r="M3" s="74"/>
      <c r="N3" s="74"/>
      <c r="O3" s="74"/>
      <c r="P3" s="74"/>
      <c r="Q3" s="74"/>
      <c r="R3" s="74"/>
      <c r="S3" s="75"/>
      <c r="T3" s="74"/>
      <c r="U3" s="74"/>
      <c r="V3" s="74"/>
      <c r="W3" s="74"/>
      <c r="X3" s="74"/>
      <c r="Y3" s="74"/>
      <c r="Z3" s="75"/>
      <c r="AA3" s="74"/>
      <c r="AB3" s="74"/>
      <c r="AC3" s="74"/>
      <c r="AD3" s="74"/>
      <c r="AE3" s="74"/>
      <c r="AF3" s="74"/>
      <c r="AG3" s="46">
        <f t="shared" ref="AG3:AG32" si="0">SUM(B3:AF3)</f>
        <v>0</v>
      </c>
      <c r="AH3" s="47"/>
      <c r="AI3" s="48"/>
    </row>
    <row r="4" spans="1:35" s="44" customFormat="1" ht="33.75" customHeight="1" x14ac:dyDescent="0.35">
      <c r="A4" s="60" t="s">
        <v>193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4"/>
      <c r="C10" s="74"/>
      <c r="D10" s="75"/>
      <c r="E10" s="74"/>
      <c r="F10" s="74"/>
      <c r="G10" s="75"/>
      <c r="H10" s="74"/>
      <c r="I10" s="75"/>
      <c r="J10" s="74"/>
      <c r="K10" s="75"/>
      <c r="L10" s="75"/>
      <c r="M10" s="74"/>
      <c r="N10" s="74"/>
      <c r="O10" s="75"/>
      <c r="P10" s="74"/>
      <c r="Q10" s="74"/>
      <c r="R10" s="75"/>
      <c r="S10" s="74"/>
      <c r="T10" s="75"/>
      <c r="U10" s="74"/>
      <c r="V10" s="74"/>
      <c r="W10" s="75"/>
      <c r="X10" s="74"/>
      <c r="Y10" s="74"/>
      <c r="Z10" s="75"/>
      <c r="AA10" s="74"/>
      <c r="AB10" s="74"/>
      <c r="AC10" s="75"/>
      <c r="AD10" s="74"/>
      <c r="AE10" s="75"/>
      <c r="AF10" s="74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46">
        <f t="shared" si="0"/>
        <v>0</v>
      </c>
      <c r="AH12" s="48"/>
      <c r="AI12" s="48"/>
    </row>
    <row r="13" spans="1:35" s="44" customFormat="1" ht="22.5" customHeight="1" x14ac:dyDescent="0.35">
      <c r="A13" s="60" t="s">
        <v>69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4"/>
      <c r="P15" s="74"/>
      <c r="Q15" s="74"/>
      <c r="R15" s="74"/>
      <c r="S15" s="75"/>
      <c r="T15" s="74"/>
      <c r="U15" s="74"/>
      <c r="V15" s="74"/>
      <c r="W15" s="74"/>
      <c r="X15" s="75"/>
      <c r="Y15" s="74"/>
      <c r="Z15" s="74"/>
      <c r="AA15" s="74"/>
      <c r="AB15" s="74"/>
      <c r="AC15" s="75"/>
      <c r="AD15" s="74"/>
      <c r="AE15" s="75"/>
      <c r="AF15" s="74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252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X20" s="74"/>
      <c r="Y20" s="74"/>
      <c r="Z20" s="74"/>
      <c r="AA20" s="74"/>
      <c r="AB20" s="74"/>
      <c r="AC20" s="74"/>
      <c r="AD20" s="74"/>
      <c r="AE20" s="74"/>
      <c r="AF20" s="74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5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5"/>
      <c r="Z22" s="74"/>
      <c r="AA22" s="75"/>
      <c r="AB22" s="74"/>
      <c r="AC22" s="74"/>
      <c r="AD22" s="74"/>
      <c r="AE22" s="74"/>
      <c r="AF22" s="74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4"/>
      <c r="C25" s="74"/>
      <c r="D25" s="74"/>
      <c r="E25" s="74"/>
      <c r="F25" s="75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5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G27" s="46">
        <f>SUM(B27:AE27)</f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5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5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E31" s="74"/>
      <c r="AF31" s="7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0</v>
      </c>
      <c r="C33" s="70">
        <f t="shared" ref="C33:AF33" si="1">SUM(C3:C32)</f>
        <v>0</v>
      </c>
      <c r="D33" s="70">
        <f t="shared" si="1"/>
        <v>0</v>
      </c>
      <c r="E33" s="70">
        <f t="shared" si="1"/>
        <v>0</v>
      </c>
      <c r="F33" s="70">
        <f t="shared" si="1"/>
        <v>0</v>
      </c>
      <c r="G33" s="70">
        <f t="shared" si="1"/>
        <v>0</v>
      </c>
      <c r="H33" s="70">
        <f t="shared" si="1"/>
        <v>0</v>
      </c>
      <c r="I33" s="70">
        <f t="shared" si="1"/>
        <v>0</v>
      </c>
      <c r="J33" s="70">
        <f t="shared" si="1"/>
        <v>0</v>
      </c>
      <c r="K33" s="70">
        <f t="shared" si="1"/>
        <v>0</v>
      </c>
      <c r="L33" s="70">
        <f t="shared" si="1"/>
        <v>0</v>
      </c>
      <c r="M33" s="70">
        <f t="shared" si="1"/>
        <v>0</v>
      </c>
      <c r="N33" s="70">
        <f t="shared" si="1"/>
        <v>0</v>
      </c>
      <c r="O33" s="70">
        <f t="shared" si="1"/>
        <v>0</v>
      </c>
      <c r="P33" s="70">
        <f t="shared" si="1"/>
        <v>0</v>
      </c>
      <c r="Q33" s="70">
        <f t="shared" si="1"/>
        <v>0</v>
      </c>
      <c r="R33" s="70">
        <f t="shared" si="1"/>
        <v>0</v>
      </c>
      <c r="S33" s="70">
        <f t="shared" si="1"/>
        <v>0</v>
      </c>
      <c r="T33" s="70">
        <f t="shared" si="1"/>
        <v>0</v>
      </c>
      <c r="U33" s="70">
        <f t="shared" si="1"/>
        <v>0</v>
      </c>
      <c r="V33" s="70">
        <f t="shared" si="1"/>
        <v>0</v>
      </c>
      <c r="W33" s="70">
        <f t="shared" si="1"/>
        <v>0</v>
      </c>
      <c r="X33" s="70">
        <f t="shared" si="1"/>
        <v>0</v>
      </c>
      <c r="Y33" s="70">
        <f t="shared" si="1"/>
        <v>0</v>
      </c>
      <c r="Z33" s="70">
        <f t="shared" si="1"/>
        <v>0</v>
      </c>
      <c r="AA33" s="70">
        <f t="shared" si="1"/>
        <v>0</v>
      </c>
      <c r="AB33" s="70">
        <f t="shared" si="1"/>
        <v>0</v>
      </c>
      <c r="AC33" s="70">
        <f t="shared" si="1"/>
        <v>0</v>
      </c>
      <c r="AD33" s="70">
        <f t="shared" si="1"/>
        <v>0</v>
      </c>
      <c r="AE33" s="70">
        <f t="shared" si="1"/>
        <v>0</v>
      </c>
      <c r="AF33" s="70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119" priority="2" operator="equal">
      <formula>$AG$34</formula>
    </cfRule>
  </conditionalFormatting>
  <conditionalFormatting sqref="AG34">
    <cfRule type="cellIs" dxfId="118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6.85546875" customWidth="1"/>
    <col min="3" max="3" width="8" customWidth="1"/>
    <col min="4" max="5" width="7.28515625" customWidth="1"/>
    <col min="6" max="6" width="7.5703125" customWidth="1"/>
    <col min="7" max="7" width="7.42578125" customWidth="1"/>
    <col min="8" max="8" width="7.140625" customWidth="1"/>
    <col min="9" max="9" width="7.5703125" customWidth="1"/>
    <col min="10" max="10" width="9.42578125" customWidth="1"/>
    <col min="11" max="12" width="7.28515625" customWidth="1"/>
    <col min="13" max="13" width="7.42578125" customWidth="1"/>
    <col min="14" max="14" width="7.28515625" customWidth="1"/>
    <col min="15" max="15" width="7.5703125" customWidth="1"/>
    <col min="16" max="16" width="7.85546875" customWidth="1"/>
    <col min="17" max="17" width="7.140625" customWidth="1"/>
    <col min="18" max="18" width="7.5703125" customWidth="1"/>
    <col min="19" max="19" width="8" customWidth="1"/>
    <col min="20" max="20" width="7.7109375" customWidth="1"/>
    <col min="21" max="21" width="7.140625" customWidth="1"/>
    <col min="22" max="22" width="7.85546875" customWidth="1"/>
    <col min="23" max="23" width="8" customWidth="1"/>
    <col min="24" max="24" width="7.28515625" customWidth="1"/>
    <col min="25" max="26" width="7.5703125" customWidth="1"/>
    <col min="27" max="29" width="7.85546875" customWidth="1"/>
    <col min="30" max="30" width="7.7109375" customWidth="1"/>
    <col min="31" max="31" width="6.85546875" customWidth="1"/>
    <col min="32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0.5" customHeight="1" x14ac:dyDescent="0.35">
      <c r="A3" s="63" t="s">
        <v>94</v>
      </c>
      <c r="B3" s="75"/>
      <c r="C3" s="75"/>
      <c r="D3" s="74"/>
      <c r="E3" s="75"/>
      <c r="F3" s="74"/>
      <c r="G3" s="74"/>
      <c r="H3" s="74"/>
      <c r="I3" s="74"/>
      <c r="J3" s="74"/>
      <c r="K3" s="74"/>
      <c r="L3" s="75"/>
      <c r="M3" s="74"/>
      <c r="N3" s="74"/>
      <c r="O3" s="74"/>
      <c r="P3" s="74"/>
      <c r="Q3" s="74"/>
      <c r="R3" s="74"/>
      <c r="S3" s="75"/>
      <c r="T3" s="74"/>
      <c r="U3" s="74"/>
      <c r="V3" s="74"/>
      <c r="W3" s="74"/>
      <c r="X3" s="74"/>
      <c r="Y3" s="74"/>
      <c r="Z3" s="75"/>
      <c r="AA3" s="74"/>
      <c r="AB3" s="74"/>
      <c r="AC3" s="74"/>
      <c r="AD3" s="74"/>
      <c r="AE3" s="74"/>
      <c r="AF3" s="74"/>
      <c r="AG3" s="46">
        <f t="shared" ref="AG3:AG9" si="0">SUM(B3:AF3)</f>
        <v>0</v>
      </c>
      <c r="AH3" s="47"/>
      <c r="AI3" s="48"/>
    </row>
    <row r="4" spans="1:35" s="44" customFormat="1" ht="33.75" customHeight="1" x14ac:dyDescent="0.35">
      <c r="A4" s="60" t="s">
        <v>193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X4" s="74"/>
      <c r="Y4" s="74"/>
      <c r="Z4" s="74"/>
      <c r="AA4" s="74"/>
      <c r="AB4" s="74"/>
      <c r="AC4" s="74"/>
      <c r="AD4" s="74"/>
      <c r="AE4" s="74"/>
      <c r="AF4" s="74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4"/>
      <c r="C10" s="74"/>
      <c r="D10" s="75"/>
      <c r="E10" s="74"/>
      <c r="F10" s="74"/>
      <c r="G10" s="75"/>
      <c r="H10" s="74"/>
      <c r="I10" s="75"/>
      <c r="J10" s="74"/>
      <c r="K10" s="75"/>
      <c r="L10" s="75"/>
      <c r="M10" s="74"/>
      <c r="N10" s="74"/>
      <c r="O10" s="75"/>
      <c r="P10" s="74"/>
      <c r="Q10" s="74"/>
      <c r="R10" s="75"/>
      <c r="S10" s="74"/>
      <c r="T10" s="75"/>
      <c r="U10" s="74"/>
      <c r="V10" s="74"/>
      <c r="W10" s="75"/>
      <c r="X10" s="74"/>
      <c r="Y10" s="74"/>
      <c r="Z10" s="75"/>
      <c r="AA10" s="74"/>
      <c r="AB10" s="74"/>
      <c r="AC10" s="75"/>
      <c r="AD10" s="74"/>
      <c r="AE10" s="75"/>
      <c r="AF10" s="74"/>
      <c r="AG10" s="46">
        <f t="shared" ref="AG10:AG26" si="1">SUM(B10:AF10)</f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46">
        <f t="shared" si="1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46">
        <f t="shared" si="1"/>
        <v>0</v>
      </c>
      <c r="AH12" s="48"/>
      <c r="AI12" s="48"/>
    </row>
    <row r="13" spans="1:35" s="44" customFormat="1" ht="22.5" customHeight="1" x14ac:dyDescent="0.35">
      <c r="A13" s="60" t="s">
        <v>69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46">
        <f t="shared" si="1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46">
        <f t="shared" si="1"/>
        <v>0</v>
      </c>
      <c r="AH14" s="48"/>
      <c r="AI14" s="48"/>
    </row>
    <row r="15" spans="1:35" s="44" customFormat="1" ht="18.75" customHeight="1" x14ac:dyDescent="0.35">
      <c r="A15" s="60" t="s">
        <v>226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4"/>
      <c r="P15" s="74"/>
      <c r="Q15" s="74"/>
      <c r="R15" s="74"/>
      <c r="S15" s="75"/>
      <c r="T15" s="74"/>
      <c r="U15" s="74"/>
      <c r="V15" s="74"/>
      <c r="W15" s="74"/>
      <c r="X15" s="75"/>
      <c r="Y15" s="74"/>
      <c r="Z15" s="74"/>
      <c r="AA15" s="74"/>
      <c r="AB15" s="74"/>
      <c r="AC15" s="75"/>
      <c r="AD15" s="74"/>
      <c r="AE15" s="75"/>
      <c r="AF15" s="74"/>
      <c r="AG15" s="46">
        <f t="shared" si="1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46">
        <f t="shared" si="1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46">
        <f t="shared" si="1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6">
        <f t="shared" si="1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46">
        <f t="shared" si="1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X20" s="74"/>
      <c r="Y20" s="74"/>
      <c r="Z20" s="74"/>
      <c r="AA20" s="74"/>
      <c r="AB20" s="74"/>
      <c r="AC20" s="74"/>
      <c r="AD20" s="74"/>
      <c r="AE20" s="74"/>
      <c r="AF20" s="74"/>
      <c r="AG20" s="46">
        <f t="shared" si="1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46">
        <f t="shared" si="1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5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5"/>
      <c r="Z22" s="74"/>
      <c r="AA22" s="75"/>
      <c r="AB22" s="74"/>
      <c r="AC22" s="74"/>
      <c r="AD22" s="74"/>
      <c r="AE22" s="74"/>
      <c r="AF22" s="74"/>
      <c r="AG22" s="46">
        <f t="shared" si="1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46">
        <f t="shared" si="1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46">
        <f t="shared" si="1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4"/>
      <c r="C25" s="74"/>
      <c r="D25" s="74"/>
      <c r="E25" s="74"/>
      <c r="F25" s="75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46">
        <f t="shared" si="1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46">
        <f t="shared" si="1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5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G27" s="46">
        <f>SUM(B27:AE27)</f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5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46">
        <f>SUM(B28:AF28)</f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5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46">
        <f>SUM(B29:AF29)</f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46">
        <f>SUM(B30:AF30)</f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G31" s="46">
        <f>SUM('VER_10_23 '!B31:AF31)</f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46">
        <f>SUM(B32:AF32)</f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 t="shared" ref="B33:AF33" si="2">SUM(B3:B32)</f>
        <v>0</v>
      </c>
      <c r="C33" s="70">
        <f t="shared" si="2"/>
        <v>0</v>
      </c>
      <c r="D33" s="70">
        <f t="shared" si="2"/>
        <v>0</v>
      </c>
      <c r="E33" s="70">
        <f t="shared" si="2"/>
        <v>0</v>
      </c>
      <c r="F33" s="70">
        <f t="shared" si="2"/>
        <v>0</v>
      </c>
      <c r="G33" s="70">
        <f t="shared" si="2"/>
        <v>0</v>
      </c>
      <c r="H33" s="70">
        <f t="shared" si="2"/>
        <v>0</v>
      </c>
      <c r="I33" s="70">
        <f t="shared" si="2"/>
        <v>0</v>
      </c>
      <c r="J33" s="70">
        <f t="shared" si="2"/>
        <v>0</v>
      </c>
      <c r="K33" s="70">
        <f t="shared" si="2"/>
        <v>0</v>
      </c>
      <c r="L33" s="70">
        <f t="shared" si="2"/>
        <v>0</v>
      </c>
      <c r="M33" s="70">
        <f t="shared" si="2"/>
        <v>0</v>
      </c>
      <c r="N33" s="70">
        <f t="shared" si="2"/>
        <v>0</v>
      </c>
      <c r="O33" s="70">
        <f t="shared" si="2"/>
        <v>0</v>
      </c>
      <c r="P33" s="70">
        <f t="shared" si="2"/>
        <v>0</v>
      </c>
      <c r="Q33" s="70">
        <f t="shared" si="2"/>
        <v>0</v>
      </c>
      <c r="R33" s="70">
        <f t="shared" si="2"/>
        <v>0</v>
      </c>
      <c r="S33" s="70">
        <f t="shared" si="2"/>
        <v>0</v>
      </c>
      <c r="T33" s="70">
        <f t="shared" si="2"/>
        <v>0</v>
      </c>
      <c r="U33" s="70">
        <f t="shared" si="2"/>
        <v>0</v>
      </c>
      <c r="V33" s="70">
        <f t="shared" si="2"/>
        <v>0</v>
      </c>
      <c r="W33" s="70">
        <f t="shared" si="2"/>
        <v>0</v>
      </c>
      <c r="X33" s="70">
        <f t="shared" si="2"/>
        <v>0</v>
      </c>
      <c r="Y33" s="70">
        <f t="shared" si="2"/>
        <v>0</v>
      </c>
      <c r="Z33" s="70">
        <f t="shared" si="2"/>
        <v>0</v>
      </c>
      <c r="AA33" s="70">
        <f t="shared" si="2"/>
        <v>0</v>
      </c>
      <c r="AB33" s="70">
        <f t="shared" si="2"/>
        <v>0</v>
      </c>
      <c r="AC33" s="70">
        <f t="shared" si="2"/>
        <v>0</v>
      </c>
      <c r="AD33" s="70">
        <f t="shared" si="2"/>
        <v>0</v>
      </c>
      <c r="AE33" s="70">
        <f t="shared" si="2"/>
        <v>0</v>
      </c>
      <c r="AF33" s="70">
        <f t="shared" si="2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117" priority="2" operator="equal">
      <formula>$AG$34</formula>
    </cfRule>
  </conditionalFormatting>
  <conditionalFormatting sqref="AG34">
    <cfRule type="cellIs" dxfId="116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.5703125" customWidth="1"/>
    <col min="2" max="2" width="6.85546875" customWidth="1"/>
    <col min="3" max="3" width="8" customWidth="1"/>
    <col min="4" max="5" width="7.28515625" customWidth="1"/>
    <col min="6" max="6" width="7.5703125" customWidth="1"/>
    <col min="7" max="7" width="7.42578125" customWidth="1"/>
    <col min="8" max="8" width="7.140625" customWidth="1"/>
    <col min="9" max="9" width="7.5703125" customWidth="1"/>
    <col min="10" max="10" width="9.42578125" customWidth="1"/>
    <col min="11" max="12" width="7.28515625" customWidth="1"/>
    <col min="13" max="13" width="7.42578125" customWidth="1"/>
    <col min="14" max="14" width="7.28515625" customWidth="1"/>
    <col min="15" max="15" width="7.5703125" customWidth="1"/>
    <col min="16" max="16" width="7.85546875" customWidth="1"/>
    <col min="17" max="17" width="7.140625" customWidth="1"/>
    <col min="18" max="18" width="7.5703125" customWidth="1"/>
    <col min="19" max="19" width="8" customWidth="1"/>
    <col min="20" max="20" width="7.7109375" customWidth="1"/>
    <col min="21" max="21" width="7.140625" customWidth="1"/>
    <col min="22" max="22" width="7.85546875" customWidth="1"/>
    <col min="23" max="23" width="8" customWidth="1"/>
    <col min="24" max="24" width="7.28515625" customWidth="1"/>
    <col min="25" max="26" width="7.5703125" customWidth="1"/>
    <col min="27" max="29" width="7.85546875" customWidth="1"/>
    <col min="30" max="30" width="7.7109375" customWidth="1"/>
    <col min="31" max="31" width="6.85546875" customWidth="1"/>
    <col min="32" max="32" width="7.85546875" customWidth="1"/>
  </cols>
  <sheetData>
    <row r="1" spans="1:35" s="44" customFormat="1" ht="21" x14ac:dyDescent="0.35">
      <c r="A1" s="217" t="s">
        <v>158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45">
      <c r="A2" s="113" t="s">
        <v>61</v>
      </c>
      <c r="B2" s="73">
        <v>1</v>
      </c>
      <c r="C2" s="73">
        <v>2</v>
      </c>
      <c r="D2" s="73">
        <v>3</v>
      </c>
      <c r="E2" s="73">
        <v>4</v>
      </c>
      <c r="F2" s="73">
        <v>5</v>
      </c>
      <c r="G2" s="73">
        <v>6</v>
      </c>
      <c r="H2" s="73">
        <v>7</v>
      </c>
      <c r="I2" s="73">
        <v>8</v>
      </c>
      <c r="J2" s="73">
        <v>9</v>
      </c>
      <c r="K2" s="73">
        <v>10</v>
      </c>
      <c r="L2" s="73">
        <v>11</v>
      </c>
      <c r="M2" s="73">
        <v>12</v>
      </c>
      <c r="N2" s="73">
        <v>13</v>
      </c>
      <c r="O2" s="73">
        <v>14</v>
      </c>
      <c r="P2" s="73">
        <v>15</v>
      </c>
      <c r="Q2" s="73">
        <v>16</v>
      </c>
      <c r="R2" s="73">
        <v>17</v>
      </c>
      <c r="S2" s="73">
        <v>18</v>
      </c>
      <c r="T2" s="73">
        <v>19</v>
      </c>
      <c r="U2" s="73">
        <v>20</v>
      </c>
      <c r="V2" s="73">
        <v>21</v>
      </c>
      <c r="W2" s="73">
        <v>22</v>
      </c>
      <c r="X2" s="73">
        <v>23</v>
      </c>
      <c r="Y2" s="73">
        <v>24</v>
      </c>
      <c r="Z2" s="73">
        <v>25</v>
      </c>
      <c r="AA2" s="73">
        <v>26</v>
      </c>
      <c r="AB2" s="73">
        <v>27</v>
      </c>
      <c r="AC2" s="73">
        <v>28</v>
      </c>
      <c r="AD2" s="73">
        <v>29</v>
      </c>
      <c r="AE2" s="73">
        <v>30</v>
      </c>
      <c r="AF2" s="73">
        <v>31</v>
      </c>
      <c r="AG2" s="58" t="s">
        <v>62</v>
      </c>
      <c r="AH2" s="42"/>
      <c r="AI2" s="42"/>
    </row>
    <row r="3" spans="1:35" s="44" customFormat="1" ht="40.5" customHeight="1" x14ac:dyDescent="0.35">
      <c r="A3" s="63" t="s">
        <v>94</v>
      </c>
      <c r="B3" s="75"/>
      <c r="C3" s="75"/>
      <c r="D3" s="74"/>
      <c r="E3" s="75"/>
      <c r="F3" s="74"/>
      <c r="G3" s="74"/>
      <c r="H3" s="74"/>
      <c r="I3" s="74"/>
      <c r="J3" s="74"/>
      <c r="K3" s="74"/>
      <c r="L3" s="75"/>
      <c r="M3" s="74"/>
      <c r="N3" s="74"/>
      <c r="O3" s="74"/>
      <c r="P3" s="74"/>
      <c r="Q3" s="74"/>
      <c r="R3" s="74"/>
      <c r="S3" s="75"/>
      <c r="T3" s="74"/>
      <c r="U3" s="74"/>
      <c r="V3" s="74"/>
      <c r="W3" s="74"/>
      <c r="X3" s="74"/>
      <c r="Y3" s="74"/>
      <c r="Z3" s="75"/>
      <c r="AA3" s="74"/>
      <c r="AB3" s="74"/>
      <c r="AC3" s="74"/>
      <c r="AD3" s="74"/>
      <c r="AE3" s="74"/>
      <c r="AF3" s="74"/>
      <c r="AG3" s="46">
        <f t="shared" ref="AG3:AG32" si="0">SUM(B3:AF3)</f>
        <v>0</v>
      </c>
      <c r="AH3" s="47"/>
      <c r="AI3" s="48"/>
    </row>
    <row r="4" spans="1:35" s="44" customFormat="1" ht="33.75" customHeight="1" x14ac:dyDescent="0.35">
      <c r="A4" s="60" t="s">
        <v>193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4"/>
      <c r="C10" s="74"/>
      <c r="D10" s="75"/>
      <c r="E10" s="74"/>
      <c r="F10" s="74"/>
      <c r="G10" s="75"/>
      <c r="H10" s="74"/>
      <c r="I10" s="75"/>
      <c r="J10" s="74"/>
      <c r="K10" s="75"/>
      <c r="L10" s="75"/>
      <c r="M10" s="74"/>
      <c r="N10" s="74"/>
      <c r="O10" s="75"/>
      <c r="P10" s="74"/>
      <c r="Q10" s="74"/>
      <c r="R10" s="75"/>
      <c r="S10" s="74"/>
      <c r="T10" s="75"/>
      <c r="U10" s="74"/>
      <c r="V10" s="74"/>
      <c r="W10" s="75"/>
      <c r="X10" s="74"/>
      <c r="Y10" s="74"/>
      <c r="Z10" s="75"/>
      <c r="AA10" s="74"/>
      <c r="AB10" s="74"/>
      <c r="AC10" s="75"/>
      <c r="AD10" s="74"/>
      <c r="AE10" s="75"/>
      <c r="AF10" s="74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46">
        <f t="shared" si="0"/>
        <v>0</v>
      </c>
      <c r="AH12" s="48"/>
      <c r="AI12" s="48"/>
    </row>
    <row r="13" spans="1:35" s="44" customFormat="1" ht="22.5" customHeight="1" x14ac:dyDescent="0.35">
      <c r="A13" s="60" t="s">
        <v>69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4"/>
      <c r="P15" s="74"/>
      <c r="Q15" s="74"/>
      <c r="R15" s="74"/>
      <c r="S15" s="75"/>
      <c r="T15" s="74"/>
      <c r="U15" s="74"/>
      <c r="V15" s="74"/>
      <c r="W15" s="74"/>
      <c r="X15" s="75"/>
      <c r="Y15" s="74"/>
      <c r="Z15" s="74"/>
      <c r="AA15" s="74"/>
      <c r="AB15" s="74"/>
      <c r="AC15" s="75"/>
      <c r="AD15" s="74"/>
      <c r="AE15" s="75"/>
      <c r="AF15" s="74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74"/>
      <c r="AE16" s="74"/>
      <c r="AF16" s="74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6">
        <f>SUM(C18:AF18)</f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74"/>
      <c r="AE19" s="74"/>
      <c r="AF19" s="74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X20" s="74"/>
      <c r="Y20" s="74"/>
      <c r="Z20" s="74"/>
      <c r="AA20" s="74"/>
      <c r="AB20" s="74"/>
      <c r="AC20" s="74"/>
      <c r="AD20" s="74"/>
      <c r="AE20" s="74"/>
      <c r="AF20" s="74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5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5"/>
      <c r="Z22" s="74"/>
      <c r="AA22" s="75"/>
      <c r="AB22" s="74"/>
      <c r="AC22" s="74"/>
      <c r="AD22" s="74"/>
      <c r="AE22" s="74"/>
      <c r="AF22" s="74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  <c r="AA23" s="74"/>
      <c r="AB23" s="74"/>
      <c r="AC23" s="74"/>
      <c r="AD23" s="74"/>
      <c r="AE23" s="74"/>
      <c r="AF23" s="74"/>
      <c r="AG23" s="46">
        <f>SUM(C23:AF23)</f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4"/>
      <c r="C24" s="74"/>
      <c r="D24" s="74"/>
      <c r="E24" s="74"/>
      <c r="F24" s="74"/>
      <c r="G24" s="74"/>
      <c r="I24" s="74"/>
      <c r="J24" s="74"/>
      <c r="K24" s="74"/>
      <c r="L24" s="74"/>
      <c r="M24" s="74"/>
      <c r="N24" s="74"/>
      <c r="O24" s="74"/>
      <c r="P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4"/>
      <c r="C25" s="74"/>
      <c r="D25" s="74"/>
      <c r="E25" s="74"/>
      <c r="F25" s="75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5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G27" s="46">
        <f>SUM(B27:AE27)</f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R28" s="74"/>
      <c r="S28" s="74"/>
      <c r="T28" s="74"/>
      <c r="U28" s="74"/>
      <c r="V28" s="74"/>
      <c r="W28" s="75"/>
      <c r="X28" s="74"/>
      <c r="Y28" s="74"/>
      <c r="Z28" s="74"/>
      <c r="AA28" s="74"/>
      <c r="AB28" s="74"/>
      <c r="AC28" s="74"/>
      <c r="AD28" s="74"/>
      <c r="AE28" s="74"/>
      <c r="AF28" s="74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5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179</v>
      </c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  <c r="AA32" s="74"/>
      <c r="AB32" s="74"/>
      <c r="AC32" s="74"/>
      <c r="AD32" s="74"/>
      <c r="AE32" s="74"/>
      <c r="AF32" s="74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70">
        <f>SUM(B3:B32)</f>
        <v>0</v>
      </c>
      <c r="C33" s="70">
        <f t="shared" ref="C33:AF33" si="1">SUM(C3:C32)</f>
        <v>0</v>
      </c>
      <c r="D33" s="70">
        <f t="shared" si="1"/>
        <v>0</v>
      </c>
      <c r="E33" s="70">
        <f t="shared" si="1"/>
        <v>0</v>
      </c>
      <c r="F33" s="70">
        <f t="shared" si="1"/>
        <v>0</v>
      </c>
      <c r="G33" s="70">
        <f t="shared" si="1"/>
        <v>0</v>
      </c>
      <c r="H33" s="70">
        <f t="shared" si="1"/>
        <v>0</v>
      </c>
      <c r="I33" s="70">
        <f t="shared" si="1"/>
        <v>0</v>
      </c>
      <c r="J33" s="70">
        <f t="shared" si="1"/>
        <v>0</v>
      </c>
      <c r="K33" s="70">
        <f t="shared" si="1"/>
        <v>0</v>
      </c>
      <c r="L33" s="70">
        <f t="shared" si="1"/>
        <v>0</v>
      </c>
      <c r="M33" s="70">
        <f t="shared" si="1"/>
        <v>0</v>
      </c>
      <c r="N33" s="70">
        <f t="shared" si="1"/>
        <v>0</v>
      </c>
      <c r="O33" s="70">
        <f t="shared" si="1"/>
        <v>0</v>
      </c>
      <c r="P33" s="70">
        <f t="shared" si="1"/>
        <v>0</v>
      </c>
      <c r="Q33" s="70">
        <f t="shared" si="1"/>
        <v>0</v>
      </c>
      <c r="R33" s="70">
        <f t="shared" si="1"/>
        <v>0</v>
      </c>
      <c r="S33" s="70">
        <f t="shared" si="1"/>
        <v>0</v>
      </c>
      <c r="T33" s="70">
        <f t="shared" si="1"/>
        <v>0</v>
      </c>
      <c r="U33" s="70">
        <f t="shared" si="1"/>
        <v>0</v>
      </c>
      <c r="V33" s="70">
        <f t="shared" si="1"/>
        <v>0</v>
      </c>
      <c r="W33" s="70">
        <f t="shared" si="1"/>
        <v>0</v>
      </c>
      <c r="X33" s="70">
        <f t="shared" si="1"/>
        <v>0</v>
      </c>
      <c r="Y33" s="70">
        <f t="shared" si="1"/>
        <v>0</v>
      </c>
      <c r="Z33" s="70">
        <f t="shared" si="1"/>
        <v>0</v>
      </c>
      <c r="AA33" s="70">
        <f t="shared" si="1"/>
        <v>0</v>
      </c>
      <c r="AB33" s="70">
        <f t="shared" si="1"/>
        <v>0</v>
      </c>
      <c r="AC33" s="70">
        <f t="shared" si="1"/>
        <v>0</v>
      </c>
      <c r="AD33" s="70">
        <f t="shared" si="1"/>
        <v>0</v>
      </c>
      <c r="AE33" s="70">
        <f t="shared" si="1"/>
        <v>0</v>
      </c>
      <c r="AF33" s="70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115" priority="2" operator="equal">
      <formula>$AG$34</formula>
    </cfRule>
  </conditionalFormatting>
  <conditionalFormatting sqref="AG34">
    <cfRule type="cellIs" dxfId="114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32" width="7.42578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49">
        <v>2.5</v>
      </c>
      <c r="C3" s="49">
        <v>3</v>
      </c>
      <c r="D3" s="49">
        <v>2</v>
      </c>
      <c r="E3" s="49">
        <v>3</v>
      </c>
      <c r="F3" s="49">
        <v>2</v>
      </c>
      <c r="G3" s="49">
        <v>2</v>
      </c>
      <c r="H3" s="49">
        <v>3.1</v>
      </c>
      <c r="I3" s="50">
        <v>0</v>
      </c>
      <c r="J3" s="49">
        <v>0</v>
      </c>
      <c r="K3" s="50">
        <v>2</v>
      </c>
      <c r="L3" s="49">
        <v>2.5</v>
      </c>
      <c r="M3" s="50">
        <v>3</v>
      </c>
      <c r="N3" s="49">
        <v>2</v>
      </c>
      <c r="O3" s="49">
        <v>2.2000000000000002</v>
      </c>
      <c r="P3" s="50">
        <v>3</v>
      </c>
      <c r="Q3" s="49">
        <v>1</v>
      </c>
      <c r="R3" s="49">
        <v>3</v>
      </c>
      <c r="S3" s="50">
        <v>1.9</v>
      </c>
      <c r="T3" s="50">
        <v>2.5</v>
      </c>
      <c r="U3" s="50">
        <v>3</v>
      </c>
      <c r="V3" s="50">
        <v>3.5</v>
      </c>
      <c r="W3" s="49">
        <v>2</v>
      </c>
      <c r="X3" s="49">
        <v>3.5</v>
      </c>
      <c r="Y3" s="49">
        <v>2</v>
      </c>
      <c r="Z3" s="49">
        <v>0</v>
      </c>
      <c r="AA3" s="49">
        <v>0</v>
      </c>
      <c r="AB3" s="49">
        <v>0</v>
      </c>
      <c r="AC3" s="49">
        <v>0</v>
      </c>
      <c r="AD3" s="49">
        <v>0</v>
      </c>
      <c r="AE3" s="49">
        <v>0</v>
      </c>
      <c r="AF3" s="49">
        <v>0</v>
      </c>
      <c r="AG3" s="46">
        <f t="shared" ref="AG3:AG32" si="0">SUM(B3:AF3)</f>
        <v>54.699999999999996</v>
      </c>
      <c r="AH3" s="47"/>
      <c r="AI3" s="48"/>
    </row>
    <row r="4" spans="1:35" s="44" customFormat="1" ht="18.75" customHeight="1" x14ac:dyDescent="0.35">
      <c r="A4" s="60" t="s">
        <v>193</v>
      </c>
      <c r="B4" s="51">
        <v>1</v>
      </c>
      <c r="C4" s="51">
        <v>0.9</v>
      </c>
      <c r="D4" s="51">
        <v>0.7</v>
      </c>
      <c r="E4" s="51">
        <v>1</v>
      </c>
      <c r="F4" s="51">
        <v>2</v>
      </c>
      <c r="G4" s="51">
        <v>0.7</v>
      </c>
      <c r="H4" s="51">
        <v>0.9</v>
      </c>
      <c r="I4" s="51">
        <v>0</v>
      </c>
      <c r="J4" s="51">
        <v>0</v>
      </c>
      <c r="K4" s="51">
        <v>0.8</v>
      </c>
      <c r="L4" s="51">
        <v>1</v>
      </c>
      <c r="M4" s="51">
        <v>0.9</v>
      </c>
      <c r="N4" s="51">
        <v>0.7</v>
      </c>
      <c r="O4" s="51">
        <v>0.9</v>
      </c>
      <c r="P4" s="51">
        <v>0</v>
      </c>
      <c r="Q4" s="51">
        <v>0.5</v>
      </c>
      <c r="R4" s="51">
        <v>0.9</v>
      </c>
      <c r="S4" s="51">
        <v>1.2</v>
      </c>
      <c r="T4" s="51">
        <v>0.7</v>
      </c>
      <c r="U4" s="51">
        <v>0.9</v>
      </c>
      <c r="V4" s="51">
        <v>1</v>
      </c>
      <c r="W4" s="51">
        <v>0</v>
      </c>
      <c r="X4" s="51">
        <v>1</v>
      </c>
      <c r="Y4" s="51">
        <v>0.6</v>
      </c>
      <c r="Z4" s="51">
        <v>0.9</v>
      </c>
      <c r="AA4" s="51">
        <v>0.7</v>
      </c>
      <c r="AB4" s="51">
        <v>1</v>
      </c>
      <c r="AC4" s="51">
        <v>1.1000000000000001</v>
      </c>
      <c r="AD4" s="51">
        <v>0.4</v>
      </c>
      <c r="AE4" s="51">
        <v>0.9</v>
      </c>
      <c r="AF4" s="51">
        <v>1.1000000000000001</v>
      </c>
      <c r="AG4" s="46">
        <f t="shared" si="0"/>
        <v>24.4</v>
      </c>
      <c r="AH4" s="48"/>
      <c r="AI4" s="48"/>
    </row>
    <row r="5" spans="1:35" s="44" customFormat="1" ht="18.75" customHeight="1" x14ac:dyDescent="0.35">
      <c r="A5" s="60" t="s">
        <v>83</v>
      </c>
      <c r="B5" s="51">
        <v>1</v>
      </c>
      <c r="C5" s="51">
        <v>2.2999999999999998</v>
      </c>
      <c r="D5" s="51">
        <v>1.3</v>
      </c>
      <c r="E5" s="51">
        <v>2.6</v>
      </c>
      <c r="F5" s="51">
        <v>3</v>
      </c>
      <c r="G5" s="51">
        <v>1.7</v>
      </c>
      <c r="H5" s="51">
        <v>1.8</v>
      </c>
      <c r="I5" s="51">
        <v>0</v>
      </c>
      <c r="J5" s="51">
        <v>0</v>
      </c>
      <c r="K5" s="51">
        <v>1.4</v>
      </c>
      <c r="L5" s="51">
        <v>2.6</v>
      </c>
      <c r="M5" s="51">
        <v>1</v>
      </c>
      <c r="N5" s="51">
        <v>1.7</v>
      </c>
      <c r="O5" s="51">
        <v>1</v>
      </c>
      <c r="P5" s="51">
        <v>0</v>
      </c>
      <c r="Q5" s="51">
        <v>4</v>
      </c>
      <c r="R5" s="51">
        <v>3.3</v>
      </c>
      <c r="S5" s="51">
        <v>2.9</v>
      </c>
      <c r="T5" s="51">
        <v>3.1</v>
      </c>
      <c r="U5" s="51">
        <v>3.6</v>
      </c>
      <c r="V5" s="51">
        <v>4.3</v>
      </c>
      <c r="W5" s="51">
        <v>1.8</v>
      </c>
      <c r="X5" s="51">
        <v>3.3</v>
      </c>
      <c r="Y5" s="51">
        <v>4</v>
      </c>
      <c r="Z5" s="51">
        <v>2.4</v>
      </c>
      <c r="AA5" s="51">
        <v>1.5</v>
      </c>
      <c r="AB5" s="51">
        <v>1.4</v>
      </c>
      <c r="AC5" s="51">
        <v>1.4</v>
      </c>
      <c r="AD5" s="51">
        <v>0</v>
      </c>
      <c r="AE5" s="51">
        <v>0.9</v>
      </c>
      <c r="AF5" s="51">
        <v>0.5</v>
      </c>
      <c r="AG5" s="46">
        <f t="shared" si="0"/>
        <v>59.799999999999983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1.7</v>
      </c>
      <c r="C7" s="51">
        <v>1.5</v>
      </c>
      <c r="D7" s="51">
        <v>1.2</v>
      </c>
      <c r="E7" s="51">
        <v>1</v>
      </c>
      <c r="F7" s="51">
        <v>1.1000000000000001</v>
      </c>
      <c r="G7" s="51">
        <v>1.8</v>
      </c>
      <c r="H7" s="51">
        <v>1.9</v>
      </c>
      <c r="I7" s="51">
        <v>1.2</v>
      </c>
      <c r="J7" s="51">
        <v>1.2</v>
      </c>
      <c r="K7" s="51">
        <v>1.3</v>
      </c>
      <c r="L7" s="51">
        <v>1.5</v>
      </c>
      <c r="M7" s="51">
        <v>1.6</v>
      </c>
      <c r="N7" s="51">
        <v>1</v>
      </c>
      <c r="O7" s="51">
        <v>1</v>
      </c>
      <c r="P7" s="51">
        <v>1.5</v>
      </c>
      <c r="Q7" s="51">
        <v>1</v>
      </c>
      <c r="R7" s="51">
        <v>1.5</v>
      </c>
      <c r="S7" s="51">
        <v>1</v>
      </c>
      <c r="T7" s="51">
        <v>1.5</v>
      </c>
      <c r="U7" s="51">
        <v>1.5</v>
      </c>
      <c r="V7" s="51">
        <v>1.7</v>
      </c>
      <c r="W7" s="51">
        <v>1.5</v>
      </c>
      <c r="X7" s="51">
        <v>1.7</v>
      </c>
      <c r="Y7" s="51">
        <v>1.5</v>
      </c>
      <c r="Z7" s="51">
        <v>1.5</v>
      </c>
      <c r="AA7" s="51">
        <v>1.8</v>
      </c>
      <c r="AB7" s="51">
        <v>1.8</v>
      </c>
      <c r="AC7" s="51">
        <v>1.5</v>
      </c>
      <c r="AD7" s="51">
        <v>1.8</v>
      </c>
      <c r="AE7" s="51">
        <v>1.5</v>
      </c>
      <c r="AF7" s="51">
        <v>1</v>
      </c>
      <c r="AG7" s="46">
        <f t="shared" si="0"/>
        <v>44.29999999999999</v>
      </c>
      <c r="AH7" s="48"/>
      <c r="AI7" s="48"/>
    </row>
    <row r="8" spans="1:35" s="44" customFormat="1" ht="18.75" customHeight="1" x14ac:dyDescent="0.35">
      <c r="A8" s="60" t="s">
        <v>65</v>
      </c>
      <c r="B8" s="51">
        <v>9</v>
      </c>
      <c r="C8" s="51">
        <v>12</v>
      </c>
      <c r="D8" s="51">
        <v>8</v>
      </c>
      <c r="E8" s="51">
        <v>8</v>
      </c>
      <c r="F8" s="51">
        <v>9</v>
      </c>
      <c r="G8" s="51">
        <v>9</v>
      </c>
      <c r="H8" s="51">
        <v>7</v>
      </c>
      <c r="I8" s="51">
        <v>12</v>
      </c>
      <c r="J8" s="51">
        <v>9</v>
      </c>
      <c r="K8" s="51">
        <v>7</v>
      </c>
      <c r="L8" s="51">
        <v>5.2</v>
      </c>
      <c r="M8" s="51">
        <v>5.8</v>
      </c>
      <c r="N8" s="51">
        <v>4.5999999999999996</v>
      </c>
      <c r="O8" s="51">
        <v>5.0999999999999996</v>
      </c>
      <c r="P8" s="51">
        <v>7</v>
      </c>
      <c r="Q8" s="51">
        <v>6.5</v>
      </c>
      <c r="R8" s="51">
        <v>5.4</v>
      </c>
      <c r="S8" s="51">
        <v>5.7</v>
      </c>
      <c r="T8" s="51">
        <v>5.2</v>
      </c>
      <c r="U8" s="51">
        <v>5.6</v>
      </c>
      <c r="V8" s="51">
        <v>5.9</v>
      </c>
      <c r="W8" s="51">
        <v>5.6</v>
      </c>
      <c r="X8" s="51">
        <v>5.9</v>
      </c>
      <c r="Y8" s="51">
        <v>5.5</v>
      </c>
      <c r="Z8" s="51">
        <v>6.2</v>
      </c>
      <c r="AA8" s="51">
        <v>5.6</v>
      </c>
      <c r="AB8" s="51">
        <v>5.5</v>
      </c>
      <c r="AC8" s="51">
        <v>5.4</v>
      </c>
      <c r="AD8" s="51">
        <v>5</v>
      </c>
      <c r="AE8" s="51">
        <v>4.9000000000000004</v>
      </c>
      <c r="AF8" s="51">
        <v>2</v>
      </c>
      <c r="AG8" s="46">
        <f t="shared" si="0"/>
        <v>203.59999999999997</v>
      </c>
      <c r="AH8" s="48"/>
      <c r="AI8" s="48"/>
    </row>
    <row r="9" spans="1:35" s="44" customFormat="1" ht="18.75" customHeight="1" x14ac:dyDescent="0.35">
      <c r="A9" s="60" t="s">
        <v>66</v>
      </c>
      <c r="B9" s="52">
        <v>0</v>
      </c>
      <c r="C9" s="52">
        <v>2</v>
      </c>
      <c r="D9" s="52">
        <v>1.8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1.2</v>
      </c>
      <c r="K9" s="52">
        <v>4.4000000000000004</v>
      </c>
      <c r="L9" s="52">
        <v>1.8</v>
      </c>
      <c r="M9" s="52">
        <v>2.2000000000000002</v>
      </c>
      <c r="N9" s="52">
        <v>5.2</v>
      </c>
      <c r="O9" s="52">
        <v>5.0999999999999996</v>
      </c>
      <c r="P9" s="52">
        <v>0</v>
      </c>
      <c r="Q9" s="52">
        <v>3.2</v>
      </c>
      <c r="R9" s="52">
        <v>3.2</v>
      </c>
      <c r="S9" s="52">
        <v>3</v>
      </c>
      <c r="T9" s="52">
        <v>2.8</v>
      </c>
      <c r="U9" s="52">
        <v>2.1</v>
      </c>
      <c r="V9" s="52">
        <v>0</v>
      </c>
      <c r="W9" s="52">
        <v>2.8</v>
      </c>
      <c r="X9" s="52">
        <v>3.8</v>
      </c>
      <c r="Y9" s="52">
        <v>4.2</v>
      </c>
      <c r="Z9" s="52">
        <v>2.8</v>
      </c>
      <c r="AA9" s="52">
        <v>3.8</v>
      </c>
      <c r="AB9" s="52">
        <v>4.2</v>
      </c>
      <c r="AC9" s="52">
        <v>4.8</v>
      </c>
      <c r="AD9" s="52">
        <v>0</v>
      </c>
      <c r="AE9" s="52">
        <v>5.5</v>
      </c>
      <c r="AF9" s="52">
        <v>4.8</v>
      </c>
      <c r="AG9" s="46">
        <f t="shared" si="0"/>
        <v>74.699999999999989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7.3</v>
      </c>
      <c r="C10" s="51">
        <v>4.9000000000000004</v>
      </c>
      <c r="D10" s="51">
        <v>5.0999999999999996</v>
      </c>
      <c r="E10" s="51">
        <v>5</v>
      </c>
      <c r="F10" s="51">
        <v>2.2000000000000002</v>
      </c>
      <c r="G10" s="51">
        <v>5.8</v>
      </c>
      <c r="H10" s="51">
        <v>6.3</v>
      </c>
      <c r="I10" s="51">
        <v>6.2</v>
      </c>
      <c r="J10" s="51">
        <v>3.1</v>
      </c>
      <c r="K10" s="51">
        <v>3.7</v>
      </c>
      <c r="L10" s="51">
        <v>4.2</v>
      </c>
      <c r="M10" s="51">
        <v>2.1</v>
      </c>
      <c r="N10" s="51">
        <v>2.1</v>
      </c>
      <c r="O10" s="51">
        <v>2</v>
      </c>
      <c r="P10" s="51">
        <v>3.2</v>
      </c>
      <c r="Q10" s="51">
        <v>2.5</v>
      </c>
      <c r="R10" s="51">
        <v>3.1</v>
      </c>
      <c r="S10" s="51">
        <v>2.2999999999999998</v>
      </c>
      <c r="T10" s="51">
        <v>3.2</v>
      </c>
      <c r="U10" s="51">
        <v>4.0999999999999996</v>
      </c>
      <c r="V10" s="51">
        <v>0.9</v>
      </c>
      <c r="W10" s="51">
        <v>7.2</v>
      </c>
      <c r="X10" s="51">
        <v>2.8</v>
      </c>
      <c r="Y10" s="51">
        <v>2.6</v>
      </c>
      <c r="Z10" s="51">
        <v>2.2999999999999998</v>
      </c>
      <c r="AA10" s="51">
        <v>2.1</v>
      </c>
      <c r="AB10" s="51">
        <v>2.1</v>
      </c>
      <c r="AC10" s="51">
        <v>3.1</v>
      </c>
      <c r="AD10" s="51">
        <v>3.4</v>
      </c>
      <c r="AE10" s="51">
        <v>1.1000000000000001</v>
      </c>
      <c r="AF10" s="51">
        <v>1.22</v>
      </c>
      <c r="AG10" s="46">
        <f t="shared" si="0"/>
        <v>107.21999999999998</v>
      </c>
      <c r="AH10" s="48"/>
      <c r="AI10" s="48"/>
    </row>
    <row r="11" spans="1:35" s="44" customFormat="1" ht="18.75" customHeight="1" x14ac:dyDescent="0.35">
      <c r="A11" s="60" t="s">
        <v>152</v>
      </c>
      <c r="B11" s="51">
        <v>0</v>
      </c>
      <c r="C11" s="51">
        <v>1</v>
      </c>
      <c r="D11" s="51">
        <v>0.5</v>
      </c>
      <c r="E11" s="51">
        <v>0.6</v>
      </c>
      <c r="F11" s="51">
        <v>0.3</v>
      </c>
      <c r="G11" s="51">
        <v>0.5</v>
      </c>
      <c r="H11" s="51">
        <v>0</v>
      </c>
      <c r="I11" s="51">
        <v>0</v>
      </c>
      <c r="J11" s="51">
        <v>0</v>
      </c>
      <c r="K11" s="51">
        <v>0.2</v>
      </c>
      <c r="L11" s="51">
        <v>0.3</v>
      </c>
      <c r="M11" s="51">
        <v>0.5</v>
      </c>
      <c r="N11" s="51">
        <v>0.2</v>
      </c>
      <c r="O11" s="51">
        <v>0.1</v>
      </c>
      <c r="P11" s="51">
        <v>0</v>
      </c>
      <c r="Q11" s="51">
        <v>0.8</v>
      </c>
      <c r="R11" s="51">
        <v>0.8</v>
      </c>
      <c r="S11" s="51">
        <v>0.5</v>
      </c>
      <c r="T11" s="51">
        <v>0.5</v>
      </c>
      <c r="U11" s="51">
        <v>0.8</v>
      </c>
      <c r="V11" s="51">
        <v>0.2</v>
      </c>
      <c r="W11" s="51">
        <v>0</v>
      </c>
      <c r="X11" s="51">
        <v>0.2</v>
      </c>
      <c r="Y11" s="51">
        <v>0.1</v>
      </c>
      <c r="Z11" s="51">
        <v>0</v>
      </c>
      <c r="AA11" s="51">
        <v>0.2</v>
      </c>
      <c r="AB11" s="51">
        <v>0.5</v>
      </c>
      <c r="AC11" s="51">
        <v>0.3</v>
      </c>
      <c r="AD11" s="51">
        <v>0</v>
      </c>
      <c r="AE11" s="51">
        <v>0.1</v>
      </c>
      <c r="AF11" s="51">
        <v>0.1</v>
      </c>
      <c r="AG11" s="46">
        <f t="shared" si="0"/>
        <v>9.2999999999999989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1.3</v>
      </c>
      <c r="C12" s="51">
        <v>1</v>
      </c>
      <c r="D12" s="51">
        <v>1.5</v>
      </c>
      <c r="E12" s="51">
        <v>1.3</v>
      </c>
      <c r="F12" s="51">
        <v>1.8</v>
      </c>
      <c r="G12" s="51">
        <v>1.7</v>
      </c>
      <c r="H12" s="51">
        <v>1.3</v>
      </c>
      <c r="I12" s="51">
        <v>1.4</v>
      </c>
      <c r="J12" s="51">
        <v>1.5</v>
      </c>
      <c r="K12" s="51">
        <v>1.9</v>
      </c>
      <c r="L12" s="51">
        <v>1</v>
      </c>
      <c r="M12" s="51">
        <v>1.5</v>
      </c>
      <c r="N12" s="51">
        <v>2</v>
      </c>
      <c r="O12" s="51">
        <v>2.2999999999999998</v>
      </c>
      <c r="P12" s="51">
        <v>2.1</v>
      </c>
      <c r="Q12" s="51">
        <v>3.6</v>
      </c>
      <c r="R12" s="51">
        <v>1</v>
      </c>
      <c r="S12" s="51">
        <v>2.2999999999999998</v>
      </c>
      <c r="T12" s="51">
        <v>2.4</v>
      </c>
      <c r="U12" s="51">
        <v>2</v>
      </c>
      <c r="V12" s="51">
        <v>5.5</v>
      </c>
      <c r="W12" s="51">
        <v>2.5</v>
      </c>
      <c r="X12" s="51">
        <v>1.3</v>
      </c>
      <c r="Y12" s="51">
        <v>1</v>
      </c>
      <c r="Z12" s="51">
        <v>2.2999999999999998</v>
      </c>
      <c r="AA12" s="51">
        <v>2.8</v>
      </c>
      <c r="AB12" s="51">
        <v>2.4</v>
      </c>
      <c r="AC12" s="51">
        <v>7.3</v>
      </c>
      <c r="AD12" s="51">
        <v>3.3</v>
      </c>
      <c r="AE12" s="51">
        <v>2.5</v>
      </c>
      <c r="AF12" s="51">
        <v>3.3</v>
      </c>
      <c r="AG12" s="46">
        <f t="shared" si="0"/>
        <v>69.09999999999998</v>
      </c>
      <c r="AH12" s="48"/>
      <c r="AI12" s="48"/>
    </row>
    <row r="13" spans="1:35" s="44" customFormat="1" ht="18.75" customHeight="1" x14ac:dyDescent="0.35">
      <c r="A13" s="60" t="s">
        <v>69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5">
        <v>5.2</v>
      </c>
      <c r="C15" s="55">
        <v>3.9</v>
      </c>
      <c r="D15" s="55">
        <v>2.4</v>
      </c>
      <c r="E15" s="55">
        <v>1.4</v>
      </c>
      <c r="F15" s="55">
        <v>0.7</v>
      </c>
      <c r="G15" s="55">
        <v>0.7</v>
      </c>
      <c r="H15" s="55">
        <v>1.2</v>
      </c>
      <c r="I15" s="55">
        <v>1.6</v>
      </c>
      <c r="J15" s="55">
        <v>4.0999999999999996</v>
      </c>
      <c r="K15" s="55">
        <v>8.3000000000000007</v>
      </c>
      <c r="L15" s="55">
        <v>8.4</v>
      </c>
      <c r="M15" s="55">
        <v>7.7</v>
      </c>
      <c r="N15" s="55">
        <v>8.4</v>
      </c>
      <c r="O15" s="55">
        <v>7.9</v>
      </c>
      <c r="P15" s="55">
        <v>4</v>
      </c>
      <c r="Q15" s="55">
        <v>0.8</v>
      </c>
      <c r="R15" s="55">
        <v>1.6</v>
      </c>
      <c r="S15" s="55">
        <v>3.6</v>
      </c>
      <c r="T15" s="55">
        <v>4.8</v>
      </c>
      <c r="U15" s="55">
        <v>4.3</v>
      </c>
      <c r="V15" s="55">
        <v>4.0999999999999996</v>
      </c>
      <c r="W15" s="55">
        <v>3.9</v>
      </c>
      <c r="X15" s="55">
        <v>6.8</v>
      </c>
      <c r="Y15" s="55">
        <v>8</v>
      </c>
      <c r="Z15" s="55">
        <v>7.8</v>
      </c>
      <c r="AA15" s="55">
        <v>8.1999999999999993</v>
      </c>
      <c r="AB15" s="55">
        <v>7</v>
      </c>
      <c r="AC15" s="55">
        <v>7.8</v>
      </c>
      <c r="AD15" s="55">
        <v>1.1000000000000001</v>
      </c>
      <c r="AE15" s="55">
        <v>1.9</v>
      </c>
      <c r="AF15" s="55">
        <v>2.1</v>
      </c>
      <c r="AG15" s="46">
        <f t="shared" si="0"/>
        <v>139.69999999999999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2"/>
      <c r="Z16" s="52"/>
      <c r="AA16" s="52"/>
      <c r="AB16" s="52"/>
      <c r="AC16" s="52"/>
      <c r="AD16" s="52"/>
      <c r="AE16" s="52"/>
      <c r="AF16" s="52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51">
        <v>0.9</v>
      </c>
      <c r="C17" s="51">
        <v>1.2</v>
      </c>
      <c r="D17" s="51">
        <v>1.3</v>
      </c>
      <c r="E17" s="51">
        <v>1.5</v>
      </c>
      <c r="F17" s="51">
        <v>0.8</v>
      </c>
      <c r="G17" s="51">
        <v>0.9</v>
      </c>
      <c r="H17" s="51">
        <v>0.8</v>
      </c>
      <c r="I17" s="51">
        <v>1</v>
      </c>
      <c r="J17" s="51">
        <v>1</v>
      </c>
      <c r="K17" s="51">
        <v>0.1</v>
      </c>
      <c r="L17" s="51">
        <v>0.1</v>
      </c>
      <c r="M17" s="51">
        <v>0.1</v>
      </c>
      <c r="N17" s="51">
        <v>3</v>
      </c>
      <c r="O17" s="51">
        <v>2.1</v>
      </c>
      <c r="P17" s="51">
        <v>0.8</v>
      </c>
      <c r="Q17" s="51">
        <v>0.5</v>
      </c>
      <c r="R17" s="51">
        <v>0.4</v>
      </c>
      <c r="S17" s="51">
        <v>1</v>
      </c>
      <c r="T17" s="51">
        <v>0</v>
      </c>
      <c r="U17" s="51">
        <v>0.8</v>
      </c>
      <c r="V17" s="51">
        <v>0.4</v>
      </c>
      <c r="W17" s="51">
        <v>0.8</v>
      </c>
      <c r="X17" s="51">
        <v>0.1</v>
      </c>
      <c r="Y17" s="51">
        <v>0.1</v>
      </c>
      <c r="Z17" s="51">
        <v>0.3</v>
      </c>
      <c r="AA17" s="51">
        <v>0.2</v>
      </c>
      <c r="AB17" s="51">
        <v>0.3</v>
      </c>
      <c r="AC17" s="51">
        <v>3.1</v>
      </c>
      <c r="AD17" s="51">
        <v>3</v>
      </c>
      <c r="AE17" s="51">
        <v>1</v>
      </c>
      <c r="AF17" s="51">
        <v>1</v>
      </c>
      <c r="AG17" s="46">
        <f t="shared" si="0"/>
        <v>28.600000000000005</v>
      </c>
      <c r="AH17" s="48"/>
      <c r="AI17" s="48"/>
    </row>
    <row r="18" spans="1:35" s="44" customFormat="1" ht="18.75" customHeight="1" x14ac:dyDescent="0.35">
      <c r="A18" s="60" t="s">
        <v>73</v>
      </c>
      <c r="B18" s="51">
        <v>5.2</v>
      </c>
      <c r="C18" s="51">
        <v>5.2</v>
      </c>
      <c r="D18" s="51">
        <v>7.2</v>
      </c>
      <c r="E18" s="51">
        <v>5.9</v>
      </c>
      <c r="F18" s="51">
        <v>4.5</v>
      </c>
      <c r="G18" s="51">
        <v>5.3</v>
      </c>
      <c r="H18" s="51">
        <v>0</v>
      </c>
      <c r="I18" s="51">
        <v>0</v>
      </c>
      <c r="J18" s="51">
        <v>7</v>
      </c>
      <c r="K18" s="51">
        <v>6.7</v>
      </c>
      <c r="L18" s="51">
        <v>7.2</v>
      </c>
      <c r="M18" s="51">
        <v>6.2</v>
      </c>
      <c r="N18" s="51">
        <v>5.3</v>
      </c>
      <c r="O18" s="51">
        <v>5.3</v>
      </c>
      <c r="P18" s="51">
        <v>0</v>
      </c>
      <c r="Q18" s="51">
        <v>6.3</v>
      </c>
      <c r="R18" s="51">
        <v>6.6</v>
      </c>
      <c r="S18" s="51">
        <v>6.5</v>
      </c>
      <c r="T18" s="51">
        <v>6.1</v>
      </c>
      <c r="U18" s="51">
        <v>6.2</v>
      </c>
      <c r="V18" s="51">
        <v>7.4</v>
      </c>
      <c r="W18" s="51">
        <v>8.5</v>
      </c>
      <c r="X18" s="51">
        <v>6.3</v>
      </c>
      <c r="Y18" s="51">
        <v>5</v>
      </c>
      <c r="Z18" s="51">
        <v>8</v>
      </c>
      <c r="AA18" s="51">
        <v>2.1</v>
      </c>
      <c r="AB18" s="51">
        <v>4.2</v>
      </c>
      <c r="AC18" s="51">
        <v>3.2</v>
      </c>
      <c r="AD18" s="51">
        <v>2.1</v>
      </c>
      <c r="AE18" s="51">
        <v>3</v>
      </c>
      <c r="AF18" s="51">
        <v>2.1</v>
      </c>
      <c r="AG18" s="46">
        <f t="shared" si="0"/>
        <v>154.59999999999994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233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227</v>
      </c>
      <c r="B21" s="51">
        <v>1.5</v>
      </c>
      <c r="C21" s="51">
        <v>3.5</v>
      </c>
      <c r="D21" s="51">
        <v>2.8</v>
      </c>
      <c r="E21" s="51">
        <v>3.5</v>
      </c>
      <c r="F21" s="51">
        <v>4.5</v>
      </c>
      <c r="G21" s="51">
        <v>4.8</v>
      </c>
      <c r="H21" s="51">
        <v>6.7</v>
      </c>
      <c r="I21" s="51">
        <v>2.8</v>
      </c>
      <c r="J21" s="51">
        <v>1.8</v>
      </c>
      <c r="K21" s="51">
        <v>1.5</v>
      </c>
      <c r="L21" s="51">
        <v>1</v>
      </c>
      <c r="M21" s="51">
        <v>2.5</v>
      </c>
      <c r="N21" s="51">
        <v>1.5</v>
      </c>
      <c r="O21" s="51">
        <v>1.3</v>
      </c>
      <c r="P21" s="51">
        <v>0.9</v>
      </c>
      <c r="Q21" s="51">
        <v>1</v>
      </c>
      <c r="R21" s="51">
        <v>1</v>
      </c>
      <c r="S21" s="51">
        <v>0.9</v>
      </c>
      <c r="T21" s="51">
        <v>0.9</v>
      </c>
      <c r="U21" s="51">
        <v>1.5</v>
      </c>
      <c r="V21" s="51">
        <v>2.1</v>
      </c>
      <c r="W21" s="51">
        <v>3.5</v>
      </c>
      <c r="X21" s="51">
        <v>2.8</v>
      </c>
      <c r="Y21" s="51">
        <v>1.8</v>
      </c>
      <c r="Z21" s="51">
        <v>5.7</v>
      </c>
      <c r="AA21" s="51">
        <v>4.5</v>
      </c>
      <c r="AB21" s="51">
        <v>3.1</v>
      </c>
      <c r="AC21" s="51">
        <v>2.1</v>
      </c>
      <c r="AD21" s="51">
        <v>3.5</v>
      </c>
      <c r="AE21" s="51">
        <v>3.5</v>
      </c>
      <c r="AF21" s="51">
        <v>6.2</v>
      </c>
      <c r="AG21" s="46">
        <f t="shared" si="0"/>
        <v>84.699999999999989</v>
      </c>
      <c r="AH21" s="48"/>
      <c r="AI21" s="48"/>
    </row>
    <row r="22" spans="1:35" s="44" customFormat="1" ht="18.75" customHeight="1" x14ac:dyDescent="0.35">
      <c r="A22" s="60" t="s">
        <v>225</v>
      </c>
      <c r="B22" s="51">
        <v>1</v>
      </c>
      <c r="C22" s="51">
        <v>2</v>
      </c>
      <c r="D22" s="51">
        <v>1</v>
      </c>
      <c r="E22" s="51">
        <v>2</v>
      </c>
      <c r="F22" s="51">
        <v>2</v>
      </c>
      <c r="G22" s="51">
        <v>1</v>
      </c>
      <c r="H22" s="51">
        <v>2</v>
      </c>
      <c r="I22" s="51">
        <v>1</v>
      </c>
      <c r="J22" s="51">
        <v>1</v>
      </c>
      <c r="K22" s="51">
        <v>1</v>
      </c>
      <c r="L22" s="51">
        <v>1</v>
      </c>
      <c r="M22" s="51">
        <v>2</v>
      </c>
      <c r="N22" s="51">
        <v>2.5</v>
      </c>
      <c r="O22" s="51">
        <v>0.9</v>
      </c>
      <c r="P22" s="51">
        <v>0.1</v>
      </c>
      <c r="Q22" s="51">
        <v>0.4</v>
      </c>
      <c r="R22" s="51">
        <v>1</v>
      </c>
      <c r="S22" s="51">
        <v>0.9</v>
      </c>
      <c r="T22" s="51">
        <v>0.8</v>
      </c>
      <c r="U22" s="51">
        <v>1.5</v>
      </c>
      <c r="V22" s="51">
        <v>0</v>
      </c>
      <c r="W22" s="51">
        <v>0</v>
      </c>
      <c r="X22" s="51">
        <v>0</v>
      </c>
      <c r="Y22" s="51">
        <v>0</v>
      </c>
      <c r="Z22" s="51">
        <v>2.5</v>
      </c>
      <c r="AA22" s="51">
        <v>1.5</v>
      </c>
      <c r="AB22" s="51">
        <v>2.2999999999999998</v>
      </c>
      <c r="AC22" s="51">
        <v>1</v>
      </c>
      <c r="AD22" s="51">
        <v>1.3</v>
      </c>
      <c r="AE22" s="51">
        <v>1.1000000000000001</v>
      </c>
      <c r="AF22" s="51">
        <v>1.2</v>
      </c>
      <c r="AG22" s="46">
        <f t="shared" si="0"/>
        <v>36</v>
      </c>
      <c r="AH22" s="48"/>
      <c r="AI22" s="48"/>
    </row>
    <row r="23" spans="1:35" s="44" customFormat="1" ht="18.75" customHeight="1" x14ac:dyDescent="0.35">
      <c r="A23" s="60" t="s">
        <v>74</v>
      </c>
      <c r="B23" s="51">
        <v>0.9</v>
      </c>
      <c r="C23" s="51">
        <v>1</v>
      </c>
      <c r="D23" s="51">
        <v>0.7</v>
      </c>
      <c r="E23" s="51">
        <v>1.2</v>
      </c>
      <c r="F23" s="51">
        <v>0.6</v>
      </c>
      <c r="G23" s="51">
        <v>1.1000000000000001</v>
      </c>
      <c r="H23" s="51">
        <v>2</v>
      </c>
      <c r="I23" s="51">
        <v>0.9</v>
      </c>
      <c r="J23" s="51">
        <v>0.7</v>
      </c>
      <c r="K23" s="51">
        <v>0.6</v>
      </c>
      <c r="L23" s="51">
        <v>1</v>
      </c>
      <c r="M23" s="51">
        <v>0.8</v>
      </c>
      <c r="N23" s="51">
        <v>1.1000000000000001</v>
      </c>
      <c r="O23" s="51">
        <v>0.4</v>
      </c>
      <c r="P23" s="51">
        <v>1.2</v>
      </c>
      <c r="Q23" s="51">
        <v>1</v>
      </c>
      <c r="R23" s="51">
        <v>0.7</v>
      </c>
      <c r="S23" s="51">
        <v>0.9</v>
      </c>
      <c r="T23" s="51">
        <v>0.8</v>
      </c>
      <c r="U23" s="51">
        <v>0.6</v>
      </c>
      <c r="V23" s="51">
        <v>1</v>
      </c>
      <c r="W23" s="51">
        <v>1.2</v>
      </c>
      <c r="X23" s="51">
        <v>0.5</v>
      </c>
      <c r="Y23" s="51">
        <v>1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0.9</v>
      </c>
      <c r="AF23" s="51">
        <v>1</v>
      </c>
      <c r="AG23" s="46">
        <f t="shared" si="0"/>
        <v>23.799999999999997</v>
      </c>
      <c r="AH23" s="48"/>
      <c r="AI23" s="48"/>
    </row>
    <row r="24" spans="1:35" s="44" customFormat="1" ht="18.75" customHeight="1" x14ac:dyDescent="0.35">
      <c r="A24" s="60" t="s">
        <v>75</v>
      </c>
      <c r="B24" s="51">
        <v>0</v>
      </c>
      <c r="C24" s="51">
        <v>0.1</v>
      </c>
      <c r="D24" s="51">
        <v>3</v>
      </c>
      <c r="E24" s="51">
        <v>2</v>
      </c>
      <c r="F24" s="51">
        <v>0</v>
      </c>
      <c r="G24" s="51">
        <v>0</v>
      </c>
      <c r="H24" s="51">
        <v>0.4</v>
      </c>
      <c r="I24" s="51">
        <v>0</v>
      </c>
      <c r="J24" s="51">
        <v>0</v>
      </c>
      <c r="K24" s="51">
        <v>0.9</v>
      </c>
      <c r="L24" s="51">
        <v>0.7</v>
      </c>
      <c r="M24" s="51">
        <v>1.6</v>
      </c>
      <c r="N24" s="51">
        <v>0.9</v>
      </c>
      <c r="O24" s="51">
        <v>0.4</v>
      </c>
      <c r="P24" s="51">
        <v>1</v>
      </c>
      <c r="Q24" s="51">
        <v>0.5</v>
      </c>
      <c r="R24" s="51">
        <v>0.3</v>
      </c>
      <c r="S24" s="51">
        <v>3.1</v>
      </c>
      <c r="T24" s="51">
        <v>4</v>
      </c>
      <c r="U24" s="51">
        <v>3</v>
      </c>
      <c r="V24" s="51">
        <v>2.1</v>
      </c>
      <c r="W24" s="51">
        <v>0</v>
      </c>
      <c r="X24" s="51">
        <v>0.5</v>
      </c>
      <c r="Y24" s="51">
        <v>0.9</v>
      </c>
      <c r="Z24" s="51">
        <v>0.3</v>
      </c>
      <c r="AA24" s="51">
        <v>0.2</v>
      </c>
      <c r="AB24" s="51">
        <v>0</v>
      </c>
      <c r="AC24" s="51">
        <v>0</v>
      </c>
      <c r="AD24" s="51">
        <v>0</v>
      </c>
      <c r="AE24" s="51">
        <v>0.9</v>
      </c>
      <c r="AF24" s="51">
        <v>1</v>
      </c>
      <c r="AG24" s="46">
        <f t="shared" si="0"/>
        <v>27.8</v>
      </c>
      <c r="AH24" s="48"/>
      <c r="AI24" s="48"/>
    </row>
    <row r="25" spans="1:35" s="44" customFormat="1" ht="18.75" customHeight="1" x14ac:dyDescent="0.35">
      <c r="A25" s="60" t="s">
        <v>77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1">
        <v>10.3</v>
      </c>
      <c r="C26" s="51">
        <v>8.3000000000000007</v>
      </c>
      <c r="D26" s="51">
        <v>3.2</v>
      </c>
      <c r="E26" s="51">
        <v>5</v>
      </c>
      <c r="F26" s="51">
        <v>8.1</v>
      </c>
      <c r="G26" s="51">
        <v>5.7</v>
      </c>
      <c r="H26" s="51">
        <v>4.2</v>
      </c>
      <c r="I26" s="51">
        <v>5.5</v>
      </c>
      <c r="J26" s="51">
        <v>4.0999999999999996</v>
      </c>
      <c r="K26" s="51">
        <v>5.0999999999999996</v>
      </c>
      <c r="L26" s="51">
        <v>5.0999999999999996</v>
      </c>
      <c r="M26" s="51">
        <v>5.0999999999999996</v>
      </c>
      <c r="N26" s="51">
        <v>6.1</v>
      </c>
      <c r="O26" s="51">
        <v>4.7</v>
      </c>
      <c r="P26" s="51">
        <v>6.3</v>
      </c>
      <c r="Q26" s="51">
        <v>5</v>
      </c>
      <c r="R26" s="51">
        <v>5</v>
      </c>
      <c r="S26" s="51">
        <v>6</v>
      </c>
      <c r="T26" s="51">
        <v>6</v>
      </c>
      <c r="U26" s="51">
        <v>7.9</v>
      </c>
      <c r="V26" s="51">
        <v>6.5</v>
      </c>
      <c r="W26" s="51">
        <v>5.8</v>
      </c>
      <c r="X26" s="51">
        <v>5.5</v>
      </c>
      <c r="Y26" s="51">
        <v>6.3</v>
      </c>
      <c r="Z26" s="51">
        <v>8.5</v>
      </c>
      <c r="AA26" s="51">
        <v>5.6</v>
      </c>
      <c r="AB26" s="51">
        <v>7.2</v>
      </c>
      <c r="AC26" s="51">
        <v>7.2</v>
      </c>
      <c r="AD26" s="51">
        <v>3</v>
      </c>
      <c r="AE26" s="51">
        <v>5.9</v>
      </c>
      <c r="AF26" s="44">
        <v>4.7</v>
      </c>
      <c r="AG26" s="46">
        <f>SUM(B26:AF26)</f>
        <v>182.89999999999998</v>
      </c>
      <c r="AH26" s="48"/>
      <c r="AI26" s="48"/>
    </row>
    <row r="27" spans="1:35" s="44" customFormat="1" ht="18.75" customHeight="1" x14ac:dyDescent="0.35">
      <c r="A27" s="60" t="s">
        <v>79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2">
        <v>0</v>
      </c>
      <c r="C28" s="52">
        <v>1</v>
      </c>
      <c r="D28" s="52">
        <v>1</v>
      </c>
      <c r="E28" s="52">
        <v>0.8</v>
      </c>
      <c r="F28" s="52">
        <v>0.5</v>
      </c>
      <c r="G28" s="52">
        <v>0</v>
      </c>
      <c r="H28" s="52">
        <v>0</v>
      </c>
      <c r="I28" s="52">
        <v>0</v>
      </c>
      <c r="J28" s="52">
        <v>0</v>
      </c>
      <c r="K28" s="52">
        <v>1.9</v>
      </c>
      <c r="L28" s="52">
        <v>2</v>
      </c>
      <c r="M28" s="52">
        <v>2</v>
      </c>
      <c r="N28" s="52">
        <v>0.9</v>
      </c>
      <c r="O28" s="52">
        <v>1.8</v>
      </c>
      <c r="P28" s="52">
        <v>0</v>
      </c>
      <c r="Q28" s="52">
        <v>1</v>
      </c>
      <c r="R28" s="52">
        <v>0.8</v>
      </c>
      <c r="S28" s="52">
        <v>1</v>
      </c>
      <c r="T28" s="52">
        <v>0.8</v>
      </c>
      <c r="U28" s="52">
        <v>2</v>
      </c>
      <c r="V28" s="52">
        <v>1</v>
      </c>
      <c r="W28" s="52">
        <v>0</v>
      </c>
      <c r="X28" s="52">
        <v>1.8</v>
      </c>
      <c r="Y28" s="52">
        <v>1</v>
      </c>
      <c r="Z28" s="52">
        <v>1.8</v>
      </c>
      <c r="AA28" s="52">
        <v>1.9</v>
      </c>
      <c r="AB28" s="52">
        <v>0</v>
      </c>
      <c r="AC28" s="52">
        <v>0</v>
      </c>
      <c r="AD28" s="52">
        <v>0</v>
      </c>
      <c r="AE28" s="52">
        <v>0</v>
      </c>
      <c r="AF28" s="52">
        <v>0</v>
      </c>
      <c r="AG28" s="46">
        <f t="shared" si="0"/>
        <v>25</v>
      </c>
      <c r="AH28" s="48"/>
      <c r="AI28" s="48"/>
    </row>
    <row r="29" spans="1:35" s="44" customFormat="1" ht="18.75" customHeight="1" x14ac:dyDescent="0.35">
      <c r="A29" s="60" t="s">
        <v>80</v>
      </c>
      <c r="B29" s="52">
        <v>0</v>
      </c>
      <c r="C29" s="52">
        <v>1.4</v>
      </c>
      <c r="D29" s="52">
        <v>2.2999999999999998</v>
      </c>
      <c r="E29" s="52">
        <v>2.2000000000000002</v>
      </c>
      <c r="F29" s="52">
        <v>1.3</v>
      </c>
      <c r="G29" s="52">
        <v>1.6</v>
      </c>
      <c r="H29" s="52">
        <v>0.9</v>
      </c>
      <c r="I29" s="52">
        <v>0</v>
      </c>
      <c r="J29" s="52">
        <v>0.2</v>
      </c>
      <c r="K29" s="52">
        <v>0.8</v>
      </c>
      <c r="L29" s="52">
        <v>1.7</v>
      </c>
      <c r="M29" s="52">
        <v>0.3</v>
      </c>
      <c r="N29" s="52">
        <v>1.7</v>
      </c>
      <c r="O29" s="52">
        <v>1.6</v>
      </c>
      <c r="P29" s="52">
        <v>0</v>
      </c>
      <c r="Q29" s="52">
        <v>1.6</v>
      </c>
      <c r="R29" s="52">
        <v>1.4</v>
      </c>
      <c r="S29" s="52">
        <v>1.6</v>
      </c>
      <c r="T29" s="52">
        <v>1.2</v>
      </c>
      <c r="U29" s="52">
        <v>2.2999999999999998</v>
      </c>
      <c r="V29" s="52">
        <v>0.1</v>
      </c>
      <c r="W29" s="52">
        <v>0</v>
      </c>
      <c r="X29" s="52">
        <v>0.2</v>
      </c>
      <c r="Y29" s="52">
        <v>2.2999999999999998</v>
      </c>
      <c r="Z29" s="52">
        <v>2.2000000000000002</v>
      </c>
      <c r="AA29" s="52">
        <v>2.7</v>
      </c>
      <c r="AB29" s="52">
        <v>2.2000000000000002</v>
      </c>
      <c r="AC29" s="52">
        <v>2.1</v>
      </c>
      <c r="AD29" s="52">
        <v>0</v>
      </c>
      <c r="AE29" s="52">
        <v>2.2999999999999998</v>
      </c>
      <c r="AF29" s="52">
        <v>2.1</v>
      </c>
      <c r="AG29" s="46">
        <f t="shared" si="0"/>
        <v>40.300000000000004</v>
      </c>
      <c r="AH29" s="48"/>
      <c r="AI29" s="48"/>
    </row>
    <row r="30" spans="1:35" s="44" customFormat="1" ht="18.75" customHeight="1" x14ac:dyDescent="0.35">
      <c r="A30" s="60" t="s">
        <v>76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81</v>
      </c>
      <c r="B31" s="52">
        <f>4+3.9+2.9</f>
        <v>10.8</v>
      </c>
      <c r="C31" s="52">
        <f>2.5+2.6+2.7</f>
        <v>7.8</v>
      </c>
      <c r="D31" s="52">
        <f>8.5+3+2</f>
        <v>13.5</v>
      </c>
      <c r="E31" s="52">
        <f>5.3+5.6+7</f>
        <v>17.899999999999999</v>
      </c>
      <c r="F31" s="52">
        <f>4.5+4.6+2.5</f>
        <v>11.6</v>
      </c>
      <c r="G31" s="52">
        <f>5.8+3+2.5</f>
        <v>11.3</v>
      </c>
      <c r="H31" s="52">
        <f>2.6+2.7+2.4</f>
        <v>7.7000000000000011</v>
      </c>
      <c r="I31" s="52">
        <f>6.3+2.6+2.7</f>
        <v>11.600000000000001</v>
      </c>
      <c r="J31" s="52">
        <f>2.5+2.6+2.7</f>
        <v>7.8</v>
      </c>
      <c r="K31" s="52">
        <f>3.5+2.6+7</f>
        <v>13.1</v>
      </c>
      <c r="L31" s="52">
        <v>6.5</v>
      </c>
      <c r="M31" s="52">
        <v>5.6</v>
      </c>
      <c r="N31" s="52">
        <f>2.7+3.1+4</f>
        <v>9.8000000000000007</v>
      </c>
      <c r="O31" s="52">
        <v>13.2</v>
      </c>
      <c r="P31" s="52">
        <f>4.2+2.5+2.1</f>
        <v>8.8000000000000007</v>
      </c>
      <c r="Q31" s="52">
        <f>6.3+2.5+2.6</f>
        <v>11.4</v>
      </c>
      <c r="R31" s="52">
        <f>4.1+2.1+3.8</f>
        <v>10</v>
      </c>
      <c r="S31" s="52">
        <f>6.9+3.1+2.8</f>
        <v>12.8</v>
      </c>
      <c r="T31" s="52">
        <f>2.7+2+3.1</f>
        <v>7.8000000000000007</v>
      </c>
      <c r="U31" s="52">
        <f>2.9+2+3.1</f>
        <v>8</v>
      </c>
      <c r="V31" s="52">
        <f>2.7+3+2</f>
        <v>7.7</v>
      </c>
      <c r="W31" s="52">
        <f>3.9+2.2+2.7</f>
        <v>8.8000000000000007</v>
      </c>
      <c r="X31" s="52">
        <f>3.6+4.5+4.6</f>
        <v>12.7</v>
      </c>
      <c r="Y31" s="52">
        <f>5.7+2.5+2.6</f>
        <v>10.799999999999999</v>
      </c>
      <c r="Z31" s="52">
        <f>4.3+3.9+2.5</f>
        <v>10.7</v>
      </c>
      <c r="AA31" s="52">
        <f>4.6+5+3.5</f>
        <v>13.1</v>
      </c>
      <c r="AB31" s="52">
        <f>6.2</f>
        <v>6.2</v>
      </c>
      <c r="AC31" s="52">
        <v>5.3</v>
      </c>
      <c r="AD31" s="52">
        <f>4.9+5+5.5</f>
        <v>15.4</v>
      </c>
      <c r="AE31" s="52">
        <f>2.8+3.2+3.7</f>
        <v>9.6999999999999993</v>
      </c>
      <c r="AF31" s="52">
        <f>4.2+4.3+3.5</f>
        <v>12</v>
      </c>
      <c r="AG31" s="46">
        <f t="shared" si="0"/>
        <v>319.40000000000003</v>
      </c>
      <c r="AH31" s="48"/>
      <c r="AI31" s="48"/>
    </row>
    <row r="32" spans="1:35" s="44" customFormat="1" ht="18.75" customHeight="1" x14ac:dyDescent="0.35">
      <c r="A32" s="60" t="s">
        <v>86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52">
        <f>2.3+7+8+9</f>
        <v>26.3</v>
      </c>
      <c r="C33" s="52">
        <f>1.9+7+8.2+7</f>
        <v>24.1</v>
      </c>
      <c r="D33" s="52">
        <f>2.5+8+9+8</f>
        <v>27.5</v>
      </c>
      <c r="E33" s="52">
        <f>3+5.1+4.3+7</f>
        <v>19.399999999999999</v>
      </c>
      <c r="F33" s="52">
        <f>3.1+7.3+4.3</f>
        <v>14.7</v>
      </c>
      <c r="G33" s="52">
        <f>2.8+3+4+8</f>
        <v>17.8</v>
      </c>
      <c r="H33" s="52">
        <f>1.8+6+7+8</f>
        <v>22.8</v>
      </c>
      <c r="I33" s="52">
        <f>2.6+5.8+4.3+4.3</f>
        <v>17</v>
      </c>
      <c r="J33" s="52">
        <f>1.5+3.4+2.5+4.1</f>
        <v>11.5</v>
      </c>
      <c r="K33" s="52">
        <f>1.2+7.85+6.45+7.35</f>
        <v>22.85</v>
      </c>
      <c r="L33" s="52">
        <f>1.6+4.3+5.2</f>
        <v>11.100000000000001</v>
      </c>
      <c r="M33" s="52">
        <f>2.1+7+8+9</f>
        <v>26.1</v>
      </c>
      <c r="N33" s="52">
        <f>3.1+4.3+5.9</f>
        <v>13.3</v>
      </c>
      <c r="O33" s="52">
        <f>3.4+8+9+10</f>
        <v>30.4</v>
      </c>
      <c r="P33" s="52">
        <f>1.6+4.7+1.1+1.1</f>
        <v>8.5</v>
      </c>
      <c r="Q33" s="52">
        <f>1.2+7.1+5+4.2</f>
        <v>17.5</v>
      </c>
      <c r="R33" s="52">
        <f>3.2+4.3+3.2+5.1</f>
        <v>15.799999999999999</v>
      </c>
      <c r="S33" s="52">
        <f>3.6+2.1+3.1+2.1</f>
        <v>10.9</v>
      </c>
      <c r="T33" s="52">
        <f>3.9+7.1+4+5</f>
        <v>20</v>
      </c>
      <c r="U33" s="52">
        <f>2.6+8.1+9+7.2</f>
        <v>26.9</v>
      </c>
      <c r="V33" s="52">
        <f>3.6+6.1+7.2+7.1</f>
        <v>24</v>
      </c>
      <c r="W33" s="52">
        <f>4.1+7.1+8+9.1</f>
        <v>28.299999999999997</v>
      </c>
      <c r="X33" s="52">
        <f>3.9+7+8+9</f>
        <v>27.9</v>
      </c>
      <c r="Y33" s="52">
        <f>2.8+7+9+8</f>
        <v>26.8</v>
      </c>
      <c r="Z33" s="52">
        <f>3.8+5.2+6+7</f>
        <v>22</v>
      </c>
      <c r="AA33" s="52">
        <f>4.2+9.1+6.2+7.4</f>
        <v>26.9</v>
      </c>
      <c r="AB33" s="52">
        <f>4.2+6.1+7+8</f>
        <v>25.3</v>
      </c>
      <c r="AC33" s="52">
        <f>4.7+9.75+9.85+7.95</f>
        <v>32.25</v>
      </c>
      <c r="AD33" s="52">
        <f>4.4+4.3+5.4+6.4</f>
        <v>20.5</v>
      </c>
      <c r="AE33" s="52">
        <f>4.2+8.35+9.55+10.55</f>
        <v>32.650000000000006</v>
      </c>
      <c r="AF33" s="52">
        <f>4.5+7.45+8.55+9.95</f>
        <v>30.45</v>
      </c>
      <c r="AG33" s="46">
        <f>SUM(B33:AF33)</f>
        <v>681.5</v>
      </c>
      <c r="AH33" s="48"/>
      <c r="AI33" s="48"/>
    </row>
    <row r="34" spans="1:35" s="44" customFormat="1" ht="18.75" customHeight="1" x14ac:dyDescent="0.35">
      <c r="A34" s="60" t="s">
        <v>179</v>
      </c>
      <c r="B34" s="51">
        <v>1</v>
      </c>
      <c r="C34" s="51">
        <v>1.3</v>
      </c>
      <c r="D34" s="51">
        <v>1</v>
      </c>
      <c r="E34" s="51">
        <v>1.1000000000000001</v>
      </c>
      <c r="F34" s="51">
        <v>0.9</v>
      </c>
      <c r="G34" s="51">
        <v>0</v>
      </c>
      <c r="H34" s="51">
        <v>0</v>
      </c>
      <c r="I34" s="51">
        <v>0.5</v>
      </c>
      <c r="J34" s="51">
        <v>1.1000000000000001</v>
      </c>
      <c r="K34" s="51">
        <v>1.4</v>
      </c>
      <c r="L34" s="51">
        <v>0.5</v>
      </c>
      <c r="M34" s="51">
        <v>0.3</v>
      </c>
      <c r="N34" s="51">
        <v>0.4</v>
      </c>
      <c r="O34" s="51">
        <v>0.9</v>
      </c>
      <c r="P34" s="51">
        <v>1</v>
      </c>
      <c r="Q34" s="51">
        <v>0.9</v>
      </c>
      <c r="R34" s="51">
        <v>1</v>
      </c>
      <c r="S34" s="51">
        <v>0.9</v>
      </c>
      <c r="T34" s="51">
        <v>0.8</v>
      </c>
      <c r="U34" s="51">
        <v>1.2</v>
      </c>
      <c r="V34" s="51">
        <v>0.9</v>
      </c>
      <c r="W34" s="51">
        <v>0.8</v>
      </c>
      <c r="X34" s="51">
        <v>0.3</v>
      </c>
      <c r="Y34" s="51">
        <v>0.4</v>
      </c>
      <c r="Z34" s="51">
        <v>1</v>
      </c>
      <c r="AA34" s="51">
        <v>0.9</v>
      </c>
      <c r="AB34" s="51">
        <v>1</v>
      </c>
      <c r="AC34" s="51">
        <v>1.2</v>
      </c>
      <c r="AD34" s="51">
        <v>1.5</v>
      </c>
      <c r="AE34" s="51">
        <v>1</v>
      </c>
      <c r="AF34" s="51">
        <v>1.1000000000000001</v>
      </c>
      <c r="AG34" s="46">
        <f>SUM(B34:AF34)</f>
        <v>26.3</v>
      </c>
      <c r="AH34" s="48"/>
      <c r="AI34" s="48"/>
    </row>
    <row r="35" spans="1:35" s="44" customFormat="1" ht="18.75" customHeight="1" x14ac:dyDescent="0.35">
      <c r="A35" s="60" t="s">
        <v>251</v>
      </c>
      <c r="B35" s="51">
        <v>0</v>
      </c>
      <c r="C35" s="51">
        <v>0.3</v>
      </c>
      <c r="D35" s="51">
        <v>0</v>
      </c>
      <c r="E35" s="51">
        <v>0</v>
      </c>
      <c r="F35" s="51">
        <v>0</v>
      </c>
      <c r="G35" s="51">
        <v>0</v>
      </c>
      <c r="H35" s="51">
        <v>0.5</v>
      </c>
      <c r="I35" s="51">
        <v>0</v>
      </c>
      <c r="J35" s="51">
        <v>0</v>
      </c>
      <c r="K35" s="51">
        <v>0.5</v>
      </c>
      <c r="L35" s="51">
        <v>0.8</v>
      </c>
      <c r="M35" s="51">
        <v>0.8</v>
      </c>
      <c r="N35" s="51">
        <v>0.5</v>
      </c>
      <c r="O35" s="51">
        <v>0.5</v>
      </c>
      <c r="P35" s="51">
        <v>0</v>
      </c>
      <c r="Q35" s="51">
        <v>0</v>
      </c>
      <c r="R35" s="51">
        <v>0.2</v>
      </c>
      <c r="S35" s="51">
        <v>0.1</v>
      </c>
      <c r="T35" s="51">
        <v>0.3</v>
      </c>
      <c r="U35" s="51">
        <v>0.5</v>
      </c>
      <c r="V35" s="51">
        <v>0</v>
      </c>
      <c r="W35" s="51">
        <v>0</v>
      </c>
      <c r="X35" s="51">
        <v>0.8</v>
      </c>
      <c r="Y35" s="51">
        <v>0.5</v>
      </c>
      <c r="Z35" s="51">
        <v>0.5</v>
      </c>
      <c r="AA35" s="51">
        <v>0.6</v>
      </c>
      <c r="AB35" s="51">
        <v>0.5</v>
      </c>
      <c r="AC35" s="51">
        <v>0.9</v>
      </c>
      <c r="AD35" s="51">
        <v>0</v>
      </c>
      <c r="AE35" s="51">
        <v>0</v>
      </c>
      <c r="AF35" s="51">
        <v>0</v>
      </c>
      <c r="AG35" s="84">
        <f>SUM(B35:AF35)</f>
        <v>8.7999999999999989</v>
      </c>
      <c r="AH35" s="48"/>
      <c r="AI35" s="48"/>
    </row>
    <row r="36" spans="1:35" s="44" customFormat="1" ht="18.75" customHeight="1" x14ac:dyDescent="0.35">
      <c r="A36" s="59" t="s">
        <v>155</v>
      </c>
      <c r="B36" s="51">
        <f>SUM(B3:B35)</f>
        <v>86.899999999999991</v>
      </c>
      <c r="C36" s="51">
        <f t="shared" ref="C36:AF36" si="1">SUM(C3:C35)</f>
        <v>89.700000000000017</v>
      </c>
      <c r="D36" s="51">
        <f t="shared" si="1"/>
        <v>89</v>
      </c>
      <c r="E36" s="51">
        <f t="shared" si="1"/>
        <v>86.4</v>
      </c>
      <c r="F36" s="51">
        <f t="shared" si="1"/>
        <v>71.600000000000009</v>
      </c>
      <c r="G36" s="51">
        <f t="shared" si="1"/>
        <v>73.400000000000006</v>
      </c>
      <c r="H36" s="51">
        <f t="shared" si="1"/>
        <v>71.5</v>
      </c>
      <c r="I36" s="51">
        <f t="shared" si="1"/>
        <v>62.699999999999996</v>
      </c>
      <c r="J36" s="51">
        <f t="shared" si="1"/>
        <v>56.3</v>
      </c>
      <c r="K36" s="51">
        <f t="shared" si="1"/>
        <v>87.45</v>
      </c>
      <c r="L36" s="51">
        <f t="shared" si="1"/>
        <v>67.2</v>
      </c>
      <c r="M36" s="51">
        <f t="shared" si="1"/>
        <v>79.699999999999989</v>
      </c>
      <c r="N36" s="51">
        <f t="shared" si="1"/>
        <v>74.900000000000006</v>
      </c>
      <c r="O36" s="51">
        <f t="shared" si="1"/>
        <v>91.1</v>
      </c>
      <c r="P36" s="51">
        <f t="shared" si="1"/>
        <v>49.400000000000006</v>
      </c>
      <c r="Q36" s="51">
        <f t="shared" si="1"/>
        <v>71</v>
      </c>
      <c r="R36" s="51">
        <f t="shared" si="1"/>
        <v>68</v>
      </c>
      <c r="S36" s="51">
        <f t="shared" si="1"/>
        <v>71.000000000000014</v>
      </c>
      <c r="T36" s="51">
        <f t="shared" si="1"/>
        <v>76.199999999999989</v>
      </c>
      <c r="U36" s="51">
        <f t="shared" si="1"/>
        <v>90.3</v>
      </c>
      <c r="V36" s="51">
        <f t="shared" si="1"/>
        <v>80.300000000000011</v>
      </c>
      <c r="W36" s="51">
        <f t="shared" si="1"/>
        <v>84.999999999999986</v>
      </c>
      <c r="X36" s="51">
        <f t="shared" si="1"/>
        <v>89.699999999999989</v>
      </c>
      <c r="Y36" s="51">
        <f t="shared" si="1"/>
        <v>86.4</v>
      </c>
      <c r="Z36" s="51">
        <f t="shared" si="1"/>
        <v>89.7</v>
      </c>
      <c r="AA36" s="51">
        <f t="shared" si="1"/>
        <v>86.9</v>
      </c>
      <c r="AB36" s="51">
        <f t="shared" si="1"/>
        <v>78.2</v>
      </c>
      <c r="AC36" s="51">
        <f t="shared" si="1"/>
        <v>91.050000000000026</v>
      </c>
      <c r="AD36" s="51">
        <f t="shared" si="1"/>
        <v>65.300000000000011</v>
      </c>
      <c r="AE36" s="51">
        <f t="shared" si="1"/>
        <v>81.25</v>
      </c>
      <c r="AF36" s="51">
        <f t="shared" si="1"/>
        <v>78.97</v>
      </c>
      <c r="AG36" s="56">
        <f>SUM(B36:AF36)</f>
        <v>2426.5200000000004</v>
      </c>
      <c r="AH36" s="57"/>
      <c r="AI36" s="57"/>
    </row>
    <row r="37" spans="1:35" s="2" customFormat="1" x14ac:dyDescent="0.25">
      <c r="AG37" s="24">
        <f>SUM(AG3:AG35)</f>
        <v>2426.5200000000004</v>
      </c>
    </row>
    <row r="38" spans="1:35" s="2" customFormat="1" x14ac:dyDescent="0.25"/>
    <row r="39" spans="1:35" s="2" customFormat="1" x14ac:dyDescent="0.25"/>
  </sheetData>
  <mergeCells count="1">
    <mergeCell ref="A1:AG1"/>
  </mergeCells>
  <conditionalFormatting sqref="AG36">
    <cfRule type="cellIs" dxfId="113" priority="2" operator="equal">
      <formula>$AG$37</formula>
    </cfRule>
  </conditionalFormatting>
  <conditionalFormatting sqref="AG37">
    <cfRule type="cellIs" dxfId="112" priority="1" operator="equal">
      <formula>$AG$36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9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8" width="7.42578125" customWidth="1"/>
    <col min="9" max="9" width="8.85546875" customWidth="1"/>
    <col min="10" max="10" width="9.5703125" customWidth="1"/>
    <col min="11" max="12" width="7.42578125" customWidth="1"/>
    <col min="13" max="13" width="11.85546875" customWidth="1"/>
    <col min="14" max="32" width="7.42578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>
        <v>3.5</v>
      </c>
      <c r="C3" s="51">
        <v>3.5</v>
      </c>
      <c r="D3" s="51">
        <v>5.2</v>
      </c>
      <c r="E3" s="51">
        <v>3.8</v>
      </c>
      <c r="F3" s="51">
        <v>5</v>
      </c>
      <c r="G3" s="51">
        <v>4.9000000000000004</v>
      </c>
      <c r="H3" s="51">
        <v>2.5</v>
      </c>
      <c r="I3" s="51">
        <v>4.3</v>
      </c>
      <c r="J3" s="51">
        <v>5.5</v>
      </c>
      <c r="K3" s="51">
        <v>6.1</v>
      </c>
      <c r="L3" s="51">
        <v>5.5</v>
      </c>
      <c r="M3" s="51">
        <v>1.5</v>
      </c>
      <c r="N3" s="51">
        <v>4.8</v>
      </c>
      <c r="O3" s="51">
        <v>4.5999999999999996</v>
      </c>
      <c r="P3" s="51">
        <v>5.3</v>
      </c>
      <c r="Q3" s="51">
        <v>1</v>
      </c>
      <c r="R3" s="51">
        <v>4.8</v>
      </c>
      <c r="S3" s="51">
        <v>6.1</v>
      </c>
      <c r="T3" s="51">
        <v>3.5</v>
      </c>
      <c r="U3" s="51">
        <v>3</v>
      </c>
      <c r="V3" s="51">
        <v>1.2</v>
      </c>
      <c r="W3" s="51">
        <v>3.5</v>
      </c>
      <c r="X3" s="51">
        <v>1.8</v>
      </c>
      <c r="Y3" s="51">
        <v>2</v>
      </c>
      <c r="Z3" s="51">
        <v>4</v>
      </c>
      <c r="AA3" s="51">
        <v>3.2</v>
      </c>
      <c r="AB3" s="51">
        <v>2.1</v>
      </c>
      <c r="AC3" s="51">
        <v>3</v>
      </c>
      <c r="AD3" s="51"/>
      <c r="AE3" s="51"/>
      <c r="AF3" s="51"/>
      <c r="AG3" s="46">
        <f t="shared" ref="AG3:AG32" si="0">SUM(B3:AF3)</f>
        <v>105.19999999999999</v>
      </c>
      <c r="AH3" s="47"/>
      <c r="AI3" s="48"/>
    </row>
    <row r="4" spans="1:35" s="44" customFormat="1" ht="18.75" customHeight="1" x14ac:dyDescent="0.35">
      <c r="A4" s="60" t="s">
        <v>193</v>
      </c>
      <c r="B4" s="51">
        <v>0.8</v>
      </c>
      <c r="C4" s="51">
        <v>0.9</v>
      </c>
      <c r="D4" s="51">
        <v>0.6</v>
      </c>
      <c r="E4" s="51">
        <v>0.9</v>
      </c>
      <c r="F4" s="51">
        <v>0.7</v>
      </c>
      <c r="G4" s="51">
        <v>1.5</v>
      </c>
      <c r="H4" s="51">
        <v>0.3</v>
      </c>
      <c r="I4" s="51">
        <v>1</v>
      </c>
      <c r="J4" s="51">
        <v>2.5</v>
      </c>
      <c r="K4" s="51">
        <v>5</v>
      </c>
      <c r="L4" s="51">
        <v>5</v>
      </c>
      <c r="M4" s="51">
        <v>1.7</v>
      </c>
      <c r="N4" s="51">
        <v>0.8</v>
      </c>
      <c r="O4" s="51">
        <v>0.4</v>
      </c>
      <c r="P4" s="51">
        <v>0.4</v>
      </c>
      <c r="Q4" s="51">
        <v>0.4</v>
      </c>
      <c r="R4" s="51">
        <v>0.6</v>
      </c>
      <c r="S4" s="51">
        <v>0.5</v>
      </c>
      <c r="T4" s="51">
        <v>0</v>
      </c>
      <c r="U4" s="51">
        <v>0.5</v>
      </c>
      <c r="V4" s="51">
        <v>0.1</v>
      </c>
      <c r="W4" s="51">
        <v>2.5</v>
      </c>
      <c r="X4" s="51">
        <v>2.5</v>
      </c>
      <c r="Y4" s="51">
        <v>3.8</v>
      </c>
      <c r="Z4" s="51">
        <v>0</v>
      </c>
      <c r="AA4" s="51">
        <v>0</v>
      </c>
      <c r="AB4" s="51">
        <v>0</v>
      </c>
      <c r="AC4" s="51">
        <v>0</v>
      </c>
      <c r="AD4" s="51"/>
      <c r="AE4" s="51"/>
      <c r="AF4" s="51"/>
      <c r="AG4" s="46">
        <f t="shared" si="0"/>
        <v>33.4</v>
      </c>
      <c r="AH4" s="48"/>
      <c r="AI4" s="48"/>
    </row>
    <row r="5" spans="1:35" s="44" customFormat="1" ht="18.75" customHeight="1" x14ac:dyDescent="0.35">
      <c r="A5" s="60" t="s">
        <v>83</v>
      </c>
      <c r="B5" s="51">
        <f>0.8+0.7+1</f>
        <v>2.5</v>
      </c>
      <c r="C5" s="51">
        <f>0.5+0.8+1.9</f>
        <v>3.2</v>
      </c>
      <c r="D5" s="51">
        <f>0.2+0.5+1.5</f>
        <v>2.2000000000000002</v>
      </c>
      <c r="E5" s="51">
        <f>0.5+1.9</f>
        <v>2.4</v>
      </c>
      <c r="F5" s="51">
        <v>0</v>
      </c>
      <c r="G5" s="51">
        <v>3.3</v>
      </c>
      <c r="H5" s="51">
        <v>5.2</v>
      </c>
      <c r="I5" s="51">
        <v>2.7</v>
      </c>
      <c r="J5" s="51">
        <v>3.4</v>
      </c>
      <c r="K5" s="51">
        <v>3.9</v>
      </c>
      <c r="L5" s="51">
        <v>1.3</v>
      </c>
      <c r="M5" s="51">
        <v>0.8</v>
      </c>
      <c r="N5" s="51">
        <f>0.5+2.5+0.4</f>
        <v>3.4</v>
      </c>
      <c r="O5" s="51">
        <f>0.2+2.9+0.2</f>
        <v>3.3000000000000003</v>
      </c>
      <c r="P5" s="51">
        <f>1.8+2.9+1</f>
        <v>5.7</v>
      </c>
      <c r="Q5" s="51">
        <f>0.5+1.8+0.9</f>
        <v>3.1999999999999997</v>
      </c>
      <c r="R5" s="51">
        <f>0.8+1.8+0.8</f>
        <v>3.4000000000000004</v>
      </c>
      <c r="S5" s="51">
        <f>1.9</f>
        <v>1.9</v>
      </c>
      <c r="T5" s="51">
        <v>1</v>
      </c>
      <c r="U5" s="51">
        <v>3.4</v>
      </c>
      <c r="V5" s="51">
        <v>3.3</v>
      </c>
      <c r="W5" s="51">
        <f>1.6+4+0.8</f>
        <v>6.3999999999999995</v>
      </c>
      <c r="X5" s="51">
        <f>1.5</f>
        <v>1.5</v>
      </c>
      <c r="Y5" s="51">
        <v>3.5</v>
      </c>
      <c r="Z5" s="51">
        <v>1.8</v>
      </c>
      <c r="AA5" s="51">
        <v>1.5</v>
      </c>
      <c r="AB5" s="51">
        <f>0.9+3.5+1.2</f>
        <v>5.6000000000000005</v>
      </c>
      <c r="AC5" s="51">
        <f>0.8+3.5+0.4</f>
        <v>4.7</v>
      </c>
      <c r="AD5" s="51"/>
      <c r="AE5" s="51"/>
      <c r="AF5" s="51"/>
      <c r="AG5" s="46">
        <f t="shared" si="0"/>
        <v>84.499999999999986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2.5</v>
      </c>
      <c r="C7" s="51">
        <v>1.7</v>
      </c>
      <c r="D7" s="51">
        <v>2</v>
      </c>
      <c r="E7" s="51">
        <v>1.8</v>
      </c>
      <c r="F7" s="51">
        <v>1.6</v>
      </c>
      <c r="G7" s="51">
        <v>1.4</v>
      </c>
      <c r="H7" s="51">
        <v>1</v>
      </c>
      <c r="I7" s="51">
        <v>1.5</v>
      </c>
      <c r="J7" s="51">
        <v>1.6</v>
      </c>
      <c r="K7" s="51">
        <v>1.5</v>
      </c>
      <c r="L7" s="51">
        <v>1.7</v>
      </c>
      <c r="M7" s="51">
        <v>1</v>
      </c>
      <c r="N7" s="51">
        <v>1.7</v>
      </c>
      <c r="O7" s="51">
        <v>1.7</v>
      </c>
      <c r="P7" s="51">
        <v>2</v>
      </c>
      <c r="Q7" s="51">
        <v>1.5</v>
      </c>
      <c r="R7" s="51">
        <v>1.7</v>
      </c>
      <c r="S7" s="51">
        <v>1.5</v>
      </c>
      <c r="T7" s="51">
        <v>1.9</v>
      </c>
      <c r="U7" s="51">
        <v>1</v>
      </c>
      <c r="V7" s="51">
        <v>1.7</v>
      </c>
      <c r="W7" s="51">
        <v>1</v>
      </c>
      <c r="X7" s="51">
        <v>1.5</v>
      </c>
      <c r="Y7" s="51">
        <v>1.2</v>
      </c>
      <c r="Z7" s="51">
        <v>1</v>
      </c>
      <c r="AA7" s="51">
        <v>1.9</v>
      </c>
      <c r="AB7" s="51">
        <v>1.5</v>
      </c>
      <c r="AC7" s="51">
        <v>1.5</v>
      </c>
      <c r="AD7" s="51"/>
      <c r="AE7" s="51"/>
      <c r="AF7" s="51"/>
      <c r="AG7" s="46">
        <f t="shared" si="0"/>
        <v>43.6</v>
      </c>
      <c r="AH7" s="48"/>
      <c r="AI7" s="48"/>
    </row>
    <row r="8" spans="1:35" s="44" customFormat="1" ht="18.75" customHeight="1" x14ac:dyDescent="0.35">
      <c r="A8" s="60" t="s">
        <v>65</v>
      </c>
      <c r="B8" s="51">
        <v>5.4</v>
      </c>
      <c r="C8" s="51">
        <v>5</v>
      </c>
      <c r="D8" s="51">
        <v>4.7</v>
      </c>
      <c r="E8" s="51">
        <v>4.9000000000000004</v>
      </c>
      <c r="F8" s="51">
        <v>6.7</v>
      </c>
      <c r="G8" s="51">
        <v>5.5</v>
      </c>
      <c r="H8" s="51">
        <v>4.7</v>
      </c>
      <c r="I8" s="51">
        <v>4.4000000000000004</v>
      </c>
      <c r="J8" s="51">
        <v>4.8</v>
      </c>
      <c r="K8" s="51">
        <v>4.3</v>
      </c>
      <c r="L8" s="51">
        <v>3.9</v>
      </c>
      <c r="M8" s="51">
        <v>5.4</v>
      </c>
      <c r="N8" s="51">
        <v>5.5</v>
      </c>
      <c r="O8" s="51">
        <v>5.4</v>
      </c>
      <c r="P8" s="51">
        <v>4.7</v>
      </c>
      <c r="Q8" s="51">
        <v>5.3</v>
      </c>
      <c r="R8" s="51">
        <v>1.8</v>
      </c>
      <c r="S8" s="51">
        <v>2.9</v>
      </c>
      <c r="T8" s="51">
        <v>2.5</v>
      </c>
      <c r="U8" s="51">
        <v>2</v>
      </c>
      <c r="V8" s="51">
        <v>2.9</v>
      </c>
      <c r="W8" s="51">
        <v>2</v>
      </c>
      <c r="X8" s="51">
        <v>1.9</v>
      </c>
      <c r="Y8" s="51">
        <v>1.5</v>
      </c>
      <c r="Z8" s="51">
        <v>1.9</v>
      </c>
      <c r="AA8" s="51">
        <v>1.8</v>
      </c>
      <c r="AB8" s="51">
        <v>1.9</v>
      </c>
      <c r="AC8" s="51">
        <v>2.2000000000000002</v>
      </c>
      <c r="AD8" s="51"/>
      <c r="AE8" s="51"/>
      <c r="AF8" s="51"/>
      <c r="AG8" s="46">
        <f t="shared" si="0"/>
        <v>105.90000000000002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>
        <f>5.4+4.2</f>
        <v>9.6000000000000014</v>
      </c>
      <c r="C10" s="51">
        <v>8.8000000000000007</v>
      </c>
      <c r="D10" s="51">
        <v>7.5</v>
      </c>
      <c r="E10" s="51">
        <v>4.21</v>
      </c>
      <c r="F10" s="51">
        <v>3.51</v>
      </c>
      <c r="G10" s="51">
        <v>4.21</v>
      </c>
      <c r="H10" s="51">
        <v>9.4</v>
      </c>
      <c r="I10" s="51">
        <v>15.6</v>
      </c>
      <c r="J10" s="51">
        <v>14.7</v>
      </c>
      <c r="K10" s="51">
        <v>7.3</v>
      </c>
      <c r="L10" s="51">
        <v>10.7</v>
      </c>
      <c r="M10" s="51">
        <v>8.5</v>
      </c>
      <c r="N10" s="51">
        <v>7.3</v>
      </c>
      <c r="O10" s="51">
        <v>6.9</v>
      </c>
      <c r="P10" s="51">
        <v>13.4</v>
      </c>
      <c r="Q10" s="51">
        <v>2.1</v>
      </c>
      <c r="R10" s="51">
        <f>3.81+2.21</f>
        <v>6.02</v>
      </c>
      <c r="S10" s="51">
        <v>6.42</v>
      </c>
      <c r="T10" s="51">
        <v>12.5</v>
      </c>
      <c r="U10" s="51">
        <v>9.4</v>
      </c>
      <c r="V10" s="51">
        <v>9.8000000000000007</v>
      </c>
      <c r="W10" s="51">
        <v>10.3</v>
      </c>
      <c r="X10" s="51">
        <v>12.6</v>
      </c>
      <c r="Y10" s="51">
        <v>12.3</v>
      </c>
      <c r="Z10" s="51">
        <v>9.4</v>
      </c>
      <c r="AA10" s="51">
        <v>0</v>
      </c>
      <c r="AB10" s="51">
        <v>0</v>
      </c>
      <c r="AC10" s="51">
        <v>0</v>
      </c>
      <c r="AD10" s="51"/>
      <c r="AE10" s="51"/>
      <c r="AF10" s="51"/>
      <c r="AG10" s="46">
        <f t="shared" si="0"/>
        <v>222.47000000000003</v>
      </c>
      <c r="AH10" s="48"/>
      <c r="AI10" s="48"/>
    </row>
    <row r="11" spans="1:35" s="44" customFormat="1" ht="18.75" customHeight="1" x14ac:dyDescent="0.35">
      <c r="A11" s="60" t="s">
        <v>152</v>
      </c>
      <c r="B11" s="51">
        <v>0.2</v>
      </c>
      <c r="C11" s="51">
        <v>0.2</v>
      </c>
      <c r="D11" s="51">
        <v>0.3</v>
      </c>
      <c r="E11" s="51">
        <v>0</v>
      </c>
      <c r="F11" s="51">
        <v>0</v>
      </c>
      <c r="G11" s="51">
        <v>0.5</v>
      </c>
      <c r="H11" s="51">
        <v>0.3</v>
      </c>
      <c r="I11" s="51">
        <v>0.2</v>
      </c>
      <c r="J11" s="51">
        <v>0.2</v>
      </c>
      <c r="K11" s="51">
        <v>0.9</v>
      </c>
      <c r="L11" s="51">
        <v>0.2</v>
      </c>
      <c r="M11" s="51">
        <v>0</v>
      </c>
      <c r="N11" s="51">
        <v>0.9</v>
      </c>
      <c r="O11" s="51">
        <v>0.2</v>
      </c>
      <c r="P11" s="51">
        <v>0.9</v>
      </c>
      <c r="Q11" s="51">
        <v>0.3</v>
      </c>
      <c r="R11" s="51">
        <v>0.1</v>
      </c>
      <c r="S11" s="51">
        <v>0.2</v>
      </c>
      <c r="T11" s="51">
        <v>0</v>
      </c>
      <c r="U11" s="51">
        <v>0.8</v>
      </c>
      <c r="V11" s="51">
        <v>0.1</v>
      </c>
      <c r="W11" s="51">
        <v>0.1</v>
      </c>
      <c r="X11" s="51">
        <v>0.2</v>
      </c>
      <c r="Y11" s="51">
        <v>0</v>
      </c>
      <c r="Z11" s="51">
        <v>0</v>
      </c>
      <c r="AA11" s="51">
        <v>0</v>
      </c>
      <c r="AB11" s="51">
        <v>0.1</v>
      </c>
      <c r="AC11" s="51">
        <v>0.2</v>
      </c>
      <c r="AD11" s="51"/>
      <c r="AE11" s="51"/>
      <c r="AF11" s="51"/>
      <c r="AG11" s="46">
        <f t="shared" si="0"/>
        <v>7.0999999999999988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2.4</v>
      </c>
      <c r="C12" s="51">
        <v>2.2999999999999998</v>
      </c>
      <c r="D12" s="51">
        <v>1.6</v>
      </c>
      <c r="E12" s="51">
        <v>1.9</v>
      </c>
      <c r="F12" s="52">
        <v>2.6</v>
      </c>
      <c r="G12" s="52">
        <v>1.3</v>
      </c>
      <c r="H12" s="52">
        <v>2.2999999999999998</v>
      </c>
      <c r="I12" s="52">
        <v>2.8</v>
      </c>
      <c r="J12" s="52">
        <v>2.2000000000000002</v>
      </c>
      <c r="K12" s="52">
        <v>1.6</v>
      </c>
      <c r="L12" s="52">
        <v>2.7</v>
      </c>
      <c r="M12" s="52">
        <v>2.1</v>
      </c>
      <c r="N12" s="52">
        <v>2.1</v>
      </c>
      <c r="O12" s="52">
        <v>2.2999999999999998</v>
      </c>
      <c r="P12" s="52">
        <v>2</v>
      </c>
      <c r="Q12" s="52">
        <v>2.2999999999999998</v>
      </c>
      <c r="R12" s="52">
        <v>2.2999999999999998</v>
      </c>
      <c r="S12" s="52">
        <v>1.3</v>
      </c>
      <c r="T12" s="52">
        <v>1.2</v>
      </c>
      <c r="U12" s="52">
        <v>1</v>
      </c>
      <c r="V12" s="51">
        <v>2.2999999999999998</v>
      </c>
      <c r="W12" s="51">
        <v>1.2</v>
      </c>
      <c r="X12" s="51">
        <v>1.6</v>
      </c>
      <c r="Y12" s="51">
        <v>0</v>
      </c>
      <c r="Z12" s="52">
        <v>1.3</v>
      </c>
      <c r="AA12" s="52">
        <v>1.7</v>
      </c>
      <c r="AB12" s="52">
        <v>1.5</v>
      </c>
      <c r="AC12" s="52">
        <v>1.3</v>
      </c>
      <c r="AD12" s="51"/>
      <c r="AE12" s="51"/>
      <c r="AF12" s="51"/>
      <c r="AG12" s="46">
        <f t="shared" si="0"/>
        <v>51.199999999999996</v>
      </c>
      <c r="AH12" s="48"/>
      <c r="AI12" s="48"/>
    </row>
    <row r="13" spans="1:35" s="44" customFormat="1" ht="18.75" customHeight="1" x14ac:dyDescent="0.35">
      <c r="A13" s="60" t="s">
        <v>69</v>
      </c>
      <c r="B13" s="51">
        <v>2.5</v>
      </c>
      <c r="C13" s="51">
        <v>2.2000000000000002</v>
      </c>
      <c r="D13" s="51">
        <v>2.2000000000000002</v>
      </c>
      <c r="E13" s="51">
        <v>2.2000000000000002</v>
      </c>
      <c r="F13" s="51">
        <v>2.5</v>
      </c>
      <c r="G13" s="51">
        <v>2.2999999999999998</v>
      </c>
      <c r="H13" s="51">
        <v>2.2000000000000002</v>
      </c>
      <c r="I13" s="51">
        <v>2.1</v>
      </c>
      <c r="J13" s="51">
        <v>0</v>
      </c>
      <c r="K13" s="51">
        <v>0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/>
      <c r="AE13" s="51"/>
      <c r="AF13" s="51"/>
      <c r="AG13" s="46">
        <f t="shared" si="0"/>
        <v>18.200000000000003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1.2</v>
      </c>
      <c r="C14" s="51">
        <v>1</v>
      </c>
      <c r="D14" s="51">
        <v>1.5</v>
      </c>
      <c r="E14" s="51">
        <v>1.3</v>
      </c>
      <c r="F14" s="51">
        <v>0.9</v>
      </c>
      <c r="G14" s="51">
        <v>2</v>
      </c>
      <c r="H14" s="51">
        <v>1.9</v>
      </c>
      <c r="I14" s="51">
        <v>2.6</v>
      </c>
      <c r="J14" s="51">
        <v>1.8</v>
      </c>
      <c r="K14" s="51">
        <v>2.2000000000000002</v>
      </c>
      <c r="L14" s="51">
        <v>1.8</v>
      </c>
      <c r="M14" s="51">
        <v>2.2999999999999998</v>
      </c>
      <c r="N14" s="51">
        <v>2.5</v>
      </c>
      <c r="O14" s="51">
        <v>1.6</v>
      </c>
      <c r="P14" s="51">
        <v>2.4</v>
      </c>
      <c r="Q14" s="51">
        <v>1.9</v>
      </c>
      <c r="R14" s="51">
        <v>1</v>
      </c>
      <c r="S14" s="51">
        <v>1.1499999999999999</v>
      </c>
      <c r="T14" s="51">
        <v>1.6</v>
      </c>
      <c r="U14" s="51">
        <v>1.1499999999999999</v>
      </c>
      <c r="V14" s="51">
        <v>2</v>
      </c>
      <c r="W14" s="51">
        <v>2.5</v>
      </c>
      <c r="X14" s="51">
        <v>2</v>
      </c>
      <c r="Y14" s="51">
        <v>1.05</v>
      </c>
      <c r="Z14" s="51">
        <v>1.3</v>
      </c>
      <c r="AA14" s="51">
        <v>2</v>
      </c>
      <c r="AB14" s="51">
        <v>2.2000000000000002</v>
      </c>
      <c r="AC14" s="51">
        <v>2.8</v>
      </c>
      <c r="AD14" s="51"/>
      <c r="AE14" s="51"/>
      <c r="AF14" s="51"/>
      <c r="AG14" s="46">
        <f t="shared" si="0"/>
        <v>49.649999999999991</v>
      </c>
      <c r="AH14" s="48"/>
      <c r="AI14" s="48"/>
    </row>
    <row r="15" spans="1:35" s="44" customFormat="1" ht="18.75" customHeight="1" x14ac:dyDescent="0.35">
      <c r="A15" s="60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195</v>
      </c>
      <c r="B17" s="51">
        <v>0.9</v>
      </c>
      <c r="C17" s="51">
        <v>0.9</v>
      </c>
      <c r="D17" s="51">
        <v>0.9</v>
      </c>
      <c r="E17" s="51">
        <v>1</v>
      </c>
      <c r="F17" s="51">
        <v>1</v>
      </c>
      <c r="G17" s="51">
        <v>0.7</v>
      </c>
      <c r="H17" s="51">
        <v>1</v>
      </c>
      <c r="I17" s="51">
        <v>2</v>
      </c>
      <c r="J17" s="51">
        <v>0.2</v>
      </c>
      <c r="K17" s="51">
        <v>3</v>
      </c>
      <c r="L17" s="51">
        <v>0.3</v>
      </c>
      <c r="M17" s="51">
        <v>0.2</v>
      </c>
      <c r="N17" s="51">
        <v>0.6</v>
      </c>
      <c r="O17" s="51">
        <v>0.9</v>
      </c>
      <c r="P17" s="51">
        <v>0.9</v>
      </c>
      <c r="Q17" s="51">
        <v>0.6</v>
      </c>
      <c r="R17" s="51">
        <v>0</v>
      </c>
      <c r="S17" s="51">
        <v>1</v>
      </c>
      <c r="T17" s="51">
        <v>0.6</v>
      </c>
      <c r="U17" s="51">
        <v>0.2</v>
      </c>
      <c r="V17" s="51">
        <v>3</v>
      </c>
      <c r="W17" s="51">
        <v>0.3</v>
      </c>
      <c r="X17" s="51">
        <v>0.2</v>
      </c>
      <c r="Y17" s="51">
        <v>0.8</v>
      </c>
      <c r="Z17" s="51">
        <v>0.5</v>
      </c>
      <c r="AA17" s="51">
        <v>0</v>
      </c>
      <c r="AB17" s="51">
        <v>0</v>
      </c>
      <c r="AC17" s="51">
        <v>1</v>
      </c>
      <c r="AD17" s="51"/>
      <c r="AE17" s="51"/>
      <c r="AF17" s="51"/>
      <c r="AG17" s="46">
        <f t="shared" si="0"/>
        <v>22.700000000000003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>
        <v>5.2</v>
      </c>
      <c r="C19" s="51">
        <v>4.2</v>
      </c>
      <c r="D19" s="51">
        <v>2.1</v>
      </c>
      <c r="E19" s="51">
        <v>2</v>
      </c>
      <c r="F19" s="51">
        <v>0</v>
      </c>
      <c r="G19" s="51">
        <v>2.1</v>
      </c>
      <c r="H19" s="51">
        <v>2.1</v>
      </c>
      <c r="I19" s="51">
        <v>2.1</v>
      </c>
      <c r="J19" s="51">
        <v>5.2</v>
      </c>
      <c r="K19" s="51">
        <v>5.2</v>
      </c>
      <c r="L19" s="51">
        <v>2.1</v>
      </c>
      <c r="M19" s="51">
        <v>0</v>
      </c>
      <c r="N19" s="51">
        <v>3.1</v>
      </c>
      <c r="O19" s="51">
        <v>2.1</v>
      </c>
      <c r="P19" s="51">
        <v>2.1</v>
      </c>
      <c r="Q19" s="51">
        <v>2.1</v>
      </c>
      <c r="R19" s="51">
        <v>4</v>
      </c>
      <c r="S19" s="51">
        <v>3.1</v>
      </c>
      <c r="T19" s="51">
        <v>0</v>
      </c>
      <c r="U19" s="51">
        <v>3.1</v>
      </c>
      <c r="V19" s="51">
        <v>2.1</v>
      </c>
      <c r="W19" s="51">
        <v>2.1</v>
      </c>
      <c r="X19" s="51">
        <v>1</v>
      </c>
      <c r="Y19" s="51">
        <v>3.1</v>
      </c>
      <c r="Z19" s="51">
        <v>3.1</v>
      </c>
      <c r="AA19" s="51">
        <v>0</v>
      </c>
      <c r="AB19" s="51">
        <v>0</v>
      </c>
      <c r="AC19" s="51">
        <v>0</v>
      </c>
      <c r="AD19" s="51"/>
      <c r="AE19" s="51"/>
      <c r="AF19" s="51"/>
      <c r="AG19" s="46">
        <f t="shared" si="0"/>
        <v>63.300000000000011</v>
      </c>
      <c r="AH19" s="48"/>
      <c r="AI19" s="48"/>
    </row>
    <row r="20" spans="1:35" s="44" customFormat="1" ht="18.75" customHeight="1" x14ac:dyDescent="0.35">
      <c r="A20" s="60" t="s">
        <v>233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227</v>
      </c>
      <c r="B21" s="74">
        <v>1.3</v>
      </c>
      <c r="C21" s="74">
        <v>0.9</v>
      </c>
      <c r="D21" s="74">
        <v>1</v>
      </c>
      <c r="E21" s="74">
        <v>2.5</v>
      </c>
      <c r="F21" s="74">
        <v>3.5</v>
      </c>
      <c r="G21" s="74">
        <v>2.8</v>
      </c>
      <c r="H21" s="74">
        <v>1.8</v>
      </c>
      <c r="I21" s="74">
        <v>2.2999999999999998</v>
      </c>
      <c r="J21" s="74">
        <v>1.8</v>
      </c>
      <c r="K21" s="74">
        <v>1.5</v>
      </c>
      <c r="L21" s="74">
        <v>2.5</v>
      </c>
      <c r="M21" s="74">
        <v>2</v>
      </c>
      <c r="N21" s="74">
        <v>1.5</v>
      </c>
      <c r="O21" s="74">
        <v>1</v>
      </c>
      <c r="P21" s="74">
        <v>1</v>
      </c>
      <c r="Q21" s="74">
        <v>0.9</v>
      </c>
      <c r="R21" s="74">
        <v>1</v>
      </c>
      <c r="S21" s="74">
        <v>1</v>
      </c>
      <c r="T21" s="74">
        <v>1.1000000000000001</v>
      </c>
      <c r="U21" s="74">
        <v>0</v>
      </c>
      <c r="V21" s="74">
        <v>2.1</v>
      </c>
      <c r="W21" s="74">
        <v>1.5</v>
      </c>
      <c r="X21" s="74">
        <v>1</v>
      </c>
      <c r="Y21" s="74">
        <v>1</v>
      </c>
      <c r="Z21" s="74">
        <v>2.5</v>
      </c>
      <c r="AA21" s="74">
        <v>1.3</v>
      </c>
      <c r="AB21" s="74">
        <v>2.5</v>
      </c>
      <c r="AC21" s="74">
        <v>1.5</v>
      </c>
      <c r="AD21" s="74"/>
      <c r="AE21" s="51"/>
      <c r="AF21" s="51"/>
      <c r="AG21" s="46">
        <f t="shared" si="0"/>
        <v>44.8</v>
      </c>
      <c r="AH21" s="48"/>
      <c r="AI21" s="48"/>
    </row>
    <row r="22" spans="1:35" s="44" customFormat="1" ht="18.75" customHeight="1" x14ac:dyDescent="0.35">
      <c r="A22" s="60" t="s">
        <v>225</v>
      </c>
      <c r="B22" s="74">
        <v>0.9</v>
      </c>
      <c r="C22" s="74">
        <v>1</v>
      </c>
      <c r="D22" s="74">
        <v>0.9</v>
      </c>
      <c r="E22" s="74">
        <v>1</v>
      </c>
      <c r="F22" s="74">
        <v>1.5</v>
      </c>
      <c r="G22" s="74">
        <v>2.2999999999999998</v>
      </c>
      <c r="H22" s="74">
        <v>3.2</v>
      </c>
      <c r="I22" s="74">
        <v>1.2</v>
      </c>
      <c r="J22" s="74">
        <v>1.5</v>
      </c>
      <c r="K22" s="74">
        <v>2.5</v>
      </c>
      <c r="L22" s="74">
        <v>1.8</v>
      </c>
      <c r="M22" s="74">
        <v>1.3</v>
      </c>
      <c r="N22" s="74">
        <v>1.1000000000000001</v>
      </c>
      <c r="O22" s="74">
        <v>1.5</v>
      </c>
      <c r="P22" s="74">
        <v>1</v>
      </c>
      <c r="Q22" s="74">
        <v>1.3</v>
      </c>
      <c r="R22" s="74">
        <v>1</v>
      </c>
      <c r="S22" s="74">
        <v>1.8</v>
      </c>
      <c r="T22" s="74">
        <v>1.5</v>
      </c>
      <c r="U22" s="74">
        <v>0</v>
      </c>
      <c r="V22" s="74">
        <v>0</v>
      </c>
      <c r="W22" s="74">
        <v>0</v>
      </c>
      <c r="X22" s="74">
        <v>0</v>
      </c>
      <c r="Y22" s="74">
        <v>0</v>
      </c>
      <c r="Z22" s="74">
        <v>0</v>
      </c>
      <c r="AA22" s="74">
        <v>0</v>
      </c>
      <c r="AB22" s="74">
        <v>1.5</v>
      </c>
      <c r="AC22" s="74">
        <v>1.5</v>
      </c>
      <c r="AD22" s="51"/>
      <c r="AE22" s="51"/>
      <c r="AF22" s="51"/>
      <c r="AG22" s="46">
        <f t="shared" si="0"/>
        <v>31.300000000000004</v>
      </c>
      <c r="AH22" s="48"/>
      <c r="AI22" s="48"/>
    </row>
    <row r="23" spans="1:35" s="44" customFormat="1" ht="18.75" customHeight="1" x14ac:dyDescent="0.35">
      <c r="A23" s="60" t="s">
        <v>74</v>
      </c>
      <c r="B23" s="51">
        <v>1</v>
      </c>
      <c r="C23" s="51">
        <v>0.9</v>
      </c>
      <c r="D23" s="51">
        <v>1</v>
      </c>
      <c r="E23" s="51">
        <v>1.3</v>
      </c>
      <c r="F23" s="51">
        <v>0.4</v>
      </c>
      <c r="G23" s="51">
        <v>1.4</v>
      </c>
      <c r="H23" s="51">
        <v>1</v>
      </c>
      <c r="I23" s="51">
        <v>0.9</v>
      </c>
      <c r="J23" s="51">
        <v>0.9</v>
      </c>
      <c r="K23" s="51">
        <v>1.1000000000000001</v>
      </c>
      <c r="L23" s="51">
        <v>1.4</v>
      </c>
      <c r="M23" s="51">
        <v>1</v>
      </c>
      <c r="N23" s="51">
        <v>1.2</v>
      </c>
      <c r="O23" s="51">
        <v>0.4</v>
      </c>
      <c r="P23" s="51">
        <v>0.9</v>
      </c>
      <c r="Q23" s="51">
        <v>0.7</v>
      </c>
      <c r="R23" s="51">
        <v>0.25</v>
      </c>
      <c r="S23" s="51">
        <v>0.25</v>
      </c>
      <c r="T23" s="51">
        <v>0.9</v>
      </c>
      <c r="U23" s="51">
        <v>0.25</v>
      </c>
      <c r="V23" s="51">
        <v>1</v>
      </c>
      <c r="W23" s="51">
        <v>2.8</v>
      </c>
      <c r="X23" s="51">
        <v>2.8</v>
      </c>
      <c r="Y23" s="51">
        <v>4.05</v>
      </c>
      <c r="Z23" s="51">
        <v>4.5999999999999996</v>
      </c>
      <c r="AA23" s="51">
        <v>3.5</v>
      </c>
      <c r="AB23" s="51">
        <v>2.1</v>
      </c>
      <c r="AC23" s="51">
        <v>2.1</v>
      </c>
      <c r="AD23" s="51"/>
      <c r="AE23" s="51"/>
      <c r="AF23" s="51"/>
      <c r="AG23" s="46">
        <f t="shared" si="0"/>
        <v>40.1</v>
      </c>
      <c r="AH23" s="48"/>
      <c r="AI23" s="48"/>
    </row>
    <row r="24" spans="1:35" s="44" customFormat="1" ht="18.75" customHeight="1" x14ac:dyDescent="0.35">
      <c r="A24" s="60" t="s">
        <v>75</v>
      </c>
      <c r="B24" s="51">
        <v>0.3</v>
      </c>
      <c r="C24" s="51">
        <v>0.4</v>
      </c>
      <c r="D24" s="51">
        <v>4</v>
      </c>
      <c r="E24" s="51">
        <v>0.3</v>
      </c>
      <c r="F24" s="51">
        <v>0</v>
      </c>
      <c r="G24" s="51">
        <v>0.5</v>
      </c>
      <c r="H24" s="51">
        <v>0.8</v>
      </c>
      <c r="I24" s="51">
        <v>0.9</v>
      </c>
      <c r="J24" s="51">
        <v>0.5</v>
      </c>
      <c r="K24" s="51">
        <v>0.8</v>
      </c>
      <c r="L24" s="51">
        <v>0</v>
      </c>
      <c r="M24" s="51">
        <v>0</v>
      </c>
      <c r="N24" s="51">
        <v>0.2</v>
      </c>
      <c r="O24" s="51">
        <v>2</v>
      </c>
      <c r="P24" s="51">
        <v>3</v>
      </c>
      <c r="Q24" s="51">
        <v>2</v>
      </c>
      <c r="R24" s="51">
        <v>0.3</v>
      </c>
      <c r="S24" s="51">
        <v>0.2</v>
      </c>
      <c r="T24" s="51">
        <v>0</v>
      </c>
      <c r="U24" s="51">
        <v>0.9</v>
      </c>
      <c r="V24" s="51">
        <v>0.8</v>
      </c>
      <c r="W24" s="51">
        <v>0.4</v>
      </c>
      <c r="X24" s="51">
        <v>0.9</v>
      </c>
      <c r="Y24" s="51">
        <v>0.8</v>
      </c>
      <c r="Z24" s="51">
        <v>0</v>
      </c>
      <c r="AA24" s="51">
        <v>0</v>
      </c>
      <c r="AB24" s="51">
        <v>0.9</v>
      </c>
      <c r="AC24" s="51">
        <v>0.9</v>
      </c>
      <c r="AD24" s="51"/>
      <c r="AE24" s="51"/>
      <c r="AF24" s="51"/>
      <c r="AG24" s="46">
        <f t="shared" si="0"/>
        <v>21.799999999999994</v>
      </c>
      <c r="AH24" s="48"/>
      <c r="AI24" s="48"/>
    </row>
    <row r="25" spans="1:35" s="44" customFormat="1" ht="18.75" customHeight="1" x14ac:dyDescent="0.35">
      <c r="A25" s="60" t="s">
        <v>77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1">
        <v>5.6</v>
      </c>
      <c r="C26" s="51">
        <v>4.3</v>
      </c>
      <c r="D26" s="51">
        <v>5.7</v>
      </c>
      <c r="E26" s="51">
        <v>5.9</v>
      </c>
      <c r="F26" s="51">
        <v>6.9</v>
      </c>
      <c r="G26" s="51">
        <v>6.8</v>
      </c>
      <c r="H26" s="51">
        <v>6.3</v>
      </c>
      <c r="I26" s="51">
        <v>7</v>
      </c>
      <c r="J26" s="51">
        <v>5.4</v>
      </c>
      <c r="K26" s="51">
        <v>6.1</v>
      </c>
      <c r="L26" s="51">
        <v>5.8</v>
      </c>
      <c r="M26" s="51">
        <v>3.9</v>
      </c>
      <c r="N26" s="51">
        <v>5</v>
      </c>
      <c r="O26" s="51">
        <v>5.9</v>
      </c>
      <c r="P26" s="51">
        <v>4.5</v>
      </c>
      <c r="Q26" s="51">
        <v>4</v>
      </c>
      <c r="R26" s="51">
        <v>6.2</v>
      </c>
      <c r="S26" s="51">
        <v>5.7</v>
      </c>
      <c r="T26" s="51">
        <v>5.9</v>
      </c>
      <c r="U26" s="51">
        <v>6.8</v>
      </c>
      <c r="V26" s="51">
        <v>6</v>
      </c>
      <c r="W26" s="51">
        <v>7.9</v>
      </c>
      <c r="X26" s="51">
        <v>6.5</v>
      </c>
      <c r="Y26" s="44">
        <v>8.6</v>
      </c>
      <c r="Z26" s="143">
        <v>0</v>
      </c>
      <c r="AA26" s="51">
        <v>0</v>
      </c>
      <c r="AB26" s="51">
        <v>0</v>
      </c>
      <c r="AC26" s="51">
        <v>0</v>
      </c>
      <c r="AD26" s="51"/>
      <c r="AE26" s="51"/>
      <c r="AF26" s="51"/>
      <c r="AG26" s="46">
        <f t="shared" si="0"/>
        <v>142.70000000000002</v>
      </c>
      <c r="AH26" s="48"/>
      <c r="AI26" s="48"/>
    </row>
    <row r="27" spans="1:35" s="44" customFormat="1" ht="18.75" customHeight="1" x14ac:dyDescent="0.35">
      <c r="A27" s="60" t="s">
        <v>79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1">
        <v>2</v>
      </c>
      <c r="C28" s="51">
        <v>1.3</v>
      </c>
      <c r="D28" s="51">
        <v>0.1</v>
      </c>
      <c r="E28" s="51">
        <v>1</v>
      </c>
      <c r="F28" s="51">
        <v>0</v>
      </c>
      <c r="G28" s="51">
        <v>0.8</v>
      </c>
      <c r="H28" s="51">
        <v>1.8</v>
      </c>
      <c r="I28" s="51">
        <v>1.8</v>
      </c>
      <c r="J28" s="51">
        <v>1.8</v>
      </c>
      <c r="K28" s="51">
        <v>1.9</v>
      </c>
      <c r="L28" s="51">
        <v>1.5</v>
      </c>
      <c r="M28" s="51">
        <v>1.5</v>
      </c>
      <c r="N28" s="51">
        <v>1.3</v>
      </c>
      <c r="O28" s="51">
        <v>0.6</v>
      </c>
      <c r="P28" s="51">
        <v>0.5</v>
      </c>
      <c r="Q28" s="51">
        <v>0</v>
      </c>
      <c r="R28" s="51">
        <v>0.6</v>
      </c>
      <c r="S28" s="51">
        <v>1</v>
      </c>
      <c r="T28" s="51">
        <v>0</v>
      </c>
      <c r="U28" s="51">
        <v>2.5</v>
      </c>
      <c r="V28" s="51">
        <v>1.8</v>
      </c>
      <c r="W28" s="51">
        <v>1.9</v>
      </c>
      <c r="X28" s="51">
        <v>0.5</v>
      </c>
      <c r="Y28" s="51">
        <v>1</v>
      </c>
      <c r="Z28" s="51">
        <v>1.9</v>
      </c>
      <c r="AA28" s="51">
        <v>0</v>
      </c>
      <c r="AB28" s="51">
        <v>0</v>
      </c>
      <c r="AC28" s="51">
        <v>1</v>
      </c>
      <c r="AD28" s="51"/>
      <c r="AE28" s="51"/>
      <c r="AF28" s="51"/>
      <c r="AG28" s="46">
        <f t="shared" si="0"/>
        <v>30.1</v>
      </c>
      <c r="AH28" s="48"/>
      <c r="AI28" s="48"/>
    </row>
    <row r="29" spans="1:35" s="44" customFormat="1" ht="18.75" customHeight="1" x14ac:dyDescent="0.35">
      <c r="A29" s="60" t="s">
        <v>80</v>
      </c>
      <c r="B29" s="74">
        <v>2.7</v>
      </c>
      <c r="C29" s="74">
        <v>2.8</v>
      </c>
      <c r="D29" s="74">
        <v>2.2000000000000002</v>
      </c>
      <c r="E29" s="74">
        <v>2.7</v>
      </c>
      <c r="F29" s="75">
        <v>0</v>
      </c>
      <c r="G29" s="74">
        <v>2.2999999999999998</v>
      </c>
      <c r="H29" s="74">
        <v>2.5</v>
      </c>
      <c r="I29" s="74">
        <v>2.9</v>
      </c>
      <c r="J29" s="74">
        <v>2.2000000000000002</v>
      </c>
      <c r="K29" s="74">
        <v>2.8</v>
      </c>
      <c r="L29" s="74">
        <v>0.3</v>
      </c>
      <c r="M29" s="74">
        <v>0</v>
      </c>
      <c r="N29" s="74">
        <v>2</v>
      </c>
      <c r="O29" s="74">
        <v>2.2000000000000002</v>
      </c>
      <c r="P29" s="74">
        <v>2</v>
      </c>
      <c r="Q29" s="74">
        <v>2.6</v>
      </c>
      <c r="R29" s="74">
        <v>0.8</v>
      </c>
      <c r="S29" s="74">
        <v>0.9</v>
      </c>
      <c r="T29" s="74">
        <v>0</v>
      </c>
      <c r="U29" s="74">
        <v>0.2</v>
      </c>
      <c r="V29" s="74">
        <v>5</v>
      </c>
      <c r="W29" s="74">
        <v>0</v>
      </c>
      <c r="X29" s="74">
        <v>0</v>
      </c>
      <c r="Y29" s="74">
        <v>0</v>
      </c>
      <c r="Z29" s="74">
        <v>0</v>
      </c>
      <c r="AA29" s="74">
        <v>0</v>
      </c>
      <c r="AB29" s="74">
        <v>0</v>
      </c>
      <c r="AC29" s="74">
        <v>0</v>
      </c>
      <c r="AD29" s="51"/>
      <c r="AE29" s="51"/>
      <c r="AF29" s="51"/>
      <c r="AG29" s="46">
        <f t="shared" si="0"/>
        <v>39.099999999999994</v>
      </c>
      <c r="AH29" s="48"/>
      <c r="AI29" s="48"/>
    </row>
    <row r="30" spans="1:35" s="44" customFormat="1" ht="18.75" customHeight="1" x14ac:dyDescent="0.35">
      <c r="A30" s="60" t="s">
        <v>76</v>
      </c>
      <c r="B30" s="51">
        <v>2</v>
      </c>
      <c r="C30" s="51">
        <v>2</v>
      </c>
      <c r="D30" s="51">
        <v>1</v>
      </c>
      <c r="E30" s="51">
        <v>2.1</v>
      </c>
      <c r="F30" s="51">
        <v>0.9</v>
      </c>
      <c r="G30" s="51">
        <v>0.9</v>
      </c>
      <c r="H30" s="51">
        <v>0.5</v>
      </c>
      <c r="I30" s="51">
        <v>0.3</v>
      </c>
      <c r="J30" s="51">
        <v>0.9</v>
      </c>
      <c r="K30" s="51">
        <v>1</v>
      </c>
      <c r="L30" s="51">
        <v>1.5</v>
      </c>
      <c r="M30" s="51">
        <v>1</v>
      </c>
      <c r="N30" s="51">
        <v>1.5</v>
      </c>
      <c r="O30" s="51">
        <v>0.8</v>
      </c>
      <c r="P30" s="51">
        <v>0.5</v>
      </c>
      <c r="Q30" s="51">
        <v>1.5</v>
      </c>
      <c r="R30" s="51">
        <v>0.1</v>
      </c>
      <c r="S30" s="51">
        <v>0.95</v>
      </c>
      <c r="T30" s="51">
        <v>0.9</v>
      </c>
      <c r="U30" s="51">
        <v>0.5</v>
      </c>
      <c r="V30" s="51">
        <v>1</v>
      </c>
      <c r="W30" s="51">
        <v>1</v>
      </c>
      <c r="X30" s="51">
        <v>0.35</v>
      </c>
      <c r="Y30" s="51">
        <v>0.25</v>
      </c>
      <c r="Z30" s="51">
        <v>0.5</v>
      </c>
      <c r="AA30" s="51">
        <v>0.9</v>
      </c>
      <c r="AB30" s="51">
        <v>1.8</v>
      </c>
      <c r="AC30" s="51">
        <v>0</v>
      </c>
      <c r="AD30" s="51"/>
      <c r="AE30" s="51"/>
      <c r="AF30" s="51"/>
      <c r="AG30" s="46">
        <f t="shared" si="0"/>
        <v>26.650000000000002</v>
      </c>
      <c r="AH30" s="48"/>
      <c r="AI30" s="48"/>
    </row>
    <row r="31" spans="1:35" s="44" customFormat="1" ht="18.75" customHeight="1" x14ac:dyDescent="0.35">
      <c r="A31" s="60" t="s">
        <v>81</v>
      </c>
      <c r="B31" s="51">
        <f>4.7+4.5+4.6+1.1</f>
        <v>14.899999999999999</v>
      </c>
      <c r="C31" s="51">
        <f>3.5+2.5+3.6+1.3</f>
        <v>10.9</v>
      </c>
      <c r="D31" s="51">
        <f>3.5+2.5+3.6+0.5+0.3</f>
        <v>10.4</v>
      </c>
      <c r="E31" s="143">
        <f>0.3+0.5+2.8+2.4+2</f>
        <v>8</v>
      </c>
      <c r="F31" s="143">
        <f>2.8+2.8+2+2.1</f>
        <v>9.6999999999999993</v>
      </c>
      <c r="G31" s="51">
        <f>2.7+3.5+4+4+3.9</f>
        <v>18.099999999999998</v>
      </c>
      <c r="H31" s="51">
        <f>4+3.7+5.8+5.5+7</f>
        <v>26</v>
      </c>
      <c r="I31" s="51">
        <f>5.5+2.5+2.7+6</f>
        <v>16.7</v>
      </c>
      <c r="J31" s="51">
        <f>7.7+5.5+4.5+4.6</f>
        <v>22.299999999999997</v>
      </c>
      <c r="K31" s="51">
        <f>7.8+3.5+2.5+2.1</f>
        <v>15.9</v>
      </c>
      <c r="L31" s="51">
        <f>3.3+3.5+3.8+3.9+3</f>
        <v>17.5</v>
      </c>
      <c r="M31" s="51">
        <f>4+2.9+2.5+2</f>
        <v>11.4</v>
      </c>
      <c r="N31" s="51">
        <f>5.5+2.8+2.5+1.2</f>
        <v>12</v>
      </c>
      <c r="O31" s="51">
        <f>0.5+4.9+7</f>
        <v>12.4</v>
      </c>
      <c r="P31" s="51">
        <f>0.6+5.03+9.55</f>
        <v>15.18</v>
      </c>
      <c r="Q31" s="51">
        <f>4.5+4.9+5.8+0.8</f>
        <v>16</v>
      </c>
      <c r="R31" s="51">
        <f>5.4+3.5+3.6+0.9</f>
        <v>13.4</v>
      </c>
      <c r="S31" s="51">
        <f>4.5+4.5+3.5+1.1</f>
        <v>13.6</v>
      </c>
      <c r="T31" s="51">
        <f>1.3+3.5+3.6+3.4</f>
        <v>11.8</v>
      </c>
      <c r="U31" s="51">
        <f>2.8+3+2+3.8+2.7</f>
        <v>14.3</v>
      </c>
      <c r="V31" s="51">
        <f>5.2+8.1</f>
        <v>13.3</v>
      </c>
      <c r="W31" s="51">
        <f>7.1+5+5.4+3.4</f>
        <v>20.9</v>
      </c>
      <c r="X31" s="44">
        <f>6+4.3+3.9+2.6</f>
        <v>16.8</v>
      </c>
      <c r="Y31" s="51">
        <f>3.4+3.5+3.6+0.7+0.9</f>
        <v>12.1</v>
      </c>
      <c r="Z31" s="51">
        <f>5+3.7+4+0.8</f>
        <v>13.5</v>
      </c>
      <c r="AA31" s="51">
        <f>4.5+3.5+3.6+0.7</f>
        <v>12.299999999999999</v>
      </c>
      <c r="AB31" s="51">
        <f>3.6+3+2+1.2</f>
        <v>9.7999999999999989</v>
      </c>
      <c r="AC31" s="51">
        <f>6+4+2.5+0.8</f>
        <v>13.3</v>
      </c>
      <c r="AD31" s="51"/>
      <c r="AE31" s="51"/>
      <c r="AF31" s="51"/>
      <c r="AG31" s="46">
        <f t="shared" si="0"/>
        <v>402.48000000000013</v>
      </c>
      <c r="AH31" s="48"/>
      <c r="AI31" s="48"/>
    </row>
    <row r="32" spans="1:35" s="44" customFormat="1" ht="18.75" customHeight="1" x14ac:dyDescent="0.35">
      <c r="A32" s="60" t="s">
        <v>86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51">
        <f>4.1+3.2+1.1</f>
        <v>8.4</v>
      </c>
      <c r="C33" s="51">
        <f>3.4+2.3+4.4</f>
        <v>10.1</v>
      </c>
      <c r="D33" s="51">
        <f>3.4+4.3+5.4</f>
        <v>13.1</v>
      </c>
      <c r="E33" s="51">
        <f>4.3+2.9+6.4</f>
        <v>13.6</v>
      </c>
      <c r="F33" s="51">
        <f>4.3+6.9+7.6</f>
        <v>18.799999999999997</v>
      </c>
      <c r="G33" s="51">
        <f>4.3+4.9+5</f>
        <v>14.2</v>
      </c>
      <c r="H33" s="51">
        <f>21</f>
        <v>21</v>
      </c>
      <c r="I33" s="51">
        <v>24</v>
      </c>
      <c r="J33" s="51">
        <f>7+8.1+9.1</f>
        <v>24.2</v>
      </c>
      <c r="K33" s="51">
        <f>4.7+3.4+4.4</f>
        <v>12.5</v>
      </c>
      <c r="L33" s="51">
        <v>16</v>
      </c>
      <c r="M33" s="51">
        <v>17</v>
      </c>
      <c r="N33" s="51">
        <f>4.3+4.9+8.35</f>
        <v>17.549999999999997</v>
      </c>
      <c r="O33" s="51">
        <f>4.3+5.9+6</f>
        <v>16.2</v>
      </c>
      <c r="P33" s="51">
        <f>15.35+4.3+6.9</f>
        <v>26.549999999999997</v>
      </c>
      <c r="Q33" s="51">
        <f>9+7.1+8.2</f>
        <v>24.3</v>
      </c>
      <c r="R33" s="51">
        <f>4.2+3.4+2.5</f>
        <v>10.1</v>
      </c>
      <c r="S33" s="51">
        <f>7.3+5.2+6.1</f>
        <v>18.600000000000001</v>
      </c>
      <c r="T33" s="51">
        <f>4.2+6.9+7.3</f>
        <v>18.400000000000002</v>
      </c>
      <c r="U33" s="51">
        <f>4.3+6.9+7.3</f>
        <v>18.5</v>
      </c>
      <c r="V33" s="51">
        <f>4.5+7.3+8.5</f>
        <v>20.3</v>
      </c>
      <c r="W33" s="51">
        <f>6.1+7.1+3.4</f>
        <v>16.599999999999998</v>
      </c>
      <c r="X33" s="51">
        <f>5.1+4.3+3.4</f>
        <v>12.799999999999999</v>
      </c>
      <c r="Y33" s="51">
        <f>10.1+4.2+7.4</f>
        <v>21.700000000000003</v>
      </c>
      <c r="Z33" s="51">
        <f>7.4+6.5+4.4</f>
        <v>18.3</v>
      </c>
      <c r="AA33" s="51">
        <f>5.4+3.1+4.1</f>
        <v>12.6</v>
      </c>
      <c r="AB33" s="51">
        <f>5+4+7</f>
        <v>16</v>
      </c>
      <c r="AC33" s="51">
        <f>6.5+6.35+7.2</f>
        <v>20.05</v>
      </c>
      <c r="AD33" s="51"/>
      <c r="AE33" s="51"/>
      <c r="AF33" s="51"/>
      <c r="AG33" s="46">
        <f>SUM(B33:AF33)</f>
        <v>481.4500000000001</v>
      </c>
      <c r="AH33" s="48"/>
      <c r="AI33" s="48"/>
    </row>
    <row r="34" spans="1:35" s="44" customFormat="1" ht="18.75" customHeight="1" x14ac:dyDescent="0.35">
      <c r="A34" s="60" t="s">
        <v>251</v>
      </c>
      <c r="B34" s="51">
        <v>0.3</v>
      </c>
      <c r="C34" s="51">
        <v>0.1</v>
      </c>
      <c r="D34" s="51">
        <v>0.5</v>
      </c>
      <c r="E34" s="51">
        <v>0</v>
      </c>
      <c r="F34" s="51">
        <v>0</v>
      </c>
      <c r="G34" s="51">
        <v>0.5</v>
      </c>
      <c r="H34" s="51">
        <v>0.6</v>
      </c>
      <c r="I34" s="51">
        <v>0.5</v>
      </c>
      <c r="J34" s="51">
        <v>0.5</v>
      </c>
      <c r="K34" s="51">
        <v>0.8</v>
      </c>
      <c r="L34" s="51">
        <v>0.9</v>
      </c>
      <c r="M34" s="51">
        <v>0</v>
      </c>
      <c r="N34" s="51">
        <v>0</v>
      </c>
      <c r="O34" s="51">
        <v>0.3</v>
      </c>
      <c r="P34" s="51">
        <v>0.2</v>
      </c>
      <c r="Q34" s="51">
        <v>0.2</v>
      </c>
      <c r="R34" s="51">
        <v>0.4</v>
      </c>
      <c r="S34" s="51">
        <v>0.2</v>
      </c>
      <c r="T34" s="51">
        <v>0</v>
      </c>
      <c r="U34" s="51">
        <v>0.5</v>
      </c>
      <c r="V34" s="51">
        <v>0.4</v>
      </c>
      <c r="W34" s="51">
        <v>0.5</v>
      </c>
      <c r="X34" s="51">
        <v>0.5</v>
      </c>
      <c r="Y34" s="51">
        <v>0.7</v>
      </c>
      <c r="Z34" s="51">
        <v>0.9</v>
      </c>
      <c r="AA34" s="51">
        <v>0</v>
      </c>
      <c r="AB34" s="51">
        <v>0.2</v>
      </c>
      <c r="AC34" s="51">
        <v>0.3</v>
      </c>
      <c r="AD34" s="51"/>
      <c r="AE34" s="51"/>
      <c r="AF34" s="51"/>
      <c r="AG34" s="46">
        <f>SUM(B34:AF34)</f>
        <v>10.000000000000002</v>
      </c>
      <c r="AH34" s="48"/>
      <c r="AI34" s="48"/>
    </row>
    <row r="35" spans="1:35" s="44" customFormat="1" ht="18.75" customHeight="1" x14ac:dyDescent="0.35">
      <c r="A35" s="60" t="s">
        <v>179</v>
      </c>
      <c r="B35" s="51">
        <v>1</v>
      </c>
      <c r="C35" s="51">
        <v>0.9</v>
      </c>
      <c r="D35" s="51">
        <v>0.7</v>
      </c>
      <c r="E35" s="51">
        <v>0.8</v>
      </c>
      <c r="F35" s="51">
        <v>0.6</v>
      </c>
      <c r="G35" s="51">
        <v>1</v>
      </c>
      <c r="H35" s="51">
        <v>1.1000000000000001</v>
      </c>
      <c r="I35" s="51">
        <v>0.9</v>
      </c>
      <c r="J35" s="51">
        <v>0.5</v>
      </c>
      <c r="K35" s="51">
        <v>0.8</v>
      </c>
      <c r="L35" s="51">
        <v>1</v>
      </c>
      <c r="M35" s="51">
        <v>0.8</v>
      </c>
      <c r="N35" s="51">
        <v>1</v>
      </c>
      <c r="O35" s="51">
        <v>0.4</v>
      </c>
      <c r="P35" s="51">
        <v>0.9</v>
      </c>
      <c r="Q35" s="51">
        <v>1</v>
      </c>
      <c r="R35" s="51">
        <v>1</v>
      </c>
      <c r="S35" s="51">
        <v>0.9</v>
      </c>
      <c r="T35" s="51">
        <v>1.4</v>
      </c>
      <c r="U35" s="51">
        <v>1</v>
      </c>
      <c r="V35" s="51">
        <v>1.2</v>
      </c>
      <c r="W35" s="51">
        <v>1</v>
      </c>
      <c r="X35" s="51">
        <v>0.4</v>
      </c>
      <c r="Y35" s="51">
        <v>0.9</v>
      </c>
      <c r="Z35" s="51">
        <v>1.6</v>
      </c>
      <c r="AA35" s="51">
        <v>0.9</v>
      </c>
      <c r="AB35" s="51">
        <v>0.2</v>
      </c>
      <c r="AC35" s="51">
        <v>0.9</v>
      </c>
      <c r="AD35" s="51"/>
      <c r="AE35" s="51"/>
      <c r="AF35" s="51"/>
      <c r="AG35" s="46">
        <f>SUM(B35:AF35)</f>
        <v>24.799999999999997</v>
      </c>
      <c r="AH35" s="48"/>
      <c r="AI35" s="48"/>
    </row>
    <row r="36" spans="1:35" s="44" customFormat="1" ht="18.75" customHeight="1" x14ac:dyDescent="0.35">
      <c r="A36" s="59" t="s">
        <v>155</v>
      </c>
      <c r="B36" s="51">
        <f>SUM(B3:B35)</f>
        <v>77.100000000000009</v>
      </c>
      <c r="C36" s="51">
        <f t="shared" ref="C36:AF36" si="1">SUM(C3:C35)</f>
        <v>69.499999999999986</v>
      </c>
      <c r="D36" s="51">
        <f t="shared" si="1"/>
        <v>71.400000000000006</v>
      </c>
      <c r="E36" s="51">
        <f t="shared" si="1"/>
        <v>65.61</v>
      </c>
      <c r="F36" s="51">
        <f t="shared" si="1"/>
        <v>66.809999999999988</v>
      </c>
      <c r="G36" s="51">
        <f t="shared" si="1"/>
        <v>81.309999999999988</v>
      </c>
      <c r="H36" s="51">
        <f t="shared" si="1"/>
        <v>99.499999999999972</v>
      </c>
      <c r="I36" s="51">
        <f t="shared" si="1"/>
        <v>100.7</v>
      </c>
      <c r="J36" s="51">
        <f t="shared" si="1"/>
        <v>104.60000000000001</v>
      </c>
      <c r="K36" s="51">
        <f t="shared" si="1"/>
        <v>88.7</v>
      </c>
      <c r="L36" s="51">
        <f t="shared" si="1"/>
        <v>85.399999999999991</v>
      </c>
      <c r="M36" s="51">
        <f t="shared" si="1"/>
        <v>63.4</v>
      </c>
      <c r="N36" s="51">
        <f t="shared" si="1"/>
        <v>77.050000000000011</v>
      </c>
      <c r="O36" s="51">
        <f t="shared" si="1"/>
        <v>73.100000000000009</v>
      </c>
      <c r="P36" s="51">
        <f t="shared" si="1"/>
        <v>96.03</v>
      </c>
      <c r="Q36" s="51">
        <f t="shared" si="1"/>
        <v>75.2</v>
      </c>
      <c r="R36" s="51">
        <f t="shared" si="1"/>
        <v>60.870000000000005</v>
      </c>
      <c r="S36" s="51">
        <f t="shared" si="1"/>
        <v>71.170000000000016</v>
      </c>
      <c r="T36" s="51">
        <f t="shared" si="1"/>
        <v>66.700000000000017</v>
      </c>
      <c r="U36" s="51">
        <f t="shared" si="1"/>
        <v>71</v>
      </c>
      <c r="V36" s="51">
        <f t="shared" si="1"/>
        <v>81.400000000000006</v>
      </c>
      <c r="W36" s="51">
        <f t="shared" si="1"/>
        <v>86.399999999999991</v>
      </c>
      <c r="X36" s="51">
        <f t="shared" si="1"/>
        <v>69.350000000000009</v>
      </c>
      <c r="Y36" s="51">
        <f t="shared" si="1"/>
        <v>80.350000000000009</v>
      </c>
      <c r="Z36" s="51">
        <f t="shared" si="1"/>
        <v>68.100000000000009</v>
      </c>
      <c r="AA36" s="51">
        <f t="shared" si="1"/>
        <v>43.599999999999994</v>
      </c>
      <c r="AB36" s="51">
        <f t="shared" si="1"/>
        <v>49.900000000000006</v>
      </c>
      <c r="AC36" s="51">
        <f t="shared" si="1"/>
        <v>58.249999999999993</v>
      </c>
      <c r="AD36" s="51">
        <f t="shared" si="1"/>
        <v>0</v>
      </c>
      <c r="AE36" s="51">
        <f t="shared" si="1"/>
        <v>0</v>
      </c>
      <c r="AF36" s="51">
        <f t="shared" si="1"/>
        <v>0</v>
      </c>
      <c r="AG36" s="56">
        <f>SUM(B36:AF36)</f>
        <v>2102.5</v>
      </c>
      <c r="AH36" s="57"/>
      <c r="AI36" s="57"/>
    </row>
    <row r="37" spans="1:35" s="2" customFormat="1" x14ac:dyDescent="0.25">
      <c r="AG37" s="24">
        <f>SUM(AG3:AG33)</f>
        <v>2067.7000000000003</v>
      </c>
    </row>
    <row r="38" spans="1:35" s="2" customFormat="1" x14ac:dyDescent="0.25"/>
    <row r="39" spans="1:35" s="2" customFormat="1" x14ac:dyDescent="0.25"/>
    <row r="47" spans="1:35" x14ac:dyDescent="0.25">
      <c r="M47">
        <v>1138.4000000000001</v>
      </c>
    </row>
    <row r="48" spans="1:35" x14ac:dyDescent="0.25">
      <c r="M48">
        <v>1232.82</v>
      </c>
    </row>
    <row r="49" spans="13:13" x14ac:dyDescent="0.25">
      <c r="M49">
        <f>+SUM(M47:M48)</f>
        <v>2371.2200000000003</v>
      </c>
    </row>
  </sheetData>
  <mergeCells count="1">
    <mergeCell ref="A1:AG1"/>
  </mergeCells>
  <conditionalFormatting sqref="AG36">
    <cfRule type="cellIs" dxfId="111" priority="2" operator="equal">
      <formula>$AG$37</formula>
    </cfRule>
  </conditionalFormatting>
  <conditionalFormatting sqref="AG37">
    <cfRule type="cellIs" dxfId="110" priority="1" operator="equal">
      <formula>$AG$36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2" width="8" customWidth="1"/>
    <col min="3" max="32" width="7.42578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>
        <v>2</v>
      </c>
      <c r="C4" s="51">
        <v>3</v>
      </c>
      <c r="D4" s="51">
        <v>3</v>
      </c>
      <c r="E4" s="51">
        <v>2</v>
      </c>
      <c r="F4" s="51">
        <v>3</v>
      </c>
      <c r="G4" s="51">
        <v>1</v>
      </c>
      <c r="H4" s="51">
        <v>0</v>
      </c>
      <c r="I4" s="51">
        <v>0</v>
      </c>
      <c r="J4" s="51">
        <v>2</v>
      </c>
      <c r="K4" s="51">
        <v>1</v>
      </c>
      <c r="L4" s="51">
        <v>3</v>
      </c>
      <c r="M4" s="51">
        <v>2</v>
      </c>
      <c r="N4" s="51">
        <v>1.5</v>
      </c>
      <c r="O4" s="51">
        <v>3.5</v>
      </c>
      <c r="P4" s="51">
        <v>2.5</v>
      </c>
      <c r="Q4" s="51">
        <v>4</v>
      </c>
      <c r="R4" s="51">
        <v>2</v>
      </c>
      <c r="S4" s="51">
        <v>1</v>
      </c>
      <c r="T4" s="51">
        <v>2</v>
      </c>
      <c r="U4" s="51">
        <v>3</v>
      </c>
      <c r="V4" s="51">
        <v>3.5</v>
      </c>
      <c r="W4" s="51">
        <v>1.5</v>
      </c>
      <c r="X4" s="51">
        <v>2.5</v>
      </c>
      <c r="Y4" s="51">
        <v>0</v>
      </c>
      <c r="Z4" s="51">
        <v>9.4</v>
      </c>
      <c r="AA4" s="51">
        <v>11</v>
      </c>
      <c r="AB4" s="51">
        <v>3</v>
      </c>
      <c r="AC4" s="51">
        <v>6</v>
      </c>
      <c r="AD4" s="51">
        <v>9</v>
      </c>
      <c r="AE4" s="51">
        <v>9</v>
      </c>
      <c r="AF4" s="51">
        <v>11</v>
      </c>
      <c r="AG4" s="46">
        <f t="shared" si="0"/>
        <v>107.4</v>
      </c>
      <c r="AH4" s="48"/>
      <c r="AI4" s="48"/>
    </row>
    <row r="5" spans="1:35" s="44" customFormat="1" ht="18.75" customHeight="1" x14ac:dyDescent="0.35">
      <c r="A5" s="60" t="s">
        <v>83</v>
      </c>
      <c r="B5" s="51">
        <v>2.2000000000000002</v>
      </c>
      <c r="C5" s="51">
        <v>2.6</v>
      </c>
      <c r="D5" s="51">
        <v>2.6</v>
      </c>
      <c r="E5" s="51">
        <v>2.4</v>
      </c>
      <c r="F5" s="51">
        <v>0</v>
      </c>
      <c r="G5" s="51">
        <v>2.6</v>
      </c>
      <c r="H5" s="51">
        <v>2.2999999999999998</v>
      </c>
      <c r="I5" s="51">
        <v>3.1</v>
      </c>
      <c r="J5" s="51">
        <v>2.7</v>
      </c>
      <c r="K5" s="51">
        <v>2.7</v>
      </c>
      <c r="L5" s="51">
        <v>3.6</v>
      </c>
      <c r="M5" s="51">
        <v>2.2999999999999998</v>
      </c>
      <c r="N5" s="51">
        <v>3.2</v>
      </c>
      <c r="O5" s="51">
        <v>3.3</v>
      </c>
      <c r="P5" s="51">
        <v>2.8</v>
      </c>
      <c r="Q5" s="51">
        <v>4.4000000000000004</v>
      </c>
      <c r="R5" s="51">
        <v>2.5</v>
      </c>
      <c r="S5" s="51">
        <v>4</v>
      </c>
      <c r="T5" s="51">
        <v>2.5</v>
      </c>
      <c r="U5" s="51">
        <v>3.2</v>
      </c>
      <c r="V5" s="51">
        <v>3</v>
      </c>
      <c r="W5" s="51">
        <v>3.7</v>
      </c>
      <c r="X5" s="51">
        <v>2.6</v>
      </c>
      <c r="Y5" s="51">
        <v>2.8</v>
      </c>
      <c r="Z5" s="51">
        <v>1.7</v>
      </c>
      <c r="AA5" s="51">
        <v>0</v>
      </c>
      <c r="AB5" s="51">
        <v>3.4</v>
      </c>
      <c r="AC5" s="51">
        <v>3.4</v>
      </c>
      <c r="AD5" s="51">
        <v>3.3</v>
      </c>
      <c r="AE5" s="51">
        <v>5</v>
      </c>
      <c r="AF5" s="51">
        <v>3.6</v>
      </c>
      <c r="AG5" s="46">
        <f t="shared" si="0"/>
        <v>87.5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1.5</v>
      </c>
      <c r="C7" s="51">
        <v>2</v>
      </c>
      <c r="D7" s="51">
        <v>1.8</v>
      </c>
      <c r="E7" s="51">
        <v>1.5</v>
      </c>
      <c r="F7" s="51">
        <v>1</v>
      </c>
      <c r="G7" s="51">
        <v>1.6</v>
      </c>
      <c r="H7" s="51">
        <v>1</v>
      </c>
      <c r="I7" s="51">
        <v>1.7</v>
      </c>
      <c r="J7" s="51">
        <v>1.3</v>
      </c>
      <c r="K7" s="51">
        <v>1.5</v>
      </c>
      <c r="L7" s="51">
        <v>1.2</v>
      </c>
      <c r="M7" s="51">
        <v>1.5</v>
      </c>
      <c r="N7" s="51">
        <v>1.5</v>
      </c>
      <c r="O7" s="51">
        <v>1.7</v>
      </c>
      <c r="P7" s="51">
        <v>1</v>
      </c>
      <c r="Q7" s="51">
        <v>2.5</v>
      </c>
      <c r="R7" s="51">
        <v>1.3</v>
      </c>
      <c r="S7" s="51">
        <v>1.5</v>
      </c>
      <c r="T7" s="51">
        <v>1.5</v>
      </c>
      <c r="U7" s="51">
        <v>1.2</v>
      </c>
      <c r="V7" s="51">
        <v>1</v>
      </c>
      <c r="W7" s="51">
        <v>1.2</v>
      </c>
      <c r="X7" s="51">
        <v>1.7</v>
      </c>
      <c r="Y7" s="51">
        <v>1</v>
      </c>
      <c r="Z7" s="51">
        <v>1.5</v>
      </c>
      <c r="AA7" s="51">
        <v>1</v>
      </c>
      <c r="AB7" s="51">
        <v>1</v>
      </c>
      <c r="AC7" s="51">
        <v>2.5</v>
      </c>
      <c r="AD7" s="51">
        <v>2</v>
      </c>
      <c r="AE7" s="51">
        <v>1.8</v>
      </c>
      <c r="AF7" s="51">
        <v>2</v>
      </c>
      <c r="AG7" s="46">
        <f t="shared" si="0"/>
        <v>46.5</v>
      </c>
      <c r="AH7" s="48"/>
      <c r="AI7" s="48"/>
    </row>
    <row r="8" spans="1:35" s="44" customFormat="1" ht="18.75" customHeight="1" x14ac:dyDescent="0.35">
      <c r="A8" s="60" t="s">
        <v>65</v>
      </c>
      <c r="B8" s="51">
        <v>1.9</v>
      </c>
      <c r="C8" s="51">
        <v>3.6</v>
      </c>
      <c r="D8" s="51">
        <v>4.9000000000000004</v>
      </c>
      <c r="E8" s="51">
        <v>4.2</v>
      </c>
      <c r="F8" s="51">
        <v>3.9</v>
      </c>
      <c r="G8" s="51">
        <v>4.9000000000000004</v>
      </c>
      <c r="H8" s="51">
        <v>4.9000000000000004</v>
      </c>
      <c r="I8" s="51">
        <v>4.2</v>
      </c>
      <c r="J8" s="51">
        <v>2</v>
      </c>
      <c r="K8" s="51">
        <v>2.9</v>
      </c>
      <c r="L8" s="51">
        <v>1.9</v>
      </c>
      <c r="M8" s="51">
        <v>1.4</v>
      </c>
      <c r="N8" s="51">
        <v>1.4</v>
      </c>
      <c r="O8" s="51">
        <v>2.2000000000000002</v>
      </c>
      <c r="P8" s="51">
        <v>2</v>
      </c>
      <c r="Q8" s="51">
        <v>3</v>
      </c>
      <c r="R8" s="51">
        <v>4.9000000000000004</v>
      </c>
      <c r="S8" s="51">
        <v>2</v>
      </c>
      <c r="T8" s="51">
        <v>2</v>
      </c>
      <c r="U8" s="51">
        <v>2.2000000000000002</v>
      </c>
      <c r="V8" s="51">
        <v>1.7</v>
      </c>
      <c r="W8" s="51">
        <v>8.3000000000000007</v>
      </c>
      <c r="X8" s="51">
        <v>9.4</v>
      </c>
      <c r="Y8" s="51">
        <v>8.8000000000000007</v>
      </c>
      <c r="Z8" s="51">
        <v>7.2</v>
      </c>
      <c r="AA8" s="51">
        <v>4.5</v>
      </c>
      <c r="AB8" s="51">
        <v>6.1</v>
      </c>
      <c r="AC8" s="51">
        <v>5.9</v>
      </c>
      <c r="AD8" s="51">
        <v>5</v>
      </c>
      <c r="AE8" s="51">
        <v>9.8000000000000007</v>
      </c>
      <c r="AF8" s="51">
        <v>6.6</v>
      </c>
      <c r="AG8" s="46">
        <f t="shared" si="0"/>
        <v>133.70000000000002</v>
      </c>
      <c r="AH8" s="48"/>
      <c r="AI8" s="48"/>
    </row>
    <row r="9" spans="1:35" s="44" customFormat="1" ht="18.75" customHeight="1" x14ac:dyDescent="0.35">
      <c r="A9" s="60" t="s">
        <v>66</v>
      </c>
      <c r="B9" s="51">
        <v>6.5</v>
      </c>
      <c r="C9" s="51">
        <v>5.6</v>
      </c>
      <c r="D9" s="51">
        <v>6.3</v>
      </c>
      <c r="E9" s="51">
        <v>1.1000000000000001</v>
      </c>
      <c r="F9" s="51">
        <v>0</v>
      </c>
      <c r="G9" s="51">
        <v>5.8</v>
      </c>
      <c r="H9" s="51">
        <v>6.2</v>
      </c>
      <c r="I9" s="51">
        <v>7.6</v>
      </c>
      <c r="J9" s="51">
        <v>6.9</v>
      </c>
      <c r="K9" s="51">
        <v>5.8</v>
      </c>
      <c r="L9" s="51">
        <v>1</v>
      </c>
      <c r="M9" s="51">
        <v>0</v>
      </c>
      <c r="N9" s="51">
        <v>5.8</v>
      </c>
      <c r="O9" s="51">
        <v>4.8</v>
      </c>
      <c r="P9" s="44">
        <v>4.3</v>
      </c>
      <c r="Q9" s="51">
        <v>4.8</v>
      </c>
      <c r="R9" s="51">
        <v>2.8</v>
      </c>
      <c r="S9" s="51">
        <v>1.4</v>
      </c>
      <c r="T9" s="51">
        <v>0</v>
      </c>
      <c r="U9" s="51">
        <v>0</v>
      </c>
      <c r="V9" s="51">
        <v>3.2</v>
      </c>
      <c r="W9" s="51">
        <v>6.4</v>
      </c>
      <c r="X9" s="51">
        <v>3.3</v>
      </c>
      <c r="Y9" s="51">
        <v>5.8</v>
      </c>
      <c r="Z9" s="44">
        <v>1.4</v>
      </c>
      <c r="AA9" s="51">
        <v>0</v>
      </c>
      <c r="AB9" s="51">
        <v>5.2</v>
      </c>
      <c r="AC9" s="51">
        <v>4.2</v>
      </c>
      <c r="AD9" s="51">
        <v>4.2</v>
      </c>
      <c r="AE9" s="51">
        <v>4.8</v>
      </c>
      <c r="AF9" s="51">
        <v>4.3</v>
      </c>
      <c r="AG9" s="46">
        <f t="shared" si="0"/>
        <v>119.5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6.2</v>
      </c>
      <c r="C10" s="51">
        <v>7.2</v>
      </c>
      <c r="D10" s="51">
        <v>7.9</v>
      </c>
      <c r="E10" s="51">
        <v>4.7</v>
      </c>
      <c r="F10" s="51">
        <v>5.2</v>
      </c>
      <c r="G10" s="51">
        <v>7.32</v>
      </c>
      <c r="H10" s="51">
        <v>5.39</v>
      </c>
      <c r="I10" s="51">
        <v>7.7</v>
      </c>
      <c r="J10" s="51">
        <v>7.3</v>
      </c>
      <c r="K10" s="51">
        <v>6.6</v>
      </c>
      <c r="L10" s="51">
        <v>10.5</v>
      </c>
      <c r="M10" s="51">
        <v>8.5</v>
      </c>
      <c r="N10" s="51">
        <v>9.1999999999999993</v>
      </c>
      <c r="O10" s="51">
        <v>7.5</v>
      </c>
      <c r="P10" s="51">
        <v>5.4</v>
      </c>
      <c r="Q10" s="51">
        <v>6.1</v>
      </c>
      <c r="R10" s="51">
        <v>6.3</v>
      </c>
      <c r="S10" s="51">
        <v>6.9</v>
      </c>
      <c r="T10" s="51">
        <v>7.9</v>
      </c>
      <c r="U10" s="51">
        <v>6</v>
      </c>
      <c r="V10" s="51">
        <v>5.3</v>
      </c>
      <c r="W10" s="51">
        <v>19.3</v>
      </c>
      <c r="X10" s="51">
        <v>11.4</v>
      </c>
      <c r="Y10" s="51">
        <v>16.2</v>
      </c>
      <c r="Z10" s="51">
        <v>5.9</v>
      </c>
      <c r="AA10" s="51">
        <v>5.4</v>
      </c>
      <c r="AB10" s="51">
        <v>5.2</v>
      </c>
      <c r="AC10" s="51">
        <v>14.2</v>
      </c>
      <c r="AD10" s="51">
        <v>7.2</v>
      </c>
      <c r="AE10" s="51">
        <v>6.1</v>
      </c>
      <c r="AF10" s="51">
        <v>6</v>
      </c>
      <c r="AG10" s="46">
        <f t="shared" si="0"/>
        <v>242.01</v>
      </c>
      <c r="AH10" s="48"/>
      <c r="AI10" s="48"/>
    </row>
    <row r="11" spans="1:35" s="44" customFormat="1" ht="18.75" customHeight="1" x14ac:dyDescent="0.35">
      <c r="A11" s="60" t="s">
        <v>152</v>
      </c>
      <c r="B11" s="51">
        <v>0.7</v>
      </c>
      <c r="C11" s="51">
        <v>0.4</v>
      </c>
      <c r="D11" s="51">
        <v>0.1</v>
      </c>
      <c r="E11" s="51">
        <v>0</v>
      </c>
      <c r="F11" s="51">
        <v>0</v>
      </c>
      <c r="G11" s="51">
        <v>0.2</v>
      </c>
      <c r="H11" s="51">
        <v>0.2</v>
      </c>
      <c r="I11" s="51">
        <v>0.2</v>
      </c>
      <c r="J11" s="51">
        <v>0.1</v>
      </c>
      <c r="K11" s="51">
        <v>0.1</v>
      </c>
      <c r="L11" s="51">
        <v>0</v>
      </c>
      <c r="M11" s="51">
        <v>0</v>
      </c>
      <c r="N11" s="51">
        <v>0.5</v>
      </c>
      <c r="O11" s="51">
        <v>0.3</v>
      </c>
      <c r="P11" s="51">
        <v>0.9</v>
      </c>
      <c r="Q11" s="51">
        <v>0.1</v>
      </c>
      <c r="R11" s="51">
        <v>0.1</v>
      </c>
      <c r="S11" s="51">
        <v>0.1</v>
      </c>
      <c r="T11" s="51">
        <v>0</v>
      </c>
      <c r="U11" s="51">
        <v>0</v>
      </c>
      <c r="V11" s="51">
        <v>0.1</v>
      </c>
      <c r="W11" s="51">
        <v>0.1</v>
      </c>
      <c r="X11" s="51">
        <v>0.1</v>
      </c>
      <c r="Y11" s="51">
        <v>0</v>
      </c>
      <c r="Z11" s="51">
        <v>0</v>
      </c>
      <c r="AA11" s="51">
        <v>0.9</v>
      </c>
      <c r="AB11" s="51">
        <v>0.9</v>
      </c>
      <c r="AC11" s="51">
        <v>0.5</v>
      </c>
      <c r="AD11" s="51">
        <v>0.2</v>
      </c>
      <c r="AE11" s="51">
        <v>0.1</v>
      </c>
      <c r="AF11" s="51">
        <v>0.1</v>
      </c>
      <c r="AG11" s="46">
        <f t="shared" si="0"/>
        <v>6.9999999999999991</v>
      </c>
      <c r="AH11" s="48"/>
      <c r="AI11" s="48"/>
    </row>
    <row r="12" spans="1:35" s="44" customFormat="1" ht="18.75" customHeight="1" x14ac:dyDescent="0.35">
      <c r="A12" s="60" t="s">
        <v>63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91</v>
      </c>
      <c r="B13" s="51">
        <v>1.5</v>
      </c>
      <c r="C13" s="51">
        <v>1.3</v>
      </c>
      <c r="D13" s="51">
        <v>1</v>
      </c>
      <c r="E13" s="51">
        <v>1.5</v>
      </c>
      <c r="F13" s="51">
        <v>1.3</v>
      </c>
      <c r="G13" s="51">
        <v>1.5</v>
      </c>
      <c r="H13" s="51">
        <v>1</v>
      </c>
      <c r="I13" s="51">
        <v>1.5</v>
      </c>
      <c r="J13" s="51">
        <v>1.3</v>
      </c>
      <c r="K13" s="51">
        <v>1.5</v>
      </c>
      <c r="L13" s="51">
        <v>1.3</v>
      </c>
      <c r="M13" s="51">
        <v>1.5</v>
      </c>
      <c r="N13" s="51">
        <v>1.3</v>
      </c>
      <c r="O13" s="51">
        <v>1.7</v>
      </c>
      <c r="P13" s="51">
        <v>2.6</v>
      </c>
      <c r="Q13" s="51">
        <v>1.5</v>
      </c>
      <c r="R13" s="51">
        <v>2.6</v>
      </c>
      <c r="S13" s="51">
        <v>1.3</v>
      </c>
      <c r="T13" s="51">
        <v>2.2999999999999998</v>
      </c>
      <c r="U13" s="51">
        <v>1.1000000000000001</v>
      </c>
      <c r="V13" s="51">
        <v>1.7</v>
      </c>
      <c r="W13" s="51">
        <v>1.3</v>
      </c>
      <c r="X13" s="51">
        <v>1.9</v>
      </c>
      <c r="Y13" s="51">
        <v>2</v>
      </c>
      <c r="Z13" s="51">
        <v>1.9</v>
      </c>
      <c r="AA13" s="51">
        <v>1.3</v>
      </c>
      <c r="AB13" s="51">
        <v>1.7</v>
      </c>
      <c r="AC13" s="51">
        <v>1.3</v>
      </c>
      <c r="AD13" s="51">
        <v>2.5</v>
      </c>
      <c r="AE13" s="51">
        <v>2.5</v>
      </c>
      <c r="AF13" s="51">
        <v>1.3</v>
      </c>
      <c r="AG13" s="46">
        <f t="shared" si="0"/>
        <v>50</v>
      </c>
      <c r="AH13" s="48"/>
      <c r="AI13" s="48"/>
    </row>
    <row r="14" spans="1:35" s="44" customFormat="1" ht="18.75" customHeight="1" x14ac:dyDescent="0.35">
      <c r="A14" s="60" t="s">
        <v>150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69</v>
      </c>
      <c r="B15" s="51">
        <v>2.2999999999999998</v>
      </c>
      <c r="C15" s="51">
        <v>2.2000000000000002</v>
      </c>
      <c r="D15" s="51">
        <v>2.1</v>
      </c>
      <c r="E15" s="51">
        <v>2.2000000000000002</v>
      </c>
      <c r="F15" s="51">
        <v>2</v>
      </c>
      <c r="G15" s="51">
        <v>2.2000000000000002</v>
      </c>
      <c r="H15" s="51">
        <v>2.2999999999999998</v>
      </c>
      <c r="I15" s="51">
        <v>2.4</v>
      </c>
      <c r="J15" s="51">
        <v>0</v>
      </c>
      <c r="K15" s="51">
        <v>0</v>
      </c>
      <c r="L15" s="51">
        <v>0</v>
      </c>
      <c r="M15" s="51">
        <v>0</v>
      </c>
      <c r="N15" s="51">
        <v>0</v>
      </c>
      <c r="O15" s="51">
        <v>0</v>
      </c>
      <c r="P15" s="51">
        <v>0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1">
        <v>0</v>
      </c>
      <c r="X15" s="51">
        <v>0</v>
      </c>
      <c r="Y15" s="51">
        <v>0</v>
      </c>
      <c r="Z15" s="51">
        <v>0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46">
        <f t="shared" si="0"/>
        <v>17.7</v>
      </c>
      <c r="AH15" s="48"/>
      <c r="AI15" s="48"/>
    </row>
    <row r="16" spans="1:35" s="44" customFormat="1" ht="18.75" customHeight="1" x14ac:dyDescent="0.35">
      <c r="A16" s="60" t="s">
        <v>71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72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85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194</v>
      </c>
      <c r="B19" s="51">
        <v>1</v>
      </c>
      <c r="C19" s="51">
        <v>1</v>
      </c>
      <c r="D19" s="51">
        <v>0.8</v>
      </c>
      <c r="E19" s="51">
        <v>0.9</v>
      </c>
      <c r="F19" s="51">
        <v>0.6</v>
      </c>
      <c r="G19" s="51">
        <v>0.9</v>
      </c>
      <c r="H19" s="51">
        <v>0.8</v>
      </c>
      <c r="I19" s="51">
        <v>0.9</v>
      </c>
      <c r="J19" s="51">
        <v>0.8</v>
      </c>
      <c r="K19" s="51">
        <v>1</v>
      </c>
      <c r="L19" s="51">
        <v>1</v>
      </c>
      <c r="M19" s="51">
        <v>1</v>
      </c>
      <c r="N19" s="51">
        <v>0.6</v>
      </c>
      <c r="O19" s="51">
        <v>1</v>
      </c>
      <c r="P19" s="51">
        <v>1.7</v>
      </c>
      <c r="Q19" s="51">
        <v>2.4</v>
      </c>
      <c r="R19" s="51">
        <v>1</v>
      </c>
      <c r="S19" s="52">
        <v>0.8</v>
      </c>
      <c r="T19" s="52">
        <v>0.8</v>
      </c>
      <c r="U19" s="52">
        <v>0.4</v>
      </c>
      <c r="V19" s="52">
        <v>1</v>
      </c>
      <c r="W19" s="52">
        <v>1.2</v>
      </c>
      <c r="X19" s="52">
        <v>0.9</v>
      </c>
      <c r="Y19" s="51">
        <v>0.9</v>
      </c>
      <c r="Z19" s="51">
        <v>0.9</v>
      </c>
      <c r="AA19" s="51">
        <v>1.5</v>
      </c>
      <c r="AB19" s="51">
        <v>1</v>
      </c>
      <c r="AC19" s="51">
        <v>1</v>
      </c>
      <c r="AD19" s="51">
        <v>0.4</v>
      </c>
      <c r="AE19" s="51">
        <v>3</v>
      </c>
      <c r="AF19" s="51">
        <v>0.3</v>
      </c>
      <c r="AG19" s="46">
        <f t="shared" si="0"/>
        <v>31.499999999999993</v>
      </c>
      <c r="AH19" s="48"/>
      <c r="AI19" s="48"/>
    </row>
    <row r="20" spans="1:35" s="44" customFormat="1" ht="18.75" customHeight="1" x14ac:dyDescent="0.35">
      <c r="A20" s="60" t="s">
        <v>73</v>
      </c>
      <c r="B20" s="51">
        <v>2.5</v>
      </c>
      <c r="C20" s="51">
        <v>1.7</v>
      </c>
      <c r="D20" s="51">
        <v>2.1</v>
      </c>
      <c r="E20" s="51">
        <v>1</v>
      </c>
      <c r="F20" s="51">
        <v>3.1</v>
      </c>
      <c r="G20" s="51">
        <v>6.3</v>
      </c>
      <c r="H20" s="51">
        <v>2.2999999999999998</v>
      </c>
      <c r="I20" s="51">
        <v>2.2000000000000002</v>
      </c>
      <c r="J20" s="51">
        <v>3.1</v>
      </c>
      <c r="K20" s="51">
        <v>2.6</v>
      </c>
      <c r="L20" s="51">
        <v>1.2</v>
      </c>
      <c r="M20" s="51">
        <v>3.1</v>
      </c>
      <c r="N20" s="51">
        <v>7.8</v>
      </c>
      <c r="O20" s="51">
        <v>3</v>
      </c>
      <c r="P20" s="51">
        <v>1.3</v>
      </c>
      <c r="Q20" s="51">
        <v>2.1</v>
      </c>
      <c r="R20" s="51">
        <v>3.1</v>
      </c>
      <c r="S20" s="51">
        <v>2.2999999999999998</v>
      </c>
      <c r="T20" s="51">
        <v>1.2</v>
      </c>
      <c r="U20" s="51">
        <v>7.9</v>
      </c>
      <c r="V20" s="51">
        <v>3.1</v>
      </c>
      <c r="W20" s="51">
        <v>2.2999999999999998</v>
      </c>
      <c r="X20" s="51">
        <v>1.2</v>
      </c>
      <c r="Y20" s="51">
        <v>3.1</v>
      </c>
      <c r="Z20" s="51">
        <v>1.1000000000000001</v>
      </c>
      <c r="AA20" s="51">
        <v>2.2999999999999998</v>
      </c>
      <c r="AB20" s="51">
        <v>8.1999999999999993</v>
      </c>
      <c r="AC20" s="51">
        <v>2.1</v>
      </c>
      <c r="AD20" s="51">
        <v>1.1000000000000001</v>
      </c>
      <c r="AE20" s="51">
        <v>0</v>
      </c>
      <c r="AF20" s="51">
        <v>0</v>
      </c>
      <c r="AG20" s="46">
        <f t="shared" si="0"/>
        <v>84.399999999999977</v>
      </c>
      <c r="AH20" s="48"/>
      <c r="AI20" s="48"/>
    </row>
    <row r="21" spans="1:35" s="44" customFormat="1" ht="18.75" customHeight="1" x14ac:dyDescent="0.35">
      <c r="A21" s="60" t="s">
        <v>92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89</v>
      </c>
      <c r="B22" s="51">
        <v>5.2</v>
      </c>
      <c r="C22" s="51">
        <v>7.5</v>
      </c>
      <c r="D22" s="51">
        <v>5.2</v>
      </c>
      <c r="E22" s="51">
        <v>7</v>
      </c>
      <c r="F22" s="51">
        <v>3.1</v>
      </c>
      <c r="G22" s="51">
        <v>4.5999999999999996</v>
      </c>
      <c r="H22" s="51">
        <v>4.3</v>
      </c>
      <c r="I22" s="51">
        <v>4.2</v>
      </c>
      <c r="J22" s="51">
        <v>5</v>
      </c>
      <c r="K22" s="51">
        <v>5.2</v>
      </c>
      <c r="L22" s="51">
        <v>1.5</v>
      </c>
      <c r="M22" s="51">
        <v>3.6</v>
      </c>
      <c r="N22" s="51">
        <v>4</v>
      </c>
      <c r="O22" s="51">
        <v>4.8</v>
      </c>
      <c r="P22" s="51">
        <v>3.9</v>
      </c>
      <c r="Q22" s="51">
        <v>3.9</v>
      </c>
      <c r="R22" s="51">
        <v>6</v>
      </c>
      <c r="S22" s="51">
        <v>4.5999999999999996</v>
      </c>
      <c r="T22" s="51">
        <v>3.3</v>
      </c>
      <c r="U22" s="51">
        <v>5.3</v>
      </c>
      <c r="V22" s="51">
        <v>3.4</v>
      </c>
      <c r="W22" s="51">
        <v>3.5</v>
      </c>
      <c r="X22" s="51">
        <v>3.9</v>
      </c>
      <c r="Y22" s="51">
        <v>4</v>
      </c>
      <c r="Z22" s="51">
        <v>1.5</v>
      </c>
      <c r="AA22" s="51">
        <v>3.3</v>
      </c>
      <c r="AB22" s="51">
        <v>3.8</v>
      </c>
      <c r="AC22" s="52">
        <v>5.2</v>
      </c>
      <c r="AD22" s="52">
        <v>4.8</v>
      </c>
      <c r="AE22" s="51">
        <v>4.2</v>
      </c>
      <c r="AF22" s="51">
        <v>6.3</v>
      </c>
      <c r="AG22" s="46">
        <f t="shared" si="0"/>
        <v>136.10000000000002</v>
      </c>
      <c r="AH22" s="48"/>
      <c r="AI22" s="48"/>
    </row>
    <row r="23" spans="1:35" s="44" customFormat="1" ht="18.75" customHeight="1" x14ac:dyDescent="0.35">
      <c r="A23" s="60" t="s">
        <v>74</v>
      </c>
      <c r="B23" s="51">
        <v>0.4</v>
      </c>
      <c r="C23" s="51">
        <v>1</v>
      </c>
      <c r="D23" s="51">
        <v>0.9</v>
      </c>
      <c r="E23" s="51">
        <v>0.7</v>
      </c>
      <c r="F23" s="51">
        <v>2.5</v>
      </c>
      <c r="G23" s="51">
        <v>0</v>
      </c>
      <c r="H23" s="51">
        <v>3</v>
      </c>
      <c r="I23" s="51">
        <v>3.5</v>
      </c>
      <c r="J23" s="51">
        <v>3.5</v>
      </c>
      <c r="K23" s="51">
        <v>3</v>
      </c>
      <c r="L23" s="51">
        <v>3.5</v>
      </c>
      <c r="M23" s="51">
        <v>2</v>
      </c>
      <c r="N23" s="51">
        <v>0</v>
      </c>
      <c r="O23" s="51">
        <v>5.5</v>
      </c>
      <c r="P23" s="51">
        <v>4.5999999999999996</v>
      </c>
      <c r="Q23" s="51">
        <v>0.95</v>
      </c>
      <c r="R23" s="51">
        <v>1.9</v>
      </c>
      <c r="S23" s="51">
        <v>1.6</v>
      </c>
      <c r="T23" s="51">
        <v>1</v>
      </c>
      <c r="U23" s="51">
        <v>3</v>
      </c>
      <c r="V23" s="51">
        <v>3.5</v>
      </c>
      <c r="W23" s="51">
        <v>2.5</v>
      </c>
      <c r="X23" s="51">
        <v>2.5</v>
      </c>
      <c r="Y23" s="51">
        <v>3.5</v>
      </c>
      <c r="Z23" s="51">
        <v>3</v>
      </c>
      <c r="AA23" s="51">
        <v>0</v>
      </c>
      <c r="AB23" s="51">
        <v>1.4</v>
      </c>
      <c r="AC23" s="51">
        <v>3.7</v>
      </c>
      <c r="AD23" s="51">
        <v>2.4500000000000002</v>
      </c>
      <c r="AE23" s="51">
        <v>1.4</v>
      </c>
      <c r="AF23" s="51">
        <v>1.7</v>
      </c>
      <c r="AG23" s="46">
        <f t="shared" si="0"/>
        <v>68.200000000000017</v>
      </c>
      <c r="AH23" s="48"/>
      <c r="AI23" s="48"/>
    </row>
    <row r="24" spans="1:35" s="44" customFormat="1" ht="18.75" customHeight="1" x14ac:dyDescent="0.35">
      <c r="A24" s="60" t="s">
        <v>75</v>
      </c>
      <c r="B24" s="51">
        <v>0.3</v>
      </c>
      <c r="C24" s="51">
        <v>0.2</v>
      </c>
      <c r="D24" s="51">
        <v>4</v>
      </c>
      <c r="E24" s="51">
        <v>0.3</v>
      </c>
      <c r="F24" s="51">
        <v>0.4</v>
      </c>
      <c r="G24" s="51">
        <v>0.6</v>
      </c>
      <c r="H24" s="51">
        <v>0.8</v>
      </c>
      <c r="I24" s="51">
        <v>1.6</v>
      </c>
      <c r="J24" s="51">
        <v>0.9</v>
      </c>
      <c r="K24" s="51">
        <v>0.6</v>
      </c>
      <c r="L24" s="51">
        <v>0.5</v>
      </c>
      <c r="M24" s="51">
        <v>3.1</v>
      </c>
      <c r="N24" s="51">
        <v>0.3</v>
      </c>
      <c r="O24" s="51">
        <v>0.4</v>
      </c>
      <c r="P24" s="51">
        <v>0.2</v>
      </c>
      <c r="Q24" s="51">
        <v>0.3</v>
      </c>
      <c r="R24" s="51">
        <v>0.3</v>
      </c>
      <c r="S24" s="51">
        <v>0.2</v>
      </c>
      <c r="T24" s="51">
        <v>0</v>
      </c>
      <c r="U24" s="51">
        <v>0</v>
      </c>
      <c r="V24" s="51">
        <v>1.5</v>
      </c>
      <c r="W24" s="51">
        <v>1.3</v>
      </c>
      <c r="X24" s="51">
        <v>1</v>
      </c>
      <c r="Y24" s="51">
        <v>1.2</v>
      </c>
      <c r="Z24" s="51">
        <v>0</v>
      </c>
      <c r="AA24" s="51">
        <v>0</v>
      </c>
      <c r="AB24" s="51">
        <v>0.3</v>
      </c>
      <c r="AC24" s="51">
        <v>0.2</v>
      </c>
      <c r="AD24" s="51">
        <v>0.3</v>
      </c>
      <c r="AE24" s="51">
        <v>3.1</v>
      </c>
      <c r="AF24" s="51">
        <v>2.1</v>
      </c>
      <c r="AG24" s="46">
        <f t="shared" si="0"/>
        <v>26.000000000000004</v>
      </c>
      <c r="AH24" s="48"/>
      <c r="AI24" s="48"/>
    </row>
    <row r="25" spans="1:35" s="44" customFormat="1" ht="18.75" customHeight="1" x14ac:dyDescent="0.35">
      <c r="A25" s="60" t="s">
        <v>77</v>
      </c>
      <c r="B25" s="51">
        <v>0</v>
      </c>
      <c r="C25" s="51">
        <v>0</v>
      </c>
      <c r="D25" s="51">
        <v>0</v>
      </c>
      <c r="E25" s="51">
        <v>0</v>
      </c>
      <c r="F25" s="51">
        <v>0</v>
      </c>
      <c r="G25" s="51">
        <v>0</v>
      </c>
      <c r="H25" s="51">
        <v>0</v>
      </c>
      <c r="I25" s="51">
        <v>0</v>
      </c>
      <c r="J25" s="51">
        <v>0</v>
      </c>
      <c r="K25" s="51">
        <v>0</v>
      </c>
      <c r="L25" s="51">
        <v>0</v>
      </c>
      <c r="M25" s="51">
        <v>0</v>
      </c>
      <c r="N25" s="51">
        <v>0</v>
      </c>
      <c r="O25" s="51">
        <v>0</v>
      </c>
      <c r="P25" s="51">
        <v>0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0</v>
      </c>
      <c r="AC25" s="51">
        <v>0</v>
      </c>
      <c r="AD25" s="51">
        <v>0</v>
      </c>
      <c r="AE25" s="51">
        <v>0</v>
      </c>
      <c r="AF25" s="51">
        <v>0</v>
      </c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1">
        <v>8.1999999999999993</v>
      </c>
      <c r="C26" s="51">
        <f>5.8+2.3</f>
        <v>8.1</v>
      </c>
      <c r="D26" s="51">
        <v>7.6</v>
      </c>
      <c r="E26" s="51">
        <v>4.2</v>
      </c>
      <c r="F26" s="51">
        <v>7.5</v>
      </c>
      <c r="G26" s="51">
        <v>6.9</v>
      </c>
      <c r="H26" s="51">
        <v>6.5</v>
      </c>
      <c r="I26" s="51">
        <v>5.5</v>
      </c>
      <c r="J26" s="51">
        <v>6.3</v>
      </c>
      <c r="K26" s="51">
        <v>6.5</v>
      </c>
      <c r="L26" s="51">
        <v>7.9</v>
      </c>
      <c r="M26" s="51">
        <v>5.9</v>
      </c>
      <c r="N26" s="51">
        <v>8.5</v>
      </c>
      <c r="O26" s="51">
        <v>8.9</v>
      </c>
      <c r="P26" s="51">
        <v>7.7</v>
      </c>
      <c r="Q26" s="51">
        <v>7.2</v>
      </c>
      <c r="R26" s="51">
        <v>5.9</v>
      </c>
      <c r="S26" s="51">
        <v>5.9</v>
      </c>
      <c r="T26" s="51">
        <v>7</v>
      </c>
      <c r="U26" s="51">
        <v>5.2</v>
      </c>
      <c r="V26" s="51">
        <v>7</v>
      </c>
      <c r="W26" s="51">
        <v>6.3</v>
      </c>
      <c r="X26" s="51">
        <v>6.7</v>
      </c>
      <c r="Y26" s="51">
        <v>3.9</v>
      </c>
      <c r="Z26" s="51">
        <v>5.9</v>
      </c>
      <c r="AA26" s="51">
        <v>6</v>
      </c>
      <c r="AB26" s="51">
        <v>6.3</v>
      </c>
      <c r="AC26" s="51">
        <v>5.3</v>
      </c>
      <c r="AD26" s="51">
        <v>6.1</v>
      </c>
      <c r="AE26" s="51">
        <v>5.7</v>
      </c>
      <c r="AF26" s="51">
        <v>6.3</v>
      </c>
      <c r="AG26" s="46">
        <f t="shared" si="0"/>
        <v>202.90000000000003</v>
      </c>
      <c r="AH26" s="48"/>
      <c r="AI26" s="48"/>
    </row>
    <row r="27" spans="1:35" s="44" customFormat="1" ht="18.75" customHeight="1" x14ac:dyDescent="0.35">
      <c r="A27" s="60" t="s">
        <v>79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1">
        <v>1</v>
      </c>
      <c r="C28" s="51">
        <v>1</v>
      </c>
      <c r="D28" s="51">
        <v>1</v>
      </c>
      <c r="E28" s="51">
        <v>0.8</v>
      </c>
      <c r="F28" s="51">
        <v>0.8</v>
      </c>
      <c r="G28" s="51">
        <v>1.5</v>
      </c>
      <c r="H28" s="51">
        <v>1.9</v>
      </c>
      <c r="I28" s="51">
        <v>1.5</v>
      </c>
      <c r="J28" s="51">
        <v>2</v>
      </c>
      <c r="K28" s="51">
        <v>0.8</v>
      </c>
      <c r="L28" s="51">
        <v>1.8</v>
      </c>
      <c r="M28" s="51">
        <v>0</v>
      </c>
      <c r="N28" s="51">
        <v>1.3</v>
      </c>
      <c r="O28" s="51">
        <v>1.1000000000000001</v>
      </c>
      <c r="P28" s="51">
        <v>1.3</v>
      </c>
      <c r="Q28" s="51">
        <v>1.1000000000000001</v>
      </c>
      <c r="R28" s="51">
        <v>1.4</v>
      </c>
      <c r="S28" s="51">
        <v>1.3</v>
      </c>
      <c r="T28" s="51">
        <v>0</v>
      </c>
      <c r="U28" s="51">
        <v>0</v>
      </c>
      <c r="V28" s="51">
        <v>1.9</v>
      </c>
      <c r="W28" s="51">
        <v>1.8</v>
      </c>
      <c r="X28" s="51">
        <v>1.9</v>
      </c>
      <c r="Y28" s="51">
        <v>1.8</v>
      </c>
      <c r="Z28" s="51">
        <v>1.8</v>
      </c>
      <c r="AA28" s="51">
        <v>0</v>
      </c>
      <c r="AB28" s="51">
        <v>1.5</v>
      </c>
      <c r="AC28" s="51">
        <v>1.1000000000000001</v>
      </c>
      <c r="AD28" s="51">
        <v>1.3</v>
      </c>
      <c r="AE28" s="51">
        <v>0.9</v>
      </c>
      <c r="AF28" s="51">
        <v>1.1000000000000001</v>
      </c>
      <c r="AG28" s="46">
        <f t="shared" si="0"/>
        <v>36.700000000000003</v>
      </c>
      <c r="AH28" s="48"/>
      <c r="AI28" s="48"/>
    </row>
    <row r="29" spans="1:35" s="44" customFormat="1" ht="18.75" customHeight="1" x14ac:dyDescent="0.35">
      <c r="A29" s="60" t="s">
        <v>80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76</v>
      </c>
      <c r="B30" s="51">
        <v>1.9</v>
      </c>
      <c r="C30" s="51">
        <v>0.9</v>
      </c>
      <c r="D30" s="51">
        <v>2</v>
      </c>
      <c r="E30" s="51">
        <v>1.4</v>
      </c>
      <c r="F30" s="51">
        <v>0.9</v>
      </c>
      <c r="G30" s="51">
        <v>0</v>
      </c>
      <c r="H30" s="51">
        <v>2.5</v>
      </c>
      <c r="I30" s="51">
        <v>1.7</v>
      </c>
      <c r="J30" s="51">
        <v>3</v>
      </c>
      <c r="K30" s="51">
        <v>2</v>
      </c>
      <c r="L30" s="51">
        <v>2</v>
      </c>
      <c r="M30" s="51">
        <v>2</v>
      </c>
      <c r="N30" s="51">
        <v>0</v>
      </c>
      <c r="O30" s="51">
        <v>1.1000000000000001</v>
      </c>
      <c r="P30" s="51">
        <v>2.6</v>
      </c>
      <c r="Q30" s="51">
        <v>1.65</v>
      </c>
      <c r="R30" s="51">
        <v>0.4</v>
      </c>
      <c r="S30" s="51">
        <v>1</v>
      </c>
      <c r="T30" s="51">
        <v>0.4</v>
      </c>
      <c r="U30" s="51">
        <v>2</v>
      </c>
      <c r="V30" s="51">
        <v>0.5</v>
      </c>
      <c r="W30" s="51">
        <v>0.3</v>
      </c>
      <c r="X30" s="51">
        <v>1.6</v>
      </c>
      <c r="Y30" s="51">
        <v>0</v>
      </c>
      <c r="Z30" s="51">
        <v>1.5</v>
      </c>
      <c r="AA30" s="51">
        <v>0</v>
      </c>
      <c r="AB30" s="51">
        <v>0.9</v>
      </c>
      <c r="AC30" s="51">
        <v>1.1000000000000001</v>
      </c>
      <c r="AD30" s="51">
        <v>0.9</v>
      </c>
      <c r="AE30" s="51">
        <v>0.7</v>
      </c>
      <c r="AF30" s="51">
        <v>0.35</v>
      </c>
      <c r="AG30" s="46">
        <f t="shared" si="0"/>
        <v>37.299999999999997</v>
      </c>
      <c r="AH30" s="48"/>
      <c r="AI30" s="48"/>
    </row>
    <row r="31" spans="1:35" s="44" customFormat="1" ht="18.75" customHeight="1" x14ac:dyDescent="0.35">
      <c r="A31" s="60" t="s">
        <v>81</v>
      </c>
      <c r="B31" s="51">
        <f>0.6+0.4+4.3+2.9+2</f>
        <v>10.199999999999999</v>
      </c>
      <c r="C31" s="51">
        <f>0.7+0.3+5.5+3.5+3.6</f>
        <v>13.6</v>
      </c>
      <c r="D31" s="51">
        <f>0.7+5.9+3.6+3.5</f>
        <v>13.700000000000001</v>
      </c>
      <c r="E31" s="51">
        <f>0.8+3.5+3+3.2</f>
        <v>10.5</v>
      </c>
      <c r="F31" s="51">
        <f>1.3+3.3+3.6+3.5</f>
        <v>11.7</v>
      </c>
      <c r="G31" s="51">
        <f>1.9+4.5+4.6+4</f>
        <v>15</v>
      </c>
      <c r="H31" s="51">
        <f>2+4.6+4.7+4.9</f>
        <v>16.200000000000003</v>
      </c>
      <c r="I31" s="51">
        <f>2.1+0.3+2.1+3.2+3.5</f>
        <v>11.2</v>
      </c>
      <c r="J31" s="51">
        <f>0.4+6.5+2.8+2</f>
        <v>11.7</v>
      </c>
      <c r="K31" s="51">
        <f>0.4+0.5+5+4.3+3.7</f>
        <v>13.899999999999999</v>
      </c>
      <c r="L31" s="51">
        <f>0.9+4.1+3.8+3.3</f>
        <v>12.100000000000001</v>
      </c>
      <c r="M31" s="51">
        <f>1.1+3.2+3.2+3</f>
        <v>10.5</v>
      </c>
      <c r="N31" s="51">
        <f>0.9+3.5+3.2+3.7</f>
        <v>11.3</v>
      </c>
      <c r="O31" s="51">
        <f>0.5+7.6+3.5+4.5</f>
        <v>16.100000000000001</v>
      </c>
      <c r="P31" s="51">
        <f>4.5+4+3.9+3.9+1.9</f>
        <v>18.2</v>
      </c>
      <c r="Q31" s="51">
        <f>0.5+0.8+2.7+3+4.1</f>
        <v>11.1</v>
      </c>
      <c r="R31" s="51">
        <f>0.5+2.8+2.7+3.1</f>
        <v>9.1</v>
      </c>
      <c r="S31" s="51">
        <f>0.8+3.8+3+3.1</f>
        <v>10.7</v>
      </c>
      <c r="T31" s="51">
        <f>0.8+2.9+3.9+4</f>
        <v>11.6</v>
      </c>
      <c r="U31" s="51">
        <f>0.7+5.9+3.5+3.5</f>
        <v>13.600000000000001</v>
      </c>
      <c r="V31" s="51">
        <f>0.7+4.9+4.3+3.5</f>
        <v>13.4</v>
      </c>
      <c r="W31" s="51">
        <f>0.8+3.5+3.6+3.2</f>
        <v>11.100000000000001</v>
      </c>
      <c r="X31" s="51">
        <f>0.7+2.5+2.5+2.5</f>
        <v>8.1999999999999993</v>
      </c>
      <c r="Y31" s="51">
        <f>0.7+2.3+2.7+3.5</f>
        <v>9.1999999999999993</v>
      </c>
      <c r="Z31" s="51">
        <f>0.7+2.3+2.7</f>
        <v>5.7</v>
      </c>
      <c r="AA31" s="51">
        <f>0.8+3.9+6.9+4.3</f>
        <v>15.900000000000002</v>
      </c>
      <c r="AB31" s="51">
        <f>0.7+7.3+6.4+5.9</f>
        <v>20.3</v>
      </c>
      <c r="AC31" s="51">
        <f>0.4+3.5+3.6+3.7</f>
        <v>11.2</v>
      </c>
      <c r="AD31" s="51">
        <f>0.5+4.3+4.3+4.5</f>
        <v>13.6</v>
      </c>
      <c r="AE31" s="51">
        <f>3.2+2.5+2.6+2.2</f>
        <v>10.5</v>
      </c>
      <c r="AF31" s="51">
        <f>0.8+2.5+3.3+3.4</f>
        <v>10</v>
      </c>
      <c r="AG31" s="46">
        <f t="shared" si="0"/>
        <v>381.09999999999997</v>
      </c>
      <c r="AH31" s="48"/>
      <c r="AI31" s="48"/>
    </row>
    <row r="32" spans="1:35" s="44" customFormat="1" ht="18.75" customHeight="1" x14ac:dyDescent="0.35">
      <c r="A32" s="60" t="s">
        <v>86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51">
        <f>7.55+9.5+8</f>
        <v>25.05</v>
      </c>
      <c r="C33" s="51">
        <f>4.3+5.5+9</f>
        <v>18.8</v>
      </c>
      <c r="D33" s="51">
        <f>9.4+10.5+7</f>
        <v>26.9</v>
      </c>
      <c r="E33" s="51">
        <f>8+9+4</f>
        <v>21</v>
      </c>
      <c r="F33" s="51">
        <f>3.2+3.4+2.1</f>
        <v>8.6999999999999993</v>
      </c>
      <c r="G33" s="51">
        <f>0</f>
        <v>0</v>
      </c>
      <c r="H33" s="51">
        <f>3.2+5.4+9.9</f>
        <v>18.5</v>
      </c>
      <c r="I33" s="51">
        <f>4.3+5.9+3</f>
        <v>13.2</v>
      </c>
      <c r="J33" s="51">
        <f>4.3+3.9+2.9</f>
        <v>11.1</v>
      </c>
      <c r="K33" s="51">
        <f>4.3+3.9+3.9</f>
        <v>12.1</v>
      </c>
      <c r="L33" s="51">
        <f>9+8+7</f>
        <v>24</v>
      </c>
      <c r="M33" s="51">
        <f>9.45+8+7</f>
        <v>24.45</v>
      </c>
      <c r="N33" s="51">
        <f>3.4+4.7</f>
        <v>8.1</v>
      </c>
      <c r="O33" s="51">
        <f>3.4+5.4</f>
        <v>8.8000000000000007</v>
      </c>
      <c r="P33" s="51">
        <f>4.2+5.1+3.4</f>
        <v>12.700000000000001</v>
      </c>
      <c r="Q33" s="143">
        <f>4.3+5.2+4.3</f>
        <v>13.8</v>
      </c>
      <c r="R33" s="51">
        <f>4.3+5.2+4.2</f>
        <v>13.7</v>
      </c>
      <c r="S33" s="51">
        <f>7.5+8.7+6</f>
        <v>22.2</v>
      </c>
      <c r="T33" s="51">
        <f>7+9+3</f>
        <v>19</v>
      </c>
      <c r="U33" s="51">
        <f>9.85+8+9</f>
        <v>26.85</v>
      </c>
      <c r="V33" s="51">
        <f>6.3+4.2+3</f>
        <v>13.5</v>
      </c>
      <c r="W33" s="51">
        <f>6.1+4.3+5.4</f>
        <v>15.799999999999999</v>
      </c>
      <c r="X33" s="51">
        <f>3.4+2.1+3.1</f>
        <v>8.6</v>
      </c>
      <c r="Y33" s="51">
        <f>6.9+4+3</f>
        <v>13.9</v>
      </c>
      <c r="Z33" s="51">
        <f>7+8+6</f>
        <v>21</v>
      </c>
      <c r="AA33" s="51">
        <f>7.5+8.9+6.9</f>
        <v>23.299999999999997</v>
      </c>
      <c r="AB33" s="51">
        <f>7+8.9</f>
        <v>15.9</v>
      </c>
      <c r="AC33" s="51">
        <f>9+8.7</f>
        <v>17.7</v>
      </c>
      <c r="AD33" s="51">
        <f>6+4.5</f>
        <v>10.5</v>
      </c>
      <c r="AE33" s="51">
        <f>3.4+5.1</f>
        <v>8.5</v>
      </c>
      <c r="AF33" s="51">
        <f>4.9+5.9+4.9</f>
        <v>15.700000000000001</v>
      </c>
      <c r="AG33" s="46">
        <f>SUM(B33:AF33)</f>
        <v>493.34999999999997</v>
      </c>
      <c r="AH33" s="48"/>
      <c r="AI33" s="48"/>
    </row>
    <row r="34" spans="1:35" s="44" customFormat="1" ht="18.75" customHeight="1" x14ac:dyDescent="0.35">
      <c r="A34" s="60" t="s">
        <v>178</v>
      </c>
      <c r="B34" s="51">
        <v>0.9</v>
      </c>
      <c r="C34" s="51">
        <v>0.7</v>
      </c>
      <c r="D34" s="51">
        <v>0.8</v>
      </c>
      <c r="E34" s="51">
        <v>0.5</v>
      </c>
      <c r="F34" s="51">
        <v>0.8</v>
      </c>
      <c r="G34" s="51">
        <v>0.3</v>
      </c>
      <c r="H34" s="51">
        <v>0.6</v>
      </c>
      <c r="I34" s="51">
        <v>0.7</v>
      </c>
      <c r="J34" s="51">
        <v>0.3</v>
      </c>
      <c r="K34" s="51">
        <v>0.4</v>
      </c>
      <c r="L34" s="51">
        <v>1.1000000000000001</v>
      </c>
      <c r="M34" s="51">
        <v>1</v>
      </c>
      <c r="N34" s="51">
        <v>0.9</v>
      </c>
      <c r="O34" s="51">
        <v>0.5</v>
      </c>
      <c r="P34" s="51">
        <v>0.2</v>
      </c>
      <c r="Q34" s="51">
        <v>0.5</v>
      </c>
      <c r="R34" s="51">
        <v>0.4</v>
      </c>
      <c r="S34" s="51">
        <v>0.6</v>
      </c>
      <c r="T34" s="51">
        <v>0.3</v>
      </c>
      <c r="U34" s="51">
        <v>0.4</v>
      </c>
      <c r="V34" s="51">
        <v>0.3</v>
      </c>
      <c r="W34" s="51">
        <v>0.6</v>
      </c>
      <c r="X34" s="51">
        <v>0.8</v>
      </c>
      <c r="Y34" s="51">
        <v>0.3</v>
      </c>
      <c r="Z34" s="51">
        <v>0.6</v>
      </c>
      <c r="AA34" s="51">
        <v>0.3</v>
      </c>
      <c r="AB34" s="51">
        <v>0.5</v>
      </c>
      <c r="AC34" s="51">
        <v>1</v>
      </c>
      <c r="AD34" s="51">
        <v>1</v>
      </c>
      <c r="AE34" s="51">
        <v>0.8</v>
      </c>
      <c r="AF34" s="51">
        <v>1</v>
      </c>
      <c r="AG34" s="46">
        <f>SUM(B34:AF34)</f>
        <v>19.100000000000005</v>
      </c>
      <c r="AH34" s="48"/>
      <c r="AI34" s="48"/>
    </row>
    <row r="35" spans="1:35" s="44" customFormat="1" ht="18.75" customHeight="1" x14ac:dyDescent="0.35">
      <c r="A35" s="60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46"/>
      <c r="AH35" s="48"/>
      <c r="AI35" s="48"/>
    </row>
    <row r="36" spans="1:35" s="44" customFormat="1" ht="18.75" customHeight="1" x14ac:dyDescent="0.35">
      <c r="A36" s="60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46"/>
      <c r="AH36" s="48"/>
      <c r="AI36" s="48"/>
    </row>
    <row r="37" spans="1:35" s="44" customFormat="1" ht="18.75" customHeight="1" x14ac:dyDescent="0.35">
      <c r="A37" s="59" t="s">
        <v>155</v>
      </c>
      <c r="B37" s="51">
        <f>SUM(B3:B34)</f>
        <v>81.449999999999989</v>
      </c>
      <c r="C37" s="51">
        <f t="shared" ref="C37:AF37" si="1">SUM(C3:C34)</f>
        <v>82.4</v>
      </c>
      <c r="D37" s="51">
        <f t="shared" si="1"/>
        <v>94.7</v>
      </c>
      <c r="E37" s="51">
        <f t="shared" si="1"/>
        <v>67.900000000000006</v>
      </c>
      <c r="F37" s="51">
        <f t="shared" si="1"/>
        <v>56.5</v>
      </c>
      <c r="G37" s="51">
        <f t="shared" si="1"/>
        <v>63.22</v>
      </c>
      <c r="H37" s="51">
        <f t="shared" si="1"/>
        <v>80.69</v>
      </c>
      <c r="I37" s="51">
        <f t="shared" si="1"/>
        <v>74.600000000000009</v>
      </c>
      <c r="J37" s="51">
        <f t="shared" si="1"/>
        <v>71.299999999999983</v>
      </c>
      <c r="K37" s="51">
        <f t="shared" si="1"/>
        <v>70.2</v>
      </c>
      <c r="L37" s="51">
        <f t="shared" si="1"/>
        <v>79.099999999999994</v>
      </c>
      <c r="M37" s="51">
        <f t="shared" si="1"/>
        <v>73.850000000000009</v>
      </c>
      <c r="N37" s="51">
        <f t="shared" si="1"/>
        <v>67.199999999999989</v>
      </c>
      <c r="O37" s="51">
        <f t="shared" si="1"/>
        <v>76.2</v>
      </c>
      <c r="P37" s="51">
        <f t="shared" si="1"/>
        <v>75.900000000000006</v>
      </c>
      <c r="Q37" s="51">
        <f t="shared" si="1"/>
        <v>71.400000000000006</v>
      </c>
      <c r="R37" s="51">
        <f t="shared" si="1"/>
        <v>65.7</v>
      </c>
      <c r="S37" s="51">
        <f t="shared" si="1"/>
        <v>69.400000000000006</v>
      </c>
      <c r="T37" s="51">
        <f t="shared" si="1"/>
        <v>62.8</v>
      </c>
      <c r="U37" s="51">
        <f t="shared" si="1"/>
        <v>81.350000000000009</v>
      </c>
      <c r="V37" s="51">
        <f t="shared" si="1"/>
        <v>68.599999999999994</v>
      </c>
      <c r="W37" s="51">
        <f t="shared" si="1"/>
        <v>88.499999999999986</v>
      </c>
      <c r="X37" s="51">
        <f t="shared" si="1"/>
        <v>70.199999999999989</v>
      </c>
      <c r="Y37" s="51">
        <f t="shared" si="1"/>
        <v>78.400000000000006</v>
      </c>
      <c r="Z37" s="51">
        <f t="shared" si="1"/>
        <v>72</v>
      </c>
      <c r="AA37" s="51">
        <f t="shared" si="1"/>
        <v>76.7</v>
      </c>
      <c r="AB37" s="51">
        <f t="shared" si="1"/>
        <v>86.6</v>
      </c>
      <c r="AC37" s="51">
        <f t="shared" si="1"/>
        <v>87.600000000000009</v>
      </c>
      <c r="AD37" s="51">
        <f t="shared" si="1"/>
        <v>75.849999999999994</v>
      </c>
      <c r="AE37" s="51">
        <f t="shared" si="1"/>
        <v>77.900000000000006</v>
      </c>
      <c r="AF37" s="51">
        <f t="shared" si="1"/>
        <v>79.75</v>
      </c>
      <c r="AG37" s="56">
        <f>SUM(B37:AF37)</f>
        <v>2327.9600000000005</v>
      </c>
      <c r="AH37" s="57"/>
      <c r="AI37" s="57"/>
    </row>
    <row r="38" spans="1:35" s="2" customFormat="1" x14ac:dyDescent="0.25">
      <c r="AG38" s="24">
        <f>SUM(AG3:AG33)</f>
        <v>2308.86</v>
      </c>
    </row>
    <row r="39" spans="1:35" s="2" customFormat="1" x14ac:dyDescent="0.25"/>
    <row r="40" spans="1:35" s="2" customFormat="1" x14ac:dyDescent="0.25"/>
  </sheetData>
  <mergeCells count="1">
    <mergeCell ref="A1:AG1"/>
  </mergeCells>
  <conditionalFormatting sqref="AG37">
    <cfRule type="cellIs" dxfId="109" priority="2" operator="equal">
      <formula>$AG$38</formula>
    </cfRule>
  </conditionalFormatting>
  <conditionalFormatting sqref="AG38">
    <cfRule type="cellIs" dxfId="108" priority="1" operator="equal">
      <formula>$AG$37</formula>
    </cfRule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2" width="8" customWidth="1"/>
    <col min="3" max="32" width="7.42578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Q9" s="51"/>
      <c r="R9" s="51"/>
      <c r="S9" s="51"/>
      <c r="T9" s="51"/>
      <c r="U9" s="51"/>
      <c r="V9" s="51"/>
      <c r="W9" s="51"/>
      <c r="X9" s="51"/>
      <c r="Y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63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91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150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69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71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72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85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194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2"/>
      <c r="T19" s="52"/>
      <c r="U19" s="52"/>
      <c r="V19" s="52"/>
      <c r="W19" s="52"/>
      <c r="X19" s="52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73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92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89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2"/>
      <c r="AD22" s="52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74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75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77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79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81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143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>SUM(B33:AF33)</f>
        <v>0</v>
      </c>
      <c r="AH33" s="48"/>
      <c r="AI33" s="48"/>
    </row>
    <row r="34" spans="1:35" s="44" customFormat="1" ht="18.75" customHeight="1" x14ac:dyDescent="0.35">
      <c r="A34" s="60" t="s">
        <v>178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6">
        <f>SUM(B34:AF34)</f>
        <v>0</v>
      </c>
      <c r="AH34" s="48"/>
      <c r="AI34" s="48"/>
    </row>
    <row r="35" spans="1:35" s="44" customFormat="1" ht="18.75" customHeight="1" x14ac:dyDescent="0.35">
      <c r="A35" s="60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46"/>
      <c r="AH35" s="48"/>
      <c r="AI35" s="48"/>
    </row>
    <row r="36" spans="1:35" s="44" customFormat="1" ht="18.75" customHeight="1" x14ac:dyDescent="0.35">
      <c r="A36" s="60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46"/>
      <c r="AH36" s="48"/>
      <c r="AI36" s="48"/>
    </row>
    <row r="37" spans="1:35" s="44" customFormat="1" ht="18.75" customHeight="1" x14ac:dyDescent="0.35">
      <c r="A37" s="59" t="s">
        <v>155</v>
      </c>
      <c r="B37" s="51">
        <f>SUM(B3:B34)</f>
        <v>0</v>
      </c>
      <c r="C37" s="51">
        <f t="shared" ref="C37:AF37" si="1">SUM(C3:C34)</f>
        <v>0</v>
      </c>
      <c r="D37" s="51">
        <f t="shared" si="1"/>
        <v>0</v>
      </c>
      <c r="E37" s="51">
        <f t="shared" si="1"/>
        <v>0</v>
      </c>
      <c r="F37" s="51">
        <f t="shared" si="1"/>
        <v>0</v>
      </c>
      <c r="G37" s="51">
        <f t="shared" si="1"/>
        <v>0</v>
      </c>
      <c r="H37" s="51">
        <f t="shared" si="1"/>
        <v>0</v>
      </c>
      <c r="I37" s="51">
        <f t="shared" si="1"/>
        <v>0</v>
      </c>
      <c r="J37" s="51">
        <f t="shared" si="1"/>
        <v>0</v>
      </c>
      <c r="K37" s="51">
        <f t="shared" si="1"/>
        <v>0</v>
      </c>
      <c r="L37" s="51">
        <f t="shared" si="1"/>
        <v>0</v>
      </c>
      <c r="M37" s="51">
        <f t="shared" si="1"/>
        <v>0</v>
      </c>
      <c r="N37" s="51">
        <f t="shared" si="1"/>
        <v>0</v>
      </c>
      <c r="O37" s="51">
        <f t="shared" si="1"/>
        <v>0</v>
      </c>
      <c r="P37" s="51">
        <f t="shared" si="1"/>
        <v>0</v>
      </c>
      <c r="Q37" s="51">
        <f t="shared" si="1"/>
        <v>0</v>
      </c>
      <c r="R37" s="51">
        <f t="shared" si="1"/>
        <v>0</v>
      </c>
      <c r="S37" s="51">
        <f t="shared" si="1"/>
        <v>0</v>
      </c>
      <c r="T37" s="51">
        <f t="shared" si="1"/>
        <v>0</v>
      </c>
      <c r="U37" s="51">
        <f t="shared" si="1"/>
        <v>0</v>
      </c>
      <c r="V37" s="51">
        <f t="shared" si="1"/>
        <v>0</v>
      </c>
      <c r="W37" s="51">
        <f t="shared" si="1"/>
        <v>0</v>
      </c>
      <c r="X37" s="51">
        <f t="shared" si="1"/>
        <v>0</v>
      </c>
      <c r="Y37" s="51">
        <f t="shared" si="1"/>
        <v>0</v>
      </c>
      <c r="Z37" s="51">
        <f t="shared" si="1"/>
        <v>0</v>
      </c>
      <c r="AA37" s="51">
        <f t="shared" si="1"/>
        <v>0</v>
      </c>
      <c r="AB37" s="51">
        <f t="shared" si="1"/>
        <v>0</v>
      </c>
      <c r="AC37" s="51">
        <f t="shared" si="1"/>
        <v>0</v>
      </c>
      <c r="AD37" s="51">
        <f t="shared" si="1"/>
        <v>0</v>
      </c>
      <c r="AE37" s="51">
        <f t="shared" si="1"/>
        <v>0</v>
      </c>
      <c r="AF37" s="51">
        <f t="shared" si="1"/>
        <v>0</v>
      </c>
      <c r="AG37" s="56">
        <f>SUM(B37:AF37)</f>
        <v>0</v>
      </c>
      <c r="AH37" s="57"/>
      <c r="AI37" s="57"/>
    </row>
    <row r="38" spans="1:35" s="2" customFormat="1" x14ac:dyDescent="0.25">
      <c r="AG38" s="24">
        <f>SUM(AG3:AG33)</f>
        <v>0</v>
      </c>
    </row>
    <row r="39" spans="1:35" s="2" customFormat="1" x14ac:dyDescent="0.25"/>
    <row r="40" spans="1:35" s="2" customFormat="1" x14ac:dyDescent="0.25"/>
  </sheetData>
  <mergeCells count="1">
    <mergeCell ref="A1:AG1"/>
  </mergeCells>
  <conditionalFormatting sqref="AG37">
    <cfRule type="cellIs" dxfId="107" priority="2" operator="equal">
      <formula>$AG$38</formula>
    </cfRule>
  </conditionalFormatting>
  <conditionalFormatting sqref="AG38">
    <cfRule type="cellIs" dxfId="106" priority="1" operator="equal">
      <formula>$AG$37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10" width="7.85546875" customWidth="1"/>
    <col min="11" max="11" width="9.42578125" customWidth="1"/>
    <col min="12" max="32" width="7.85546875" customWidth="1"/>
    <col min="33" max="33" width="13.570312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>
        <v>2</v>
      </c>
      <c r="C3" s="49">
        <v>1.5</v>
      </c>
      <c r="D3" s="49">
        <v>3.5</v>
      </c>
      <c r="E3" s="49">
        <v>2.5</v>
      </c>
      <c r="F3" s="49">
        <v>3.5</v>
      </c>
      <c r="G3" s="49">
        <v>2.5</v>
      </c>
      <c r="H3" s="49">
        <v>3.2</v>
      </c>
      <c r="I3" s="50">
        <v>1.5</v>
      </c>
      <c r="J3" s="49">
        <v>2.5</v>
      </c>
      <c r="K3" s="50">
        <v>3</v>
      </c>
      <c r="L3" s="49">
        <v>3.8</v>
      </c>
      <c r="M3" s="50">
        <v>4</v>
      </c>
      <c r="N3" s="49">
        <v>3.2</v>
      </c>
      <c r="O3" s="49">
        <v>1.5</v>
      </c>
      <c r="P3" s="50">
        <v>1</v>
      </c>
      <c r="Q3" s="49">
        <v>3.4</v>
      </c>
      <c r="R3" s="49">
        <v>2.1</v>
      </c>
      <c r="S3" s="50">
        <v>2.8</v>
      </c>
      <c r="T3" s="50">
        <v>3.7</v>
      </c>
      <c r="U3" s="50">
        <v>4.5</v>
      </c>
      <c r="V3" s="50">
        <v>4</v>
      </c>
      <c r="W3" s="49">
        <v>3</v>
      </c>
      <c r="X3" s="49">
        <v>3.2</v>
      </c>
      <c r="Y3" s="49">
        <v>3.7</v>
      </c>
      <c r="Z3" s="49">
        <v>3.8</v>
      </c>
      <c r="AA3" s="49">
        <v>4</v>
      </c>
      <c r="AB3" s="49">
        <v>2</v>
      </c>
      <c r="AC3" s="49">
        <v>2.5</v>
      </c>
      <c r="AD3" s="49">
        <v>3</v>
      </c>
      <c r="AE3" s="49">
        <v>3.5</v>
      </c>
      <c r="AF3" s="49">
        <v>0</v>
      </c>
      <c r="AG3" s="46">
        <f t="shared" ref="AG3:AG32" si="0">SUM(B3:AF3)</f>
        <v>88.4</v>
      </c>
      <c r="AH3" s="47"/>
      <c r="AI3" s="48"/>
    </row>
    <row r="4" spans="1:35" s="44" customFormat="1" ht="18.75" customHeight="1" x14ac:dyDescent="0.35">
      <c r="A4" s="60" t="s">
        <v>193</v>
      </c>
      <c r="B4" s="49"/>
      <c r="C4" s="49"/>
      <c r="D4" s="49"/>
      <c r="E4" s="49"/>
      <c r="F4" s="49"/>
      <c r="G4" s="49"/>
      <c r="H4" s="49"/>
      <c r="I4" s="50"/>
      <c r="J4" s="49"/>
      <c r="K4" s="50"/>
      <c r="L4" s="49"/>
      <c r="M4" s="50"/>
      <c r="N4" s="49"/>
      <c r="O4" s="49"/>
      <c r="P4" s="50"/>
      <c r="Q4" s="49"/>
      <c r="R4" s="49"/>
      <c r="S4" s="50"/>
      <c r="T4" s="50"/>
      <c r="U4" s="50"/>
      <c r="V4" s="50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>
        <v>0</v>
      </c>
      <c r="C5" s="51">
        <v>1.5</v>
      </c>
      <c r="D5" s="51">
        <v>0.3</v>
      </c>
      <c r="E5" s="51">
        <f>0.2+2</f>
        <v>2.2000000000000002</v>
      </c>
      <c r="F5" s="51">
        <f>0.5+0.9</f>
        <v>1.4</v>
      </c>
      <c r="G5" s="51">
        <f>0.4+0.9</f>
        <v>1.3</v>
      </c>
      <c r="H5" s="51">
        <v>2.1</v>
      </c>
      <c r="I5" s="51">
        <v>0</v>
      </c>
      <c r="J5" s="51">
        <v>0</v>
      </c>
      <c r="K5" s="51">
        <v>3</v>
      </c>
      <c r="L5" s="51">
        <v>3</v>
      </c>
      <c r="M5" s="51">
        <v>2.5</v>
      </c>
      <c r="N5" s="51">
        <v>0.3</v>
      </c>
      <c r="O5" s="51">
        <v>2</v>
      </c>
      <c r="P5" s="51">
        <v>0</v>
      </c>
      <c r="Q5" s="51">
        <v>2.2999999999999998</v>
      </c>
      <c r="R5" s="51">
        <v>0.4</v>
      </c>
      <c r="S5" s="51">
        <v>0.9</v>
      </c>
      <c r="T5" s="51">
        <v>2.2000000000000002</v>
      </c>
      <c r="U5" s="51">
        <v>2.5</v>
      </c>
      <c r="V5" s="51">
        <v>2.9</v>
      </c>
      <c r="W5" s="51">
        <v>0</v>
      </c>
      <c r="X5" s="51">
        <v>2.1</v>
      </c>
      <c r="Y5" s="51">
        <v>4.2</v>
      </c>
      <c r="Z5" s="51">
        <v>1.3</v>
      </c>
      <c r="AA5" s="51">
        <v>0.8</v>
      </c>
      <c r="AB5" s="51">
        <v>1</v>
      </c>
      <c r="AC5" s="51">
        <v>0.3</v>
      </c>
      <c r="AD5" s="51">
        <v>0</v>
      </c>
      <c r="AE5" s="51">
        <v>0.3</v>
      </c>
      <c r="AF5" s="51">
        <v>0.2</v>
      </c>
      <c r="AG5" s="46">
        <f t="shared" si="0"/>
        <v>40.999999999999993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>
        <v>0</v>
      </c>
      <c r="C8" s="51">
        <v>2.5</v>
      </c>
      <c r="D8" s="51">
        <v>0.9</v>
      </c>
      <c r="E8" s="51">
        <v>0.4</v>
      </c>
      <c r="F8" s="51">
        <v>1</v>
      </c>
      <c r="G8" s="51">
        <v>0</v>
      </c>
      <c r="H8" s="51">
        <v>0</v>
      </c>
      <c r="I8" s="51">
        <v>0</v>
      </c>
      <c r="J8" s="51">
        <v>0.9</v>
      </c>
      <c r="K8" s="51">
        <v>0</v>
      </c>
      <c r="L8" s="51">
        <v>0</v>
      </c>
      <c r="M8" s="51">
        <v>0</v>
      </c>
      <c r="N8" s="51">
        <v>0</v>
      </c>
      <c r="O8" s="51">
        <v>0.1</v>
      </c>
      <c r="P8" s="51">
        <v>0</v>
      </c>
      <c r="Q8" s="51">
        <v>0</v>
      </c>
      <c r="R8" s="51">
        <v>0.2</v>
      </c>
      <c r="S8" s="51">
        <v>0.6</v>
      </c>
      <c r="T8" s="51">
        <v>0</v>
      </c>
      <c r="U8" s="51">
        <v>0.4</v>
      </c>
      <c r="V8" s="51">
        <v>0.5</v>
      </c>
      <c r="W8" s="51">
        <v>0.2</v>
      </c>
      <c r="X8" s="51">
        <v>0.2</v>
      </c>
      <c r="Y8" s="51">
        <v>0</v>
      </c>
      <c r="Z8" s="51">
        <v>0.3</v>
      </c>
      <c r="AA8" s="51">
        <v>0.6</v>
      </c>
      <c r="AB8" s="51">
        <v>0</v>
      </c>
      <c r="AC8" s="51">
        <v>0</v>
      </c>
      <c r="AD8" s="51">
        <v>0</v>
      </c>
      <c r="AE8" s="51">
        <v>0.1</v>
      </c>
      <c r="AF8" s="51">
        <v>0.3</v>
      </c>
      <c r="AG8" s="46">
        <f t="shared" si="0"/>
        <v>9.2000000000000011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>
        <v>7.1</v>
      </c>
      <c r="C10" s="51">
        <v>5.4</v>
      </c>
      <c r="D10" s="51">
        <v>6.1</v>
      </c>
      <c r="E10" s="51">
        <v>7.3</v>
      </c>
      <c r="F10" s="51">
        <v>6.4</v>
      </c>
      <c r="G10" s="51">
        <v>9.3000000000000007</v>
      </c>
      <c r="H10" s="51">
        <v>5.4</v>
      </c>
      <c r="I10" s="51">
        <v>3.4</v>
      </c>
      <c r="J10" s="51">
        <v>6.2</v>
      </c>
      <c r="K10" s="51">
        <v>5.3</v>
      </c>
      <c r="L10" s="51">
        <v>6.2</v>
      </c>
      <c r="M10" s="51">
        <f>2.8+0.35</f>
        <v>3.15</v>
      </c>
      <c r="N10" s="51">
        <v>6.15</v>
      </c>
      <c r="O10" s="51">
        <v>1</v>
      </c>
      <c r="P10" s="51">
        <v>5.4</v>
      </c>
      <c r="Q10" s="51">
        <v>3.9</v>
      </c>
      <c r="R10" s="51">
        <v>7.1</v>
      </c>
      <c r="S10" s="51">
        <v>5.0999999999999996</v>
      </c>
      <c r="T10" s="51">
        <v>6.1</v>
      </c>
      <c r="U10" s="51">
        <v>7.1</v>
      </c>
      <c r="V10" s="51">
        <v>6.3</v>
      </c>
      <c r="W10" s="51">
        <v>5.0999999999999996</v>
      </c>
      <c r="X10" s="51">
        <v>2.2999999999999998</v>
      </c>
      <c r="Y10" s="51">
        <v>4.2</v>
      </c>
      <c r="Z10" s="51">
        <v>7.1</v>
      </c>
      <c r="AA10" s="51">
        <v>7.11</v>
      </c>
      <c r="AB10" s="51">
        <v>6.2</v>
      </c>
      <c r="AC10" s="51">
        <v>7.1</v>
      </c>
      <c r="AD10" s="51">
        <v>6.5</v>
      </c>
      <c r="AE10" s="51">
        <v>5.0999999999999996</v>
      </c>
      <c r="AF10" s="51">
        <v>3.2</v>
      </c>
      <c r="AG10" s="46">
        <f t="shared" si="0"/>
        <v>173.30999999999997</v>
      </c>
      <c r="AH10" s="48"/>
      <c r="AI10" s="48"/>
    </row>
    <row r="11" spans="1:35" s="44" customFormat="1" ht="18.75" customHeight="1" x14ac:dyDescent="0.35">
      <c r="A11" s="60" t="s">
        <v>152</v>
      </c>
      <c r="B11" s="49">
        <v>0</v>
      </c>
      <c r="C11" s="51">
        <v>0</v>
      </c>
      <c r="D11" s="51">
        <v>0</v>
      </c>
      <c r="E11" s="51">
        <v>3.5</v>
      </c>
      <c r="F11" s="51">
        <v>0</v>
      </c>
      <c r="G11" s="51">
        <v>0</v>
      </c>
      <c r="H11" s="51">
        <v>2.1</v>
      </c>
      <c r="I11" s="51">
        <v>0</v>
      </c>
      <c r="J11" s="51">
        <v>0</v>
      </c>
      <c r="K11" s="51">
        <v>1.5</v>
      </c>
      <c r="L11" s="51">
        <v>0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2</v>
      </c>
      <c r="S11" s="51">
        <v>7.5</v>
      </c>
      <c r="T11" s="51">
        <v>0.5</v>
      </c>
      <c r="U11" s="51">
        <v>0</v>
      </c>
      <c r="V11" s="51">
        <v>0</v>
      </c>
      <c r="W11" s="51">
        <v>0</v>
      </c>
      <c r="X11" s="51">
        <v>1</v>
      </c>
      <c r="Y11" s="51">
        <v>1</v>
      </c>
      <c r="Z11" s="51">
        <v>0</v>
      </c>
      <c r="AA11" s="51">
        <v>5</v>
      </c>
      <c r="AB11" s="51">
        <v>3</v>
      </c>
      <c r="AC11" s="51">
        <v>0</v>
      </c>
      <c r="AD11" s="51">
        <v>0</v>
      </c>
      <c r="AE11" s="51">
        <v>0</v>
      </c>
      <c r="AF11" s="51">
        <v>3.1</v>
      </c>
      <c r="AG11" s="46">
        <f t="shared" si="0"/>
        <v>30.200000000000003</v>
      </c>
      <c r="AH11" s="48"/>
      <c r="AI11" s="48"/>
    </row>
    <row r="12" spans="1:35" s="44" customFormat="1" ht="18.75" customHeight="1" x14ac:dyDescent="0.35">
      <c r="A12" s="60" t="s">
        <v>91</v>
      </c>
      <c r="B12" s="49">
        <v>1.5</v>
      </c>
      <c r="C12" s="51">
        <v>1</v>
      </c>
      <c r="D12" s="51">
        <v>0</v>
      </c>
      <c r="E12" s="51">
        <v>1.3</v>
      </c>
      <c r="F12" s="51">
        <v>1.1000000000000001</v>
      </c>
      <c r="G12" s="51">
        <v>1</v>
      </c>
      <c r="H12" s="51">
        <v>0</v>
      </c>
      <c r="I12" s="51">
        <v>1.3</v>
      </c>
      <c r="J12" s="51">
        <v>1</v>
      </c>
      <c r="K12" s="51">
        <v>1.1000000000000001</v>
      </c>
      <c r="L12" s="51">
        <v>1.3</v>
      </c>
      <c r="M12" s="51">
        <v>0</v>
      </c>
      <c r="N12" s="51">
        <v>1.5</v>
      </c>
      <c r="O12" s="51">
        <v>0</v>
      </c>
      <c r="P12" s="51">
        <v>1.3</v>
      </c>
      <c r="Q12" s="51">
        <v>1</v>
      </c>
      <c r="R12" s="51">
        <v>0</v>
      </c>
      <c r="S12" s="51">
        <v>0</v>
      </c>
      <c r="T12" s="51">
        <v>0</v>
      </c>
      <c r="U12" s="51">
        <v>1</v>
      </c>
      <c r="V12" s="51">
        <v>1.3</v>
      </c>
      <c r="W12" s="51">
        <v>0</v>
      </c>
      <c r="X12" s="51">
        <v>0</v>
      </c>
      <c r="Y12" s="51">
        <v>0</v>
      </c>
      <c r="Z12" s="51">
        <v>0</v>
      </c>
      <c r="AA12" s="51">
        <v>3</v>
      </c>
      <c r="AB12" s="51">
        <v>0</v>
      </c>
      <c r="AC12" s="51">
        <v>1</v>
      </c>
      <c r="AD12" s="51">
        <v>1</v>
      </c>
      <c r="AE12" s="51">
        <v>0</v>
      </c>
      <c r="AF12" s="51">
        <v>1.3</v>
      </c>
      <c r="AG12" s="46">
        <f t="shared" si="0"/>
        <v>23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1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1.7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46">
        <f t="shared" si="0"/>
        <v>2.7</v>
      </c>
      <c r="AH17" s="48"/>
      <c r="AI17" s="48"/>
    </row>
    <row r="18" spans="1:35" s="44" customFormat="1" ht="18.75" customHeight="1" x14ac:dyDescent="0.35">
      <c r="A18" s="60" t="s">
        <v>73</v>
      </c>
      <c r="B18" s="49">
        <f>9.1+8.1</f>
        <v>17.2</v>
      </c>
      <c r="C18" s="51">
        <v>2.2999999999999998</v>
      </c>
      <c r="D18" s="51">
        <v>3.1</v>
      </c>
      <c r="E18" s="51">
        <v>2</v>
      </c>
      <c r="F18" s="51">
        <v>1.9</v>
      </c>
      <c r="G18" s="51">
        <v>0</v>
      </c>
      <c r="H18" s="51">
        <v>1.2</v>
      </c>
      <c r="I18" s="51">
        <v>0</v>
      </c>
      <c r="J18" s="51">
        <v>0</v>
      </c>
      <c r="K18" s="51">
        <v>1.3</v>
      </c>
      <c r="L18" s="51">
        <v>1.3</v>
      </c>
      <c r="M18" s="51">
        <v>1.5</v>
      </c>
      <c r="N18" s="51">
        <v>1</v>
      </c>
      <c r="O18" s="51">
        <v>1.4</v>
      </c>
      <c r="P18" s="51">
        <v>0</v>
      </c>
      <c r="Q18" s="51">
        <v>2</v>
      </c>
      <c r="R18" s="51">
        <v>2</v>
      </c>
      <c r="S18" s="51">
        <v>1.9</v>
      </c>
      <c r="T18" s="51">
        <v>2</v>
      </c>
      <c r="U18" s="51">
        <v>2.2999999999999998</v>
      </c>
      <c r="V18" s="51">
        <v>1.5</v>
      </c>
      <c r="W18" s="51">
        <v>0</v>
      </c>
      <c r="X18" s="51">
        <v>1</v>
      </c>
      <c r="Y18" s="51">
        <v>1.2</v>
      </c>
      <c r="Z18" s="51">
        <v>1.3</v>
      </c>
      <c r="AA18" s="51">
        <v>1.4</v>
      </c>
      <c r="AB18" s="51">
        <v>1.3</v>
      </c>
      <c r="AC18" s="51">
        <v>2</v>
      </c>
      <c r="AD18" s="51">
        <v>0</v>
      </c>
      <c r="AE18" s="51">
        <v>2.9</v>
      </c>
      <c r="AF18" s="51">
        <v>1.3</v>
      </c>
      <c r="AG18" s="46">
        <f t="shared" si="0"/>
        <v>58.299999999999983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>
        <f>0.5+0.8</f>
        <v>1.3</v>
      </c>
      <c r="C20" s="51">
        <f>0.8+0.5</f>
        <v>1.3</v>
      </c>
      <c r="D20" s="51">
        <v>1.5</v>
      </c>
      <c r="E20" s="51">
        <v>1.5</v>
      </c>
      <c r="F20" s="51">
        <v>2.1</v>
      </c>
      <c r="G20" s="51">
        <v>1.2</v>
      </c>
      <c r="H20" s="51">
        <v>1.5</v>
      </c>
      <c r="I20" s="51">
        <v>2.5</v>
      </c>
      <c r="J20" s="51">
        <v>1.5</v>
      </c>
      <c r="K20" s="51">
        <v>2</v>
      </c>
      <c r="L20" s="51">
        <v>1.8</v>
      </c>
      <c r="M20" s="51">
        <v>6</v>
      </c>
      <c r="N20" s="51">
        <v>0</v>
      </c>
      <c r="O20" s="51">
        <v>1</v>
      </c>
      <c r="P20" s="51">
        <v>0.9</v>
      </c>
      <c r="Q20" s="51">
        <v>0.9</v>
      </c>
      <c r="R20" s="51">
        <v>1</v>
      </c>
      <c r="S20" s="51">
        <v>0</v>
      </c>
      <c r="T20" s="51">
        <v>1</v>
      </c>
      <c r="U20" s="51">
        <v>1.5</v>
      </c>
      <c r="V20" s="51">
        <v>1</v>
      </c>
      <c r="W20" s="51">
        <v>0.8</v>
      </c>
      <c r="X20" s="51">
        <v>1.2</v>
      </c>
      <c r="Y20" s="51">
        <v>1.1000000000000001</v>
      </c>
      <c r="Z20" s="51">
        <v>1.8</v>
      </c>
      <c r="AA20" s="51">
        <v>1.5</v>
      </c>
      <c r="AB20" s="51">
        <v>1.4</v>
      </c>
      <c r="AC20" s="51">
        <v>1</v>
      </c>
      <c r="AD20" s="51">
        <v>2.5</v>
      </c>
      <c r="AE20" s="51">
        <v>3.5</v>
      </c>
      <c r="AF20" s="51">
        <v>1.5</v>
      </c>
      <c r="AG20" s="46">
        <f t="shared" si="0"/>
        <v>47.8</v>
      </c>
      <c r="AH20" s="48"/>
      <c r="AI20" s="48"/>
    </row>
    <row r="21" spans="1:35" s="44" customFormat="1" ht="18.75" customHeight="1" x14ac:dyDescent="0.35">
      <c r="A21" s="60" t="s">
        <v>74</v>
      </c>
      <c r="B21" s="49">
        <v>0.1</v>
      </c>
      <c r="C21" s="51">
        <v>0.2</v>
      </c>
      <c r="D21" s="51">
        <v>0</v>
      </c>
      <c r="E21" s="51">
        <v>0.3</v>
      </c>
      <c r="F21" s="52">
        <v>0.2</v>
      </c>
      <c r="G21" s="52">
        <v>0</v>
      </c>
      <c r="H21" s="52">
        <v>0</v>
      </c>
      <c r="I21" s="52">
        <v>0.3</v>
      </c>
      <c r="J21" s="52">
        <v>0.9</v>
      </c>
      <c r="K21" s="52">
        <v>0.4</v>
      </c>
      <c r="L21" s="52">
        <v>0</v>
      </c>
      <c r="M21" s="52">
        <v>0</v>
      </c>
      <c r="N21" s="52">
        <v>0.6</v>
      </c>
      <c r="O21" s="52">
        <v>0.3</v>
      </c>
      <c r="P21" s="52">
        <v>0.2</v>
      </c>
      <c r="Q21" s="52">
        <v>0</v>
      </c>
      <c r="R21" s="52">
        <v>0</v>
      </c>
      <c r="S21" s="52">
        <v>0</v>
      </c>
      <c r="T21" s="52">
        <v>0.4</v>
      </c>
      <c r="U21" s="52">
        <v>0.5</v>
      </c>
      <c r="V21" s="52">
        <v>0.2</v>
      </c>
      <c r="W21" s="52">
        <v>0</v>
      </c>
      <c r="X21" s="52">
        <v>0.3</v>
      </c>
      <c r="Y21" s="52">
        <v>0.2</v>
      </c>
      <c r="Z21" s="52">
        <v>0.5</v>
      </c>
      <c r="AA21" s="52">
        <v>0</v>
      </c>
      <c r="AB21" s="52">
        <v>0</v>
      </c>
      <c r="AC21" s="52">
        <v>0</v>
      </c>
      <c r="AD21" s="52">
        <v>0</v>
      </c>
      <c r="AE21" s="52">
        <v>0.3</v>
      </c>
      <c r="AF21" s="52">
        <v>0.4</v>
      </c>
      <c r="AG21" s="46">
        <f t="shared" si="0"/>
        <v>6.3000000000000007</v>
      </c>
      <c r="AH21" s="48"/>
      <c r="AI21" s="48"/>
    </row>
    <row r="22" spans="1:35" s="44" customFormat="1" ht="18.75" customHeight="1" x14ac:dyDescent="0.35">
      <c r="A22" s="60" t="s">
        <v>75</v>
      </c>
      <c r="B22" s="49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1</v>
      </c>
      <c r="M22" s="51">
        <v>0</v>
      </c>
      <c r="N22" s="51">
        <v>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1</v>
      </c>
      <c r="Y22" s="51">
        <v>0</v>
      </c>
      <c r="Z22" s="51">
        <v>0</v>
      </c>
      <c r="AA22" s="51">
        <v>0</v>
      </c>
      <c r="AB22" s="51">
        <v>0</v>
      </c>
      <c r="AC22" s="51">
        <v>1</v>
      </c>
      <c r="AD22" s="51">
        <v>0</v>
      </c>
      <c r="AE22" s="51">
        <v>0.9</v>
      </c>
      <c r="AF22" s="51">
        <v>0</v>
      </c>
      <c r="AG22" s="46">
        <f>SUM(B22:AF22)</f>
        <v>4.9000000000000004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0">
        <v>2.1</v>
      </c>
      <c r="C24" s="51">
        <v>3</v>
      </c>
      <c r="D24" s="51">
        <v>4</v>
      </c>
      <c r="E24" s="51">
        <v>2.1</v>
      </c>
      <c r="F24" s="51">
        <v>2.2000000000000002</v>
      </c>
      <c r="G24" s="51">
        <v>1</v>
      </c>
      <c r="H24" s="51">
        <v>3</v>
      </c>
      <c r="I24" s="51">
        <v>1</v>
      </c>
      <c r="J24" s="51">
        <v>1.5</v>
      </c>
      <c r="K24" s="51">
        <v>1</v>
      </c>
      <c r="L24" s="51">
        <v>2</v>
      </c>
      <c r="M24" s="51">
        <v>1.7</v>
      </c>
      <c r="N24" s="51">
        <v>1.8</v>
      </c>
      <c r="O24" s="51">
        <v>1</v>
      </c>
      <c r="P24" s="51">
        <v>2.1</v>
      </c>
      <c r="Q24" s="51">
        <v>2.2000000000000002</v>
      </c>
      <c r="R24" s="51">
        <v>2</v>
      </c>
      <c r="S24" s="51">
        <v>1.8</v>
      </c>
      <c r="T24" s="51">
        <v>1.3</v>
      </c>
      <c r="U24" s="51">
        <v>1</v>
      </c>
      <c r="V24" s="51">
        <v>1.1000000000000001</v>
      </c>
      <c r="W24" s="51">
        <v>1.2</v>
      </c>
      <c r="X24" s="51">
        <v>2.2999999999999998</v>
      </c>
      <c r="Y24" s="51">
        <v>2.1</v>
      </c>
      <c r="Z24" s="51">
        <v>2</v>
      </c>
      <c r="AA24" s="51">
        <v>1.6</v>
      </c>
      <c r="AB24" s="51">
        <v>1.5</v>
      </c>
      <c r="AC24" s="51">
        <v>0</v>
      </c>
      <c r="AD24" s="51">
        <v>1.3</v>
      </c>
      <c r="AE24" s="51">
        <v>0</v>
      </c>
      <c r="AF24" s="51">
        <v>2.2999999999999998</v>
      </c>
      <c r="AG24" s="46">
        <f t="shared" si="0"/>
        <v>53.199999999999996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>
        <v>0</v>
      </c>
      <c r="C26" s="52">
        <v>0.8</v>
      </c>
      <c r="D26" s="52">
        <v>0.7</v>
      </c>
      <c r="E26" s="52">
        <v>0.5</v>
      </c>
      <c r="F26" s="52">
        <v>0</v>
      </c>
      <c r="G26" s="52">
        <v>0</v>
      </c>
      <c r="H26" s="52">
        <v>0</v>
      </c>
      <c r="I26" s="52">
        <v>0</v>
      </c>
      <c r="J26" s="52">
        <v>0</v>
      </c>
      <c r="K26" s="52">
        <v>1</v>
      </c>
      <c r="L26" s="52">
        <v>0</v>
      </c>
      <c r="M26" s="52">
        <v>1.4</v>
      </c>
      <c r="N26" s="52">
        <v>0.9</v>
      </c>
      <c r="O26" s="52">
        <v>0</v>
      </c>
      <c r="P26" s="52">
        <v>0</v>
      </c>
      <c r="Q26" s="52">
        <v>0</v>
      </c>
      <c r="R26" s="52">
        <v>0.5</v>
      </c>
      <c r="S26" s="52">
        <v>0</v>
      </c>
      <c r="T26" s="52">
        <v>0</v>
      </c>
      <c r="U26" s="52">
        <v>1.2</v>
      </c>
      <c r="V26" s="52">
        <v>1</v>
      </c>
      <c r="W26" s="52">
        <v>0</v>
      </c>
      <c r="X26" s="52">
        <v>0</v>
      </c>
      <c r="Y26" s="52">
        <v>0.8</v>
      </c>
      <c r="Z26" s="52">
        <v>0</v>
      </c>
      <c r="AA26" s="52">
        <v>1</v>
      </c>
      <c r="AB26" s="52">
        <v>0</v>
      </c>
      <c r="AC26" s="52">
        <v>0</v>
      </c>
      <c r="AD26" s="52">
        <v>0</v>
      </c>
      <c r="AE26" s="52">
        <v>2</v>
      </c>
      <c r="AF26" s="52">
        <v>0</v>
      </c>
      <c r="AG26" s="46">
        <f t="shared" si="0"/>
        <v>11.8</v>
      </c>
      <c r="AH26" s="48"/>
      <c r="AI26" s="48"/>
    </row>
    <row r="27" spans="1:35" s="44" customFormat="1" ht="18.75" customHeight="1" x14ac:dyDescent="0.35">
      <c r="A27" s="60" t="s">
        <v>80</v>
      </c>
      <c r="B27" s="49">
        <v>0</v>
      </c>
      <c r="C27" s="52">
        <v>0.9</v>
      </c>
      <c r="D27" s="52">
        <v>2.1</v>
      </c>
      <c r="E27" s="52">
        <v>0.6</v>
      </c>
      <c r="F27" s="52">
        <v>2.4</v>
      </c>
      <c r="G27" s="52">
        <v>1.2</v>
      </c>
      <c r="H27" s="52">
        <v>2.2999999999999998</v>
      </c>
      <c r="I27" s="52">
        <v>0</v>
      </c>
      <c r="J27" s="52">
        <v>0.8</v>
      </c>
      <c r="K27" s="52">
        <v>2.1</v>
      </c>
      <c r="L27" s="52">
        <v>2.7</v>
      </c>
      <c r="M27" s="52">
        <v>0.1</v>
      </c>
      <c r="N27" s="52">
        <v>1.7</v>
      </c>
      <c r="O27" s="52">
        <v>0.4</v>
      </c>
      <c r="P27" s="52">
        <v>0</v>
      </c>
      <c r="Q27" s="52">
        <v>0.7</v>
      </c>
      <c r="R27" s="52">
        <v>4</v>
      </c>
      <c r="S27" s="52">
        <v>3</v>
      </c>
      <c r="T27" s="52">
        <v>2.1</v>
      </c>
      <c r="U27" s="52">
        <v>2.2999999999999998</v>
      </c>
      <c r="V27" s="52">
        <v>0</v>
      </c>
      <c r="W27" s="52">
        <v>0</v>
      </c>
      <c r="X27" s="52">
        <v>2.2999999999999998</v>
      </c>
      <c r="Y27" s="52">
        <v>2</v>
      </c>
      <c r="Z27" s="52">
        <v>2.2999999999999998</v>
      </c>
      <c r="AA27" s="52">
        <v>1.4</v>
      </c>
      <c r="AB27" s="52">
        <v>2.7</v>
      </c>
      <c r="AC27" s="52">
        <v>2.2000000000000002</v>
      </c>
      <c r="AD27" s="52">
        <v>0</v>
      </c>
      <c r="AE27" s="52">
        <v>1.4</v>
      </c>
      <c r="AF27" s="52">
        <v>2.1</v>
      </c>
      <c r="AG27" s="46">
        <f t="shared" si="0"/>
        <v>45.800000000000004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>
        <v>0</v>
      </c>
      <c r="C29" s="52">
        <v>0</v>
      </c>
      <c r="D29" s="52">
        <v>5</v>
      </c>
      <c r="E29" s="52">
        <v>0</v>
      </c>
      <c r="F29" s="52">
        <v>5.2</v>
      </c>
      <c r="G29" s="52">
        <v>3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46">
        <f t="shared" si="0"/>
        <v>13.2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>
        <f>1.9+1.8+1.5</f>
        <v>5.2</v>
      </c>
      <c r="C31" s="51">
        <f>0.1+0.4+0.3</f>
        <v>0.8</v>
      </c>
      <c r="D31" s="51">
        <f>0.9+0.5+0.4</f>
        <v>1.7999999999999998</v>
      </c>
      <c r="E31" s="51">
        <f>1.3+2.3+2.3</f>
        <v>5.8999999999999995</v>
      </c>
      <c r="F31" s="51">
        <f>1.4+1.5+7</f>
        <v>9.9</v>
      </c>
      <c r="G31" s="51">
        <f>1.9+1.8+1.5</f>
        <v>5.2</v>
      </c>
      <c r="H31" s="51">
        <f>1.9+1.5+1.2</f>
        <v>4.5999999999999996</v>
      </c>
      <c r="I31" s="51">
        <v>3.1</v>
      </c>
      <c r="J31" s="51">
        <v>1.5</v>
      </c>
      <c r="K31" s="51">
        <v>1.5</v>
      </c>
      <c r="L31" s="51">
        <f>0.1+4.1+1.5</f>
        <v>5.6999999999999993</v>
      </c>
      <c r="M31" s="51">
        <f>1.3+2.1+1.9</f>
        <v>5.3000000000000007</v>
      </c>
      <c r="N31" s="51">
        <f>1.4+1.4+1.5</f>
        <v>4.3</v>
      </c>
      <c r="O31" s="51">
        <f>1.9+1.8+1.9</f>
        <v>5.6</v>
      </c>
      <c r="P31" s="51">
        <f>1.9+1.5+2.5</f>
        <v>5.9</v>
      </c>
      <c r="Q31" s="51">
        <v>4.5</v>
      </c>
      <c r="R31" s="51">
        <f>1.4+3.2+1</f>
        <v>5.6</v>
      </c>
      <c r="S31" s="51">
        <v>1.5</v>
      </c>
      <c r="T31" s="51">
        <v>1.7</v>
      </c>
      <c r="U31" s="51">
        <v>2</v>
      </c>
      <c r="V31" s="51">
        <f>0.4+0.9+1.9</f>
        <v>3.2</v>
      </c>
      <c r="W31" s="51">
        <v>1.7</v>
      </c>
      <c r="X31" s="51">
        <f>4.5+1.9+3.7</f>
        <v>10.100000000000001</v>
      </c>
      <c r="Y31" s="51">
        <f>0.7+0.8+0.9</f>
        <v>2.4</v>
      </c>
      <c r="Z31" s="51">
        <f>0.4+0.1+0.7</f>
        <v>1.2</v>
      </c>
      <c r="AA31" s="51">
        <f>0.2+0.7+0.9</f>
        <v>1.7999999999999998</v>
      </c>
      <c r="AB31" s="51">
        <f>0.1+0.2+0.9</f>
        <v>1.2000000000000002</v>
      </c>
      <c r="AC31" s="51">
        <f>1.7+0.8+0.7</f>
        <v>3.2</v>
      </c>
      <c r="AD31" s="51">
        <f>1.7+4.1+7</f>
        <v>12.8</v>
      </c>
      <c r="AE31" s="51">
        <f>1.9+1.55+1.35</f>
        <v>4.8000000000000007</v>
      </c>
      <c r="AF31" s="51">
        <f>1.9+1.8+1.3</f>
        <v>5</v>
      </c>
      <c r="AG31" s="46">
        <f t="shared" si="0"/>
        <v>129</v>
      </c>
      <c r="AH31" s="48"/>
      <c r="AI31" s="48"/>
    </row>
    <row r="32" spans="1:35" s="44" customFormat="1" ht="18.75" customHeight="1" x14ac:dyDescent="0.35">
      <c r="A32" s="60" t="s">
        <v>178</v>
      </c>
      <c r="B32" s="49">
        <v>0.5</v>
      </c>
      <c r="C32" s="52">
        <v>0.9</v>
      </c>
      <c r="D32" s="52">
        <v>0.4</v>
      </c>
      <c r="E32" s="52">
        <v>0.2</v>
      </c>
      <c r="F32" s="52">
        <v>0.6</v>
      </c>
      <c r="G32" s="52">
        <v>0.3</v>
      </c>
      <c r="H32" s="52">
        <v>0.5</v>
      </c>
      <c r="I32" s="52">
        <v>0.2</v>
      </c>
      <c r="J32" s="52">
        <v>0.5</v>
      </c>
      <c r="K32" s="52">
        <v>0.9</v>
      </c>
      <c r="L32" s="52">
        <v>0.5</v>
      </c>
      <c r="M32" s="52">
        <v>1.2</v>
      </c>
      <c r="N32" s="52">
        <v>3.4</v>
      </c>
      <c r="O32" s="52">
        <v>0.9</v>
      </c>
      <c r="P32" s="52">
        <v>0.5</v>
      </c>
      <c r="Q32" s="52">
        <v>0.4</v>
      </c>
      <c r="R32" s="52">
        <v>0.3</v>
      </c>
      <c r="S32" s="52">
        <v>0.5</v>
      </c>
      <c r="T32" s="52">
        <v>0.4</v>
      </c>
      <c r="U32" s="52">
        <v>1.5</v>
      </c>
      <c r="V32" s="52">
        <v>0.2</v>
      </c>
      <c r="W32" s="52">
        <v>0.3</v>
      </c>
      <c r="X32" s="52">
        <v>0.4</v>
      </c>
      <c r="Y32" s="52">
        <v>0.4</v>
      </c>
      <c r="Z32" s="52">
        <v>0.7</v>
      </c>
      <c r="AA32" s="52">
        <v>0.5</v>
      </c>
      <c r="AB32" s="52">
        <v>0.6</v>
      </c>
      <c r="AC32" s="52">
        <v>0.4</v>
      </c>
      <c r="AD32" s="52">
        <v>0.7</v>
      </c>
      <c r="AE32" s="52">
        <v>0.4</v>
      </c>
      <c r="AF32" s="52">
        <v>0.1</v>
      </c>
      <c r="AG32" s="46">
        <f t="shared" si="0"/>
        <v>19.3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37</v>
      </c>
      <c r="C33" s="51">
        <f t="shared" ref="C33:AF33" si="1">SUM(C3:C32)</f>
        <v>22.099999999999998</v>
      </c>
      <c r="D33" s="51">
        <f t="shared" si="1"/>
        <v>29.4</v>
      </c>
      <c r="E33" s="51">
        <f t="shared" si="1"/>
        <v>30.3</v>
      </c>
      <c r="F33" s="51">
        <f t="shared" si="1"/>
        <v>37.9</v>
      </c>
      <c r="G33" s="51">
        <f t="shared" si="1"/>
        <v>26</v>
      </c>
      <c r="H33" s="51">
        <f t="shared" si="1"/>
        <v>26.9</v>
      </c>
      <c r="I33" s="51">
        <f t="shared" si="1"/>
        <v>13.299999999999999</v>
      </c>
      <c r="J33" s="51">
        <f t="shared" si="1"/>
        <v>17.3</v>
      </c>
      <c r="K33" s="51">
        <f t="shared" si="1"/>
        <v>24.1</v>
      </c>
      <c r="L33" s="51">
        <f t="shared" si="1"/>
        <v>29.3</v>
      </c>
      <c r="M33" s="51">
        <f t="shared" si="1"/>
        <v>26.849999999999998</v>
      </c>
      <c r="N33" s="51">
        <f t="shared" si="1"/>
        <v>25.849999999999998</v>
      </c>
      <c r="O33" s="51">
        <f t="shared" si="1"/>
        <v>15.200000000000001</v>
      </c>
      <c r="P33" s="51">
        <f t="shared" si="1"/>
        <v>17.299999999999997</v>
      </c>
      <c r="Q33" s="51">
        <f t="shared" si="1"/>
        <v>21.299999999999997</v>
      </c>
      <c r="R33" s="51">
        <f t="shared" si="1"/>
        <v>27.2</v>
      </c>
      <c r="S33" s="51">
        <f t="shared" si="1"/>
        <v>27.299999999999997</v>
      </c>
      <c r="T33" s="51">
        <f t="shared" si="1"/>
        <v>21.4</v>
      </c>
      <c r="U33" s="51">
        <f t="shared" si="1"/>
        <v>27.8</v>
      </c>
      <c r="V33" s="51">
        <f t="shared" si="1"/>
        <v>23.2</v>
      </c>
      <c r="W33" s="51">
        <f t="shared" si="1"/>
        <v>12.3</v>
      </c>
      <c r="X33" s="51">
        <f t="shared" si="1"/>
        <v>27.400000000000002</v>
      </c>
      <c r="Y33" s="51">
        <f t="shared" si="1"/>
        <v>23.299999999999997</v>
      </c>
      <c r="Z33" s="51">
        <f t="shared" si="1"/>
        <v>22.3</v>
      </c>
      <c r="AA33" s="51">
        <f t="shared" si="1"/>
        <v>29.709999999999997</v>
      </c>
      <c r="AB33" s="51">
        <f t="shared" si="1"/>
        <v>20.9</v>
      </c>
      <c r="AC33" s="51">
        <f t="shared" si="1"/>
        <v>20.699999999999996</v>
      </c>
      <c r="AD33" s="51">
        <f t="shared" si="1"/>
        <v>27.8</v>
      </c>
      <c r="AE33" s="51">
        <f t="shared" si="1"/>
        <v>25.2</v>
      </c>
      <c r="AF33" s="51">
        <f t="shared" si="1"/>
        <v>20.800000000000004</v>
      </c>
      <c r="AG33" s="56">
        <f>SUM(B33:AF33)</f>
        <v>757.41</v>
      </c>
      <c r="AH33" s="57"/>
      <c r="AI33" s="57"/>
    </row>
    <row r="34" spans="1:35" s="2" customFormat="1" x14ac:dyDescent="0.25">
      <c r="AG34" s="24">
        <f>SUM(AG3:AG32)</f>
        <v>757.40999999999985</v>
      </c>
    </row>
    <row r="35" spans="1:35" s="2" customFormat="1" x14ac:dyDescent="0.25"/>
    <row r="36" spans="1:35" s="2" customFormat="1" x14ac:dyDescent="0.25">
      <c r="AG36" s="149">
        <v>1153.8</v>
      </c>
    </row>
    <row r="37" spans="1:35" s="2" customFormat="1" x14ac:dyDescent="0.25">
      <c r="AG37" s="149">
        <v>2580.6999999999998</v>
      </c>
    </row>
    <row r="38" spans="1:35" s="2" customFormat="1" x14ac:dyDescent="0.25">
      <c r="AF38" s="146"/>
      <c r="AG38" s="149">
        <f>+SUM(AG36:AG37)</f>
        <v>3734.5</v>
      </c>
    </row>
    <row r="39" spans="1:35" s="2" customFormat="1" x14ac:dyDescent="0.25">
      <c r="P39" s="2" t="s">
        <v>222</v>
      </c>
    </row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topLeftCell="N29" workbookViewId="0">
      <selection activeCell="G32" sqref="G32"/>
    </sheetView>
  </sheetViews>
  <sheetFormatPr baseColWidth="10" defaultRowHeight="15" x14ac:dyDescent="0.25"/>
  <cols>
    <col min="1" max="1" width="61.42578125" customWidth="1"/>
    <col min="2" max="2" width="8" customWidth="1"/>
    <col min="3" max="16" width="7.42578125" customWidth="1"/>
    <col min="17" max="17" width="8" customWidth="1"/>
    <col min="18" max="18" width="9" customWidth="1"/>
    <col min="19" max="20" width="7.42578125" customWidth="1"/>
    <col min="21" max="21" width="8.85546875" customWidth="1"/>
    <col min="22" max="32" width="7.42578125" customWidth="1"/>
    <col min="33" max="33" width="13.85546875" customWidth="1"/>
  </cols>
  <sheetData>
    <row r="1" spans="1:35" s="44" customFormat="1" ht="21" hidden="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>
        <v>0.4</v>
      </c>
      <c r="C3" s="51">
        <v>0.3</v>
      </c>
      <c r="D3" s="51">
        <v>0.6</v>
      </c>
      <c r="E3" s="51">
        <v>1</v>
      </c>
      <c r="F3" s="51">
        <v>0.2</v>
      </c>
      <c r="G3" s="51">
        <v>0.1</v>
      </c>
      <c r="H3" s="51">
        <v>0</v>
      </c>
      <c r="I3" s="51">
        <v>0.7</v>
      </c>
      <c r="J3" s="51">
        <v>0.5</v>
      </c>
      <c r="K3" s="51">
        <v>1</v>
      </c>
      <c r="L3" s="51">
        <v>0.8</v>
      </c>
      <c r="M3" s="51">
        <v>0.5</v>
      </c>
      <c r="N3" s="51">
        <v>0.6</v>
      </c>
      <c r="O3" s="51">
        <v>0</v>
      </c>
      <c r="P3" s="51">
        <v>0</v>
      </c>
      <c r="Q3" s="51">
        <v>1</v>
      </c>
      <c r="R3" s="51">
        <v>0.5</v>
      </c>
      <c r="S3" s="51">
        <v>0.7</v>
      </c>
      <c r="T3" s="51">
        <v>0.3</v>
      </c>
      <c r="U3" s="51">
        <v>0.8</v>
      </c>
      <c r="V3" s="51">
        <v>0</v>
      </c>
      <c r="W3" s="51">
        <v>3</v>
      </c>
      <c r="X3" s="51">
        <v>2</v>
      </c>
      <c r="Y3" s="51">
        <v>0.6</v>
      </c>
      <c r="Z3" s="51">
        <v>0.8</v>
      </c>
      <c r="AA3" s="51">
        <v>1.5</v>
      </c>
      <c r="AB3" s="51">
        <v>0.3</v>
      </c>
      <c r="AC3" s="51">
        <v>0</v>
      </c>
      <c r="AD3" s="51">
        <v>1</v>
      </c>
      <c r="AE3" s="51">
        <v>3</v>
      </c>
      <c r="AF3" s="51">
        <v>2.1</v>
      </c>
      <c r="AG3" s="46">
        <f t="shared" ref="AG3:AG35" si="0">SUM(B3:AF3)</f>
        <v>24.3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>
        <v>1.1000000000000001</v>
      </c>
      <c r="C5" s="51">
        <f>2.8+1.1</f>
        <v>3.9</v>
      </c>
      <c r="D5" s="51">
        <v>1.9</v>
      </c>
      <c r="E5" s="51">
        <v>1.6</v>
      </c>
      <c r="F5" s="51">
        <v>1.8</v>
      </c>
      <c r="G5" s="51">
        <v>2</v>
      </c>
      <c r="H5" s="51">
        <v>0</v>
      </c>
      <c r="I5" s="51">
        <f>0.9+2.8</f>
        <v>3.6999999999999997</v>
      </c>
      <c r="J5" s="51">
        <v>3.5</v>
      </c>
      <c r="K5" s="51">
        <f>2.9+0.6</f>
        <v>3.5</v>
      </c>
      <c r="L5" s="51">
        <v>2.8</v>
      </c>
      <c r="M5" s="51">
        <v>3.9</v>
      </c>
      <c r="N5" s="51">
        <v>3.9</v>
      </c>
      <c r="O5" s="51">
        <v>1.1000000000000001</v>
      </c>
      <c r="P5" s="51">
        <v>2</v>
      </c>
      <c r="Q5" s="51">
        <v>2</v>
      </c>
      <c r="R5" s="51">
        <v>1.9</v>
      </c>
      <c r="S5" s="51">
        <v>3</v>
      </c>
      <c r="T5" s="51">
        <v>2.4</v>
      </c>
      <c r="U5" s="51">
        <v>1.8</v>
      </c>
      <c r="V5" s="51">
        <v>2.8</v>
      </c>
      <c r="W5" s="51">
        <v>2.8</v>
      </c>
      <c r="X5" s="51">
        <v>2</v>
      </c>
      <c r="Y5" s="51">
        <v>2</v>
      </c>
      <c r="Z5" s="51">
        <v>2.9</v>
      </c>
      <c r="AA5" s="51">
        <v>2.9</v>
      </c>
      <c r="AB5" s="51">
        <v>3</v>
      </c>
      <c r="AC5" s="51">
        <v>1</v>
      </c>
      <c r="AD5" s="51">
        <v>3.9</v>
      </c>
      <c r="AE5" s="51">
        <v>2.4</v>
      </c>
      <c r="AF5" s="51">
        <v>2.5</v>
      </c>
      <c r="AG5" s="46">
        <f t="shared" si="0"/>
        <v>76</v>
      </c>
      <c r="AH5" s="48"/>
      <c r="AI5" s="48"/>
    </row>
    <row r="6" spans="1:35" s="44" customFormat="1" ht="18.75" customHeight="1" x14ac:dyDescent="0.35">
      <c r="A6" s="60" t="s">
        <v>84</v>
      </c>
      <c r="B6" s="51">
        <v>1.8</v>
      </c>
      <c r="C6" s="51">
        <v>2.2000000000000002</v>
      </c>
      <c r="D6" s="51">
        <v>3</v>
      </c>
      <c r="E6" s="51">
        <v>2.5</v>
      </c>
      <c r="F6" s="51">
        <v>2.6</v>
      </c>
      <c r="G6" s="51">
        <v>1.9</v>
      </c>
      <c r="H6" s="51">
        <v>2.1</v>
      </c>
      <c r="I6" s="51">
        <v>1.6</v>
      </c>
      <c r="J6" s="51">
        <v>1.9</v>
      </c>
      <c r="K6" s="51">
        <v>2.7</v>
      </c>
      <c r="L6" s="51">
        <v>2.1</v>
      </c>
      <c r="M6" s="51">
        <v>2</v>
      </c>
      <c r="N6" s="51">
        <v>2.6</v>
      </c>
      <c r="O6" s="51">
        <v>2.9</v>
      </c>
      <c r="P6" s="51">
        <v>2.9</v>
      </c>
      <c r="Q6" s="51">
        <v>1.9</v>
      </c>
      <c r="R6" s="51">
        <v>1.9</v>
      </c>
      <c r="S6" s="51">
        <v>2.1</v>
      </c>
      <c r="T6" s="51">
        <v>1.9</v>
      </c>
      <c r="U6" s="51">
        <v>1.8</v>
      </c>
      <c r="V6" s="51">
        <v>2.9</v>
      </c>
      <c r="W6" s="51">
        <v>2.2999999999999998</v>
      </c>
      <c r="X6" s="51">
        <v>1.9</v>
      </c>
      <c r="Y6" s="51">
        <v>2.2999999999999998</v>
      </c>
      <c r="Z6" s="51">
        <v>2</v>
      </c>
      <c r="AA6" s="51">
        <v>1.9</v>
      </c>
      <c r="AB6" s="51">
        <v>3.2</v>
      </c>
      <c r="AC6" s="51">
        <v>1.7</v>
      </c>
      <c r="AD6" s="51">
        <v>1.9</v>
      </c>
      <c r="AE6" s="51">
        <v>1.6</v>
      </c>
      <c r="AF6" s="51">
        <v>1.7</v>
      </c>
      <c r="AG6" s="46">
        <f t="shared" si="0"/>
        <v>67.8</v>
      </c>
      <c r="AH6" s="48"/>
      <c r="AI6" s="48"/>
    </row>
    <row r="7" spans="1:35" s="44" customFormat="1" ht="18.75" customHeight="1" x14ac:dyDescent="0.35">
      <c r="A7" s="60" t="s">
        <v>64</v>
      </c>
      <c r="B7" s="51">
        <v>2.1</v>
      </c>
      <c r="C7" s="51">
        <v>1.5</v>
      </c>
      <c r="D7" s="51">
        <v>1</v>
      </c>
      <c r="E7" s="51">
        <v>2.9</v>
      </c>
      <c r="F7" s="51">
        <v>2.2000000000000002</v>
      </c>
      <c r="G7" s="51">
        <v>1.4</v>
      </c>
      <c r="H7" s="51">
        <v>1.5</v>
      </c>
      <c r="I7" s="51">
        <v>1</v>
      </c>
      <c r="J7" s="51">
        <v>1.5</v>
      </c>
      <c r="K7" s="51">
        <v>1.5</v>
      </c>
      <c r="L7" s="51">
        <v>1</v>
      </c>
      <c r="M7" s="51">
        <v>1.5</v>
      </c>
      <c r="N7" s="51">
        <v>1.7</v>
      </c>
      <c r="O7" s="51">
        <v>2.6</v>
      </c>
      <c r="P7" s="51">
        <v>2</v>
      </c>
      <c r="Q7" s="51">
        <v>1</v>
      </c>
      <c r="R7" s="51">
        <v>0.5</v>
      </c>
      <c r="S7" s="51">
        <v>1.5</v>
      </c>
      <c r="T7" s="51">
        <v>2</v>
      </c>
      <c r="U7" s="51">
        <v>1.2</v>
      </c>
      <c r="V7" s="51">
        <v>2</v>
      </c>
      <c r="W7" s="51">
        <v>1.5</v>
      </c>
      <c r="X7" s="51">
        <v>1</v>
      </c>
      <c r="Y7" s="51">
        <v>1.5</v>
      </c>
      <c r="Z7" s="51">
        <v>1</v>
      </c>
      <c r="AA7" s="51">
        <v>1.5</v>
      </c>
      <c r="AB7" s="51">
        <v>1</v>
      </c>
      <c r="AC7" s="51">
        <v>1.5</v>
      </c>
      <c r="AD7" s="51">
        <v>1.3</v>
      </c>
      <c r="AE7" s="51">
        <v>1.5</v>
      </c>
      <c r="AF7" s="51">
        <v>1</v>
      </c>
      <c r="AG7" s="46">
        <f t="shared" si="0"/>
        <v>46.4</v>
      </c>
      <c r="AH7" s="48"/>
      <c r="AI7" s="48"/>
    </row>
    <row r="8" spans="1:35" s="44" customFormat="1" ht="18.75" customHeight="1" x14ac:dyDescent="0.35">
      <c r="A8" s="60" t="s">
        <v>65</v>
      </c>
      <c r="B8" s="51">
        <v>2.7</v>
      </c>
      <c r="C8" s="51">
        <v>2.8</v>
      </c>
      <c r="D8" s="51">
        <v>2</v>
      </c>
      <c r="E8" s="51">
        <v>1.9</v>
      </c>
      <c r="F8" s="51">
        <v>1.5</v>
      </c>
      <c r="G8" s="51">
        <v>1</v>
      </c>
      <c r="H8" s="51">
        <v>2</v>
      </c>
      <c r="I8" s="51">
        <v>1.9</v>
      </c>
      <c r="J8" s="51">
        <v>2</v>
      </c>
      <c r="K8" s="51">
        <v>1.5</v>
      </c>
      <c r="L8" s="51">
        <v>2.2999999999999998</v>
      </c>
      <c r="M8" s="51">
        <v>1.8</v>
      </c>
      <c r="N8" s="51">
        <v>1.5</v>
      </c>
      <c r="O8" s="51">
        <v>2</v>
      </c>
      <c r="P8" s="51">
        <v>2.5</v>
      </c>
      <c r="Q8" s="51">
        <v>1.9</v>
      </c>
      <c r="R8" s="51">
        <v>2</v>
      </c>
      <c r="S8" s="51">
        <v>2.1</v>
      </c>
      <c r="T8" s="51">
        <v>2</v>
      </c>
      <c r="U8" s="51">
        <v>1.9</v>
      </c>
      <c r="V8" s="51">
        <v>2</v>
      </c>
      <c r="W8" s="51">
        <v>1.9</v>
      </c>
      <c r="X8" s="51">
        <v>1.8</v>
      </c>
      <c r="Y8" s="51">
        <v>2.1</v>
      </c>
      <c r="Z8" s="51">
        <v>2.1</v>
      </c>
      <c r="AA8" s="51">
        <v>2</v>
      </c>
      <c r="AB8" s="51">
        <v>2.5</v>
      </c>
      <c r="AC8" s="51">
        <v>2</v>
      </c>
      <c r="AD8" s="51">
        <v>1.9</v>
      </c>
      <c r="AE8" s="51">
        <v>1.9</v>
      </c>
      <c r="AF8" s="51">
        <v>2.1</v>
      </c>
      <c r="AG8" s="46">
        <f t="shared" si="0"/>
        <v>61.599999999999994</v>
      </c>
      <c r="AH8" s="48"/>
      <c r="AI8" s="48"/>
    </row>
    <row r="9" spans="1:35" s="44" customFormat="1" ht="18.75" customHeight="1" x14ac:dyDescent="0.35">
      <c r="A9" s="60" t="s">
        <v>66</v>
      </c>
      <c r="B9" s="51">
        <v>0</v>
      </c>
      <c r="C9" s="51">
        <v>0</v>
      </c>
      <c r="D9" s="51">
        <v>0</v>
      </c>
      <c r="E9" s="51">
        <v>0</v>
      </c>
      <c r="F9" s="51">
        <v>0</v>
      </c>
      <c r="G9" s="51">
        <v>0</v>
      </c>
      <c r="H9" s="51">
        <v>0</v>
      </c>
      <c r="I9" s="51">
        <v>0</v>
      </c>
      <c r="J9" s="51">
        <v>0</v>
      </c>
      <c r="K9" s="51">
        <v>0</v>
      </c>
      <c r="L9" s="51">
        <v>0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>
        <v>8.1</v>
      </c>
      <c r="S9" s="51">
        <v>7.6</v>
      </c>
      <c r="T9" s="51">
        <v>5.8</v>
      </c>
      <c r="U9" s="51">
        <v>9</v>
      </c>
      <c r="V9" s="51">
        <v>4.8</v>
      </c>
      <c r="W9" s="51">
        <v>4.9000000000000004</v>
      </c>
      <c r="X9" s="51">
        <v>5.6</v>
      </c>
      <c r="Y9" s="51">
        <v>0</v>
      </c>
      <c r="Z9" s="51">
        <v>0</v>
      </c>
      <c r="AA9" s="51">
        <v>0</v>
      </c>
      <c r="AB9" s="51">
        <v>0</v>
      </c>
      <c r="AC9" s="51">
        <v>0</v>
      </c>
      <c r="AD9" s="51">
        <v>0</v>
      </c>
      <c r="AE9" s="51">
        <v>0</v>
      </c>
      <c r="AF9" s="51">
        <v>0</v>
      </c>
      <c r="AG9" s="46">
        <f t="shared" si="0"/>
        <v>45.8</v>
      </c>
      <c r="AH9" s="48"/>
      <c r="AI9" s="48"/>
    </row>
    <row r="10" spans="1:35" s="44" customFormat="1" ht="18.75" customHeight="1" x14ac:dyDescent="0.35">
      <c r="A10" s="60" t="s">
        <v>263</v>
      </c>
      <c r="B10" s="51">
        <v>0</v>
      </c>
      <c r="C10" s="51">
        <v>0.5</v>
      </c>
      <c r="D10" s="51">
        <v>0.2</v>
      </c>
      <c r="E10" s="51">
        <v>0.1</v>
      </c>
      <c r="F10" s="51">
        <v>0</v>
      </c>
      <c r="G10" s="51">
        <v>0.7</v>
      </c>
      <c r="H10" s="51">
        <v>0</v>
      </c>
      <c r="I10" s="51">
        <v>0</v>
      </c>
      <c r="J10" s="51">
        <v>0</v>
      </c>
      <c r="K10" s="51">
        <v>0.2</v>
      </c>
      <c r="L10" s="51">
        <v>0</v>
      </c>
      <c r="M10" s="51">
        <v>0.5</v>
      </c>
      <c r="N10" s="51">
        <v>1</v>
      </c>
      <c r="O10" s="51">
        <v>0</v>
      </c>
      <c r="P10" s="51">
        <v>0.5</v>
      </c>
      <c r="Q10" s="51">
        <v>0.2</v>
      </c>
      <c r="R10" s="51">
        <v>0.2</v>
      </c>
      <c r="S10" s="51">
        <v>0.3</v>
      </c>
      <c r="T10" s="51">
        <v>0.1</v>
      </c>
      <c r="U10" s="51">
        <v>1.3</v>
      </c>
      <c r="V10" s="51">
        <v>0</v>
      </c>
      <c r="W10" s="51">
        <v>0</v>
      </c>
      <c r="X10" s="51">
        <v>0.7</v>
      </c>
      <c r="Y10" s="51">
        <v>0</v>
      </c>
      <c r="Z10" s="51">
        <v>0.2</v>
      </c>
      <c r="AA10" s="51">
        <v>0.1</v>
      </c>
      <c r="AB10" s="51">
        <v>0.9</v>
      </c>
      <c r="AC10" s="51">
        <v>0</v>
      </c>
      <c r="AD10" s="51">
        <v>0.5</v>
      </c>
      <c r="AE10" s="51">
        <v>0.3</v>
      </c>
      <c r="AF10" s="51">
        <v>0.5</v>
      </c>
      <c r="AG10" s="46"/>
      <c r="AH10" s="48"/>
      <c r="AI10" s="48"/>
    </row>
    <row r="11" spans="1:35" s="44" customFormat="1" ht="18.75" customHeight="1" x14ac:dyDescent="0.35">
      <c r="A11" s="60" t="s">
        <v>67</v>
      </c>
      <c r="B11" s="51">
        <v>2.5</v>
      </c>
      <c r="C11" s="51">
        <v>3.21</v>
      </c>
      <c r="D11" s="51">
        <v>2.5099999999999998</v>
      </c>
      <c r="E11" s="51">
        <v>2.2999999999999998</v>
      </c>
      <c r="F11" s="51">
        <v>1.29</v>
      </c>
      <c r="G11" s="51">
        <v>2.31</v>
      </c>
      <c r="H11" s="51">
        <v>1.21</v>
      </c>
      <c r="I11" s="51">
        <v>2.35</v>
      </c>
      <c r="J11" s="51">
        <v>3.17</v>
      </c>
      <c r="K11" s="51">
        <v>3.01</v>
      </c>
      <c r="L11" s="51">
        <v>5.2</v>
      </c>
      <c r="M11" s="51">
        <v>6.7</v>
      </c>
      <c r="N11" s="51">
        <v>3.3</v>
      </c>
      <c r="O11" s="51">
        <v>5.6</v>
      </c>
      <c r="P11" s="51">
        <v>8.8000000000000007</v>
      </c>
      <c r="Q11" s="51">
        <v>2.2999999999999998</v>
      </c>
      <c r="R11" s="51">
        <f>4.1+3.2</f>
        <v>7.3</v>
      </c>
      <c r="S11" s="51">
        <v>3.4</v>
      </c>
      <c r="T11" s="51">
        <v>9.4</v>
      </c>
      <c r="U11" s="51">
        <v>8.8000000000000007</v>
      </c>
      <c r="V11" s="51">
        <v>6.2</v>
      </c>
      <c r="W11" s="51">
        <v>6.4</v>
      </c>
      <c r="X11" s="51">
        <f>5.7+3.3</f>
        <v>9</v>
      </c>
      <c r="Y11" s="51">
        <v>6.1</v>
      </c>
      <c r="Z11" s="51">
        <v>7.1</v>
      </c>
      <c r="AA11" s="51">
        <f>2.1+1.5</f>
        <v>3.6</v>
      </c>
      <c r="AB11" s="51">
        <f>5+3.1</f>
        <v>8.1</v>
      </c>
      <c r="AC11" s="51">
        <f>2.2+4.1</f>
        <v>6.3</v>
      </c>
      <c r="AD11" s="51">
        <f>4.1+2.1</f>
        <v>6.1999999999999993</v>
      </c>
      <c r="AE11" s="51">
        <v>0</v>
      </c>
      <c r="AF11" s="51">
        <v>0</v>
      </c>
      <c r="AG11" s="46">
        <f t="shared" si="0"/>
        <v>143.66</v>
      </c>
      <c r="AH11" s="48"/>
      <c r="AI11" s="48"/>
    </row>
    <row r="12" spans="1:35" s="44" customFormat="1" ht="18.75" customHeight="1" x14ac:dyDescent="0.35">
      <c r="A12" s="60" t="s">
        <v>152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63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91</v>
      </c>
      <c r="B14" s="51">
        <v>2.9</v>
      </c>
      <c r="C14" s="51">
        <v>1.5</v>
      </c>
      <c r="D14" s="51">
        <v>1.5</v>
      </c>
      <c r="E14" s="51">
        <v>1.5</v>
      </c>
      <c r="F14" s="51">
        <v>1.5</v>
      </c>
      <c r="G14" s="51">
        <v>1.3</v>
      </c>
      <c r="H14" s="51">
        <v>2.7</v>
      </c>
      <c r="I14" s="51">
        <v>1.5</v>
      </c>
      <c r="J14" s="51">
        <v>2</v>
      </c>
      <c r="K14" s="51">
        <v>2.5</v>
      </c>
      <c r="L14" s="51">
        <v>1.5</v>
      </c>
      <c r="M14" s="51">
        <v>1.3</v>
      </c>
      <c r="N14" s="51">
        <v>2</v>
      </c>
      <c r="O14" s="51">
        <v>1</v>
      </c>
      <c r="P14" s="51">
        <v>0.9</v>
      </c>
      <c r="Q14" s="51">
        <v>0.8</v>
      </c>
      <c r="R14" s="51">
        <v>1.7</v>
      </c>
      <c r="S14" s="51">
        <v>2</v>
      </c>
      <c r="T14" s="51">
        <v>1.5</v>
      </c>
      <c r="U14" s="51">
        <v>0.8</v>
      </c>
      <c r="V14" s="51">
        <v>3.1</v>
      </c>
      <c r="W14" s="51">
        <v>1.8</v>
      </c>
      <c r="X14" s="51">
        <v>1.5</v>
      </c>
      <c r="Y14" s="51">
        <v>1</v>
      </c>
      <c r="Z14" s="51">
        <v>1.5</v>
      </c>
      <c r="AA14" s="51">
        <f>1.3+1.8</f>
        <v>3.1</v>
      </c>
      <c r="AB14" s="51">
        <v>1.5</v>
      </c>
      <c r="AC14" s="51">
        <v>1.9</v>
      </c>
      <c r="AD14" s="51">
        <v>1.3</v>
      </c>
      <c r="AE14" s="51">
        <v>1.4</v>
      </c>
      <c r="AF14" s="51">
        <v>1</v>
      </c>
      <c r="AG14" s="46">
        <f t="shared" si="0"/>
        <v>51.499999999999993</v>
      </c>
      <c r="AH14" s="48"/>
      <c r="AI14" s="48"/>
    </row>
    <row r="15" spans="1:35" s="44" customFormat="1" ht="18.75" customHeight="1" x14ac:dyDescent="0.35">
      <c r="A15" s="60" t="s">
        <v>150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193" customFormat="1" ht="18.75" customHeight="1" x14ac:dyDescent="0.35">
      <c r="A16" s="189" t="s">
        <v>69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190"/>
      <c r="P16" s="190"/>
      <c r="Q16" s="190"/>
      <c r="R16" s="190"/>
      <c r="S16" s="190"/>
      <c r="T16" s="190"/>
      <c r="U16" s="190"/>
      <c r="V16" s="190"/>
      <c r="W16" s="190"/>
      <c r="X16" s="190"/>
      <c r="Y16" s="190"/>
      <c r="Z16" s="190"/>
      <c r="AA16" s="190"/>
      <c r="AB16" s="190"/>
      <c r="AC16" s="190"/>
      <c r="AD16" s="190"/>
      <c r="AE16" s="190"/>
      <c r="AF16" s="190"/>
      <c r="AG16" s="191">
        <f t="shared" si="0"/>
        <v>0</v>
      </c>
      <c r="AH16" s="192"/>
      <c r="AI16" s="192"/>
    </row>
    <row r="17" spans="1:35" s="44" customFormat="1" ht="18.75" customHeight="1" x14ac:dyDescent="0.35">
      <c r="A17" s="60" t="s">
        <v>71</v>
      </c>
      <c r="B17" s="51">
        <v>4</v>
      </c>
      <c r="C17" s="51">
        <v>4.9000000000000004</v>
      </c>
      <c r="D17" s="51">
        <v>4.7</v>
      </c>
      <c r="E17" s="51">
        <v>4.9000000000000004</v>
      </c>
      <c r="F17" s="51">
        <v>5</v>
      </c>
      <c r="G17" s="51">
        <v>3.9</v>
      </c>
      <c r="H17" s="51">
        <v>3.6</v>
      </c>
      <c r="I17" s="51">
        <v>5</v>
      </c>
      <c r="J17" s="51">
        <v>3.2</v>
      </c>
      <c r="K17" s="51">
        <v>4</v>
      </c>
      <c r="L17" s="51">
        <v>4.9000000000000004</v>
      </c>
      <c r="M17" s="51">
        <v>4</v>
      </c>
      <c r="N17" s="51">
        <v>4.0999999999999996</v>
      </c>
      <c r="O17" s="51">
        <v>5</v>
      </c>
      <c r="P17" s="51">
        <v>6</v>
      </c>
      <c r="Q17" s="51">
        <v>4.3</v>
      </c>
      <c r="R17" s="51">
        <v>3.7</v>
      </c>
      <c r="S17" s="51">
        <v>3.3</v>
      </c>
      <c r="T17" s="51">
        <v>4.7</v>
      </c>
      <c r="U17" s="51">
        <v>3.9</v>
      </c>
      <c r="V17" s="51">
        <v>4</v>
      </c>
      <c r="W17" s="51">
        <v>3.7</v>
      </c>
      <c r="X17" s="51">
        <v>3.3</v>
      </c>
      <c r="Y17" s="51">
        <v>3.7</v>
      </c>
      <c r="Z17" s="51">
        <v>4.2</v>
      </c>
      <c r="AA17" s="51">
        <v>3.9</v>
      </c>
      <c r="AB17" s="51">
        <v>3.3</v>
      </c>
      <c r="AC17" s="51">
        <v>3.6</v>
      </c>
      <c r="AD17" s="51">
        <v>4.5999999999999996</v>
      </c>
      <c r="AE17" s="51">
        <v>4.4000000000000004</v>
      </c>
      <c r="AF17" s="51">
        <v>5</v>
      </c>
      <c r="AG17" s="46">
        <f t="shared" si="0"/>
        <v>130.80000000000001</v>
      </c>
      <c r="AH17" s="48"/>
      <c r="AI17" s="48"/>
    </row>
    <row r="18" spans="1:35" s="44" customFormat="1" ht="18.75" customHeight="1" x14ac:dyDescent="0.35">
      <c r="A18" s="60" t="s">
        <v>72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85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194</v>
      </c>
      <c r="B20" s="51">
        <v>0.2</v>
      </c>
      <c r="C20" s="51">
        <v>0.3</v>
      </c>
      <c r="D20" s="51">
        <v>3.1</v>
      </c>
      <c r="E20" s="51">
        <v>0.3</v>
      </c>
      <c r="F20" s="51">
        <v>0.4</v>
      </c>
      <c r="G20" s="51">
        <v>0.2</v>
      </c>
      <c r="H20" s="51">
        <v>0.2</v>
      </c>
      <c r="I20" s="51">
        <v>0.9</v>
      </c>
      <c r="J20" s="51">
        <v>1.2</v>
      </c>
      <c r="K20" s="51">
        <v>0.9</v>
      </c>
      <c r="L20" s="51">
        <v>1.2</v>
      </c>
      <c r="M20" s="51">
        <v>1</v>
      </c>
      <c r="N20" s="51">
        <v>1</v>
      </c>
      <c r="O20" s="51">
        <v>0.9</v>
      </c>
      <c r="P20" s="51">
        <v>1.7</v>
      </c>
      <c r="Q20" s="51">
        <v>0.3</v>
      </c>
      <c r="R20" s="51">
        <v>0.2</v>
      </c>
      <c r="S20" s="52">
        <v>2.1</v>
      </c>
      <c r="T20" s="52">
        <v>0.2</v>
      </c>
      <c r="U20" s="52">
        <v>0.2</v>
      </c>
      <c r="V20" s="52">
        <v>0.3</v>
      </c>
      <c r="W20" s="52">
        <v>0.3</v>
      </c>
      <c r="X20" s="52">
        <v>0.9</v>
      </c>
      <c r="Y20" s="51">
        <v>0.8</v>
      </c>
      <c r="Z20" s="51">
        <v>0.9</v>
      </c>
      <c r="AA20" s="51">
        <v>1.7</v>
      </c>
      <c r="AB20" s="51">
        <v>0.3</v>
      </c>
      <c r="AC20" s="51">
        <v>4.0999999999999996</v>
      </c>
      <c r="AD20" s="51">
        <v>0.3</v>
      </c>
      <c r="AE20" s="51">
        <v>0.4</v>
      </c>
      <c r="AF20" s="51">
        <v>0.5</v>
      </c>
      <c r="AG20" s="46">
        <f t="shared" si="0"/>
        <v>26.999999999999996</v>
      </c>
      <c r="AH20" s="48"/>
      <c r="AI20" s="48"/>
    </row>
    <row r="21" spans="1:35" s="44" customFormat="1" ht="18.75" customHeight="1" x14ac:dyDescent="0.35">
      <c r="A21" s="60" t="s">
        <v>73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92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232</v>
      </c>
      <c r="B23" s="51">
        <v>1.6</v>
      </c>
      <c r="C23" s="51">
        <v>1.9</v>
      </c>
      <c r="D23" s="51">
        <v>3.5</v>
      </c>
      <c r="E23" s="51">
        <v>1.6</v>
      </c>
      <c r="F23" s="51">
        <v>2.5</v>
      </c>
      <c r="G23" s="51">
        <v>1.5</v>
      </c>
      <c r="H23" s="51">
        <v>1.9</v>
      </c>
      <c r="I23" s="51">
        <v>1.5</v>
      </c>
      <c r="J23" s="51">
        <v>1.5</v>
      </c>
      <c r="K23" s="51">
        <v>1.8</v>
      </c>
      <c r="L23" s="51">
        <v>1.5</v>
      </c>
      <c r="M23" s="51">
        <v>1.5</v>
      </c>
      <c r="N23" s="51">
        <v>0.8</v>
      </c>
      <c r="O23" s="51">
        <v>1.8</v>
      </c>
      <c r="P23" s="51">
        <v>2.7</v>
      </c>
      <c r="Q23" s="51">
        <v>1.9</v>
      </c>
      <c r="R23" s="51">
        <v>1.8</v>
      </c>
      <c r="S23" s="51">
        <v>1.8</v>
      </c>
      <c r="T23" s="51">
        <v>1.5</v>
      </c>
      <c r="U23" s="51">
        <v>0.8</v>
      </c>
      <c r="V23" s="51">
        <v>1.5</v>
      </c>
      <c r="W23" s="51">
        <v>0.8</v>
      </c>
      <c r="X23" s="51">
        <v>1.5</v>
      </c>
      <c r="Y23" s="51">
        <v>3.2</v>
      </c>
      <c r="Z23" s="51">
        <v>1.2</v>
      </c>
      <c r="AA23" s="51">
        <v>2</v>
      </c>
      <c r="AB23" s="51">
        <v>2</v>
      </c>
      <c r="AC23" s="52">
        <v>1.8</v>
      </c>
      <c r="AD23" s="52">
        <v>1.5</v>
      </c>
      <c r="AE23" s="51">
        <v>1.9</v>
      </c>
      <c r="AF23" s="51">
        <v>1.8</v>
      </c>
      <c r="AG23" s="46">
        <f t="shared" si="0"/>
        <v>54.599999999999994</v>
      </c>
      <c r="AH23" s="48"/>
      <c r="AI23" s="48"/>
    </row>
    <row r="24" spans="1:35" s="44" customFormat="1" ht="18.75" customHeight="1" x14ac:dyDescent="0.35">
      <c r="A24" s="60" t="s">
        <v>227</v>
      </c>
      <c r="B24" s="51">
        <v>2.5</v>
      </c>
      <c r="C24" s="51">
        <v>1.8</v>
      </c>
      <c r="D24" s="51">
        <v>3.1</v>
      </c>
      <c r="E24" s="51">
        <v>1.9</v>
      </c>
      <c r="F24" s="51">
        <v>2</v>
      </c>
      <c r="G24" s="51">
        <v>1.8</v>
      </c>
      <c r="H24" s="51">
        <v>2.5</v>
      </c>
      <c r="I24" s="51">
        <v>2.5</v>
      </c>
      <c r="J24" s="51">
        <v>3.2</v>
      </c>
      <c r="K24" s="51">
        <v>4.5</v>
      </c>
      <c r="L24" s="51">
        <v>5.0999999999999996</v>
      </c>
      <c r="M24" s="51">
        <v>6</v>
      </c>
      <c r="N24" s="51">
        <v>3.5</v>
      </c>
      <c r="O24" s="51">
        <v>4.2</v>
      </c>
      <c r="P24" s="51">
        <v>3.2</v>
      </c>
      <c r="Q24" s="51">
        <v>2.2000000000000002</v>
      </c>
      <c r="R24" s="51">
        <v>4.2</v>
      </c>
      <c r="S24" s="51">
        <v>2.5</v>
      </c>
      <c r="T24" s="51">
        <v>1.5</v>
      </c>
      <c r="U24" s="51">
        <v>1.8</v>
      </c>
      <c r="V24" s="51">
        <v>2.5</v>
      </c>
      <c r="W24" s="51">
        <v>1.5</v>
      </c>
      <c r="X24" s="51">
        <v>2.2999999999999998</v>
      </c>
      <c r="Y24" s="51">
        <v>2.2999999999999998</v>
      </c>
      <c r="Z24" s="51">
        <v>3.4</v>
      </c>
      <c r="AA24" s="51">
        <v>2.5</v>
      </c>
      <c r="AB24" s="51">
        <v>3.4</v>
      </c>
      <c r="AC24" s="52">
        <v>2.2999999999999998</v>
      </c>
      <c r="AD24" s="52">
        <v>1.3</v>
      </c>
      <c r="AE24" s="51">
        <v>2.5</v>
      </c>
      <c r="AF24" s="51">
        <v>2.5</v>
      </c>
      <c r="AG24" s="46">
        <f t="shared" si="0"/>
        <v>86.5</v>
      </c>
      <c r="AH24" s="48"/>
      <c r="AI24" s="48"/>
    </row>
    <row r="25" spans="1:35" s="44" customFormat="1" ht="18.75" customHeight="1" x14ac:dyDescent="0.35">
      <c r="A25" s="60" t="s">
        <v>74</v>
      </c>
      <c r="B25" s="51">
        <v>3.1</v>
      </c>
      <c r="C25" s="51">
        <v>4.2</v>
      </c>
      <c r="D25" s="51">
        <v>1</v>
      </c>
      <c r="E25" s="51">
        <v>4.5999999999999996</v>
      </c>
      <c r="F25" s="51">
        <v>0.3</v>
      </c>
      <c r="G25" s="51">
        <v>6.8</v>
      </c>
      <c r="H25" s="51">
        <v>9.3000000000000007</v>
      </c>
      <c r="I25" s="51">
        <v>6.7</v>
      </c>
      <c r="J25" s="51">
        <v>4.5999999999999996</v>
      </c>
      <c r="K25" s="51">
        <v>3.5</v>
      </c>
      <c r="L25" s="51">
        <v>4.5</v>
      </c>
      <c r="M25" s="51">
        <v>4</v>
      </c>
      <c r="N25" s="51">
        <v>4.8</v>
      </c>
      <c r="O25" s="51">
        <v>4.4000000000000004</v>
      </c>
      <c r="P25" s="51">
        <v>3.5</v>
      </c>
      <c r="Q25" s="51">
        <v>3</v>
      </c>
      <c r="R25" s="51">
        <v>2</v>
      </c>
      <c r="S25" s="51">
        <v>2.5</v>
      </c>
      <c r="T25" s="51">
        <v>3</v>
      </c>
      <c r="U25" s="51">
        <v>3.5</v>
      </c>
      <c r="V25" s="51">
        <v>3</v>
      </c>
      <c r="W25" s="51">
        <v>3.2</v>
      </c>
      <c r="X25" s="51">
        <v>3.4</v>
      </c>
      <c r="Y25" s="51">
        <v>0</v>
      </c>
      <c r="Z25" s="51">
        <v>0</v>
      </c>
      <c r="AA25" s="51">
        <v>0</v>
      </c>
      <c r="AB25" s="51">
        <v>0</v>
      </c>
      <c r="AC25" s="51">
        <v>4</v>
      </c>
      <c r="AD25" s="51">
        <v>3.8</v>
      </c>
      <c r="AE25" s="51">
        <v>4.5</v>
      </c>
      <c r="AF25" s="51">
        <v>4.0999999999999996</v>
      </c>
      <c r="AG25" s="46">
        <f t="shared" si="0"/>
        <v>105.3</v>
      </c>
      <c r="AH25" s="48"/>
      <c r="AI25" s="48"/>
    </row>
    <row r="26" spans="1:35" s="44" customFormat="1" ht="18.75" customHeight="1" x14ac:dyDescent="0.35">
      <c r="A26" s="60" t="s">
        <v>75</v>
      </c>
      <c r="B26" s="51">
        <v>0.9</v>
      </c>
      <c r="C26" s="51">
        <v>1.2</v>
      </c>
      <c r="D26" s="51">
        <v>1</v>
      </c>
      <c r="E26" s="51">
        <v>0.8</v>
      </c>
      <c r="F26" s="51">
        <v>0.9</v>
      </c>
      <c r="G26" s="51">
        <v>1.7</v>
      </c>
      <c r="H26" s="51">
        <v>0</v>
      </c>
      <c r="I26" s="51">
        <v>0.2</v>
      </c>
      <c r="J26" s="51">
        <v>0</v>
      </c>
      <c r="K26" s="51">
        <v>4</v>
      </c>
      <c r="L26" s="51">
        <v>0.1</v>
      </c>
      <c r="M26" s="51">
        <v>3.2</v>
      </c>
      <c r="N26" s="51">
        <v>0.4</v>
      </c>
      <c r="O26" s="51">
        <v>0</v>
      </c>
      <c r="P26" s="51">
        <v>3.2</v>
      </c>
      <c r="Q26" s="51">
        <v>0</v>
      </c>
      <c r="R26" s="51">
        <v>0.3</v>
      </c>
      <c r="S26" s="51">
        <v>4.0999999999999996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0</v>
      </c>
      <c r="Z26" s="51">
        <v>0.3</v>
      </c>
      <c r="AA26" s="51">
        <v>0.4</v>
      </c>
      <c r="AB26" s="51">
        <v>3.1</v>
      </c>
      <c r="AC26" s="51">
        <v>0.3</v>
      </c>
      <c r="AD26" s="51">
        <v>0.3</v>
      </c>
      <c r="AE26" s="51">
        <v>0.4</v>
      </c>
      <c r="AF26" s="51">
        <v>4.0999999999999996</v>
      </c>
      <c r="AG26" s="46">
        <f t="shared" si="0"/>
        <v>30.9</v>
      </c>
      <c r="AH26" s="48"/>
      <c r="AI26" s="48"/>
    </row>
    <row r="27" spans="1:35" s="44" customFormat="1" ht="18.75" customHeight="1" x14ac:dyDescent="0.35">
      <c r="A27" s="60" t="s">
        <v>77</v>
      </c>
      <c r="B27" s="51">
        <v>0</v>
      </c>
      <c r="C27" s="51">
        <v>0</v>
      </c>
      <c r="D27" s="51">
        <v>0</v>
      </c>
      <c r="E27" s="51">
        <v>0</v>
      </c>
      <c r="F27" s="51">
        <v>0</v>
      </c>
      <c r="G27" s="51">
        <v>0</v>
      </c>
      <c r="H27" s="51">
        <v>0</v>
      </c>
      <c r="I27" s="51">
        <v>0</v>
      </c>
      <c r="J27" s="51">
        <v>0</v>
      </c>
      <c r="K27" s="51">
        <v>0</v>
      </c>
      <c r="L27" s="51">
        <v>0</v>
      </c>
      <c r="M27" s="51">
        <v>0</v>
      </c>
      <c r="N27" s="51">
        <v>0</v>
      </c>
      <c r="O27" s="51">
        <v>0</v>
      </c>
      <c r="P27" s="51">
        <v>0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</v>
      </c>
      <c r="AD27" s="51">
        <v>0</v>
      </c>
      <c r="AE27" s="51">
        <v>0</v>
      </c>
      <c r="AF27" s="51">
        <v>0</v>
      </c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78</v>
      </c>
      <c r="B28" s="51">
        <v>3.2</v>
      </c>
      <c r="C28" s="51">
        <v>5.0999999999999996</v>
      </c>
      <c r="D28" s="51">
        <v>4</v>
      </c>
      <c r="E28" s="51">
        <v>3</v>
      </c>
      <c r="F28" s="51">
        <v>2</v>
      </c>
      <c r="G28" s="51">
        <v>5</v>
      </c>
      <c r="H28" s="51">
        <v>3</v>
      </c>
      <c r="I28" s="51">
        <v>0</v>
      </c>
      <c r="J28" s="51">
        <v>4.9000000000000004</v>
      </c>
      <c r="K28" s="51">
        <v>6.7</v>
      </c>
      <c r="L28" s="51">
        <f>3.7+2.4</f>
        <v>6.1</v>
      </c>
      <c r="M28" s="51">
        <f>3.9+2.7</f>
        <v>6.6</v>
      </c>
      <c r="N28" s="51">
        <f>1.7+2.9</f>
        <v>4.5999999999999996</v>
      </c>
      <c r="O28" s="51">
        <v>3</v>
      </c>
      <c r="P28" s="51">
        <v>2.5</v>
      </c>
      <c r="Q28" s="51">
        <v>3</v>
      </c>
      <c r="R28" s="51">
        <v>4</v>
      </c>
      <c r="S28" s="51">
        <v>3</v>
      </c>
      <c r="T28" s="51">
        <v>4</v>
      </c>
      <c r="U28" s="51">
        <v>5.3</v>
      </c>
      <c r="V28" s="51">
        <v>6.2</v>
      </c>
      <c r="W28" s="51">
        <v>3</v>
      </c>
      <c r="X28" s="51">
        <v>4.3</v>
      </c>
      <c r="Y28" s="51">
        <v>4</v>
      </c>
      <c r="Z28" s="51">
        <v>4.3</v>
      </c>
      <c r="AA28" s="51">
        <v>5.3</v>
      </c>
      <c r="AB28" s="51">
        <v>5.2</v>
      </c>
      <c r="AC28" s="51">
        <v>6.3</v>
      </c>
      <c r="AD28" s="51">
        <v>5.4</v>
      </c>
      <c r="AE28" s="51">
        <v>2.4</v>
      </c>
      <c r="AF28" s="51">
        <v>6.2</v>
      </c>
      <c r="AG28" s="46">
        <f t="shared" si="0"/>
        <v>131.60000000000002</v>
      </c>
      <c r="AH28" s="48"/>
      <c r="AI28" s="48"/>
    </row>
    <row r="29" spans="1:35" s="44" customFormat="1" ht="18.75" customHeight="1" x14ac:dyDescent="0.35">
      <c r="A29" s="60" t="s">
        <v>79</v>
      </c>
      <c r="B29" s="51">
        <v>0</v>
      </c>
      <c r="C29" s="51">
        <v>1</v>
      </c>
      <c r="D29" s="51">
        <v>2</v>
      </c>
      <c r="E29" s="51">
        <v>1.4</v>
      </c>
      <c r="F29" s="51">
        <v>2.1</v>
      </c>
      <c r="G29" s="51">
        <v>1</v>
      </c>
      <c r="H29" s="51">
        <v>0</v>
      </c>
      <c r="I29" s="51">
        <v>1.2</v>
      </c>
      <c r="J29" s="51">
        <v>1</v>
      </c>
      <c r="K29" s="51">
        <v>2.2999999999999998</v>
      </c>
      <c r="L29" s="51">
        <v>2</v>
      </c>
      <c r="M29" s="51">
        <v>1.5</v>
      </c>
      <c r="N29" s="51">
        <v>2</v>
      </c>
      <c r="O29" s="51">
        <v>2</v>
      </c>
      <c r="P29" s="51">
        <v>3</v>
      </c>
      <c r="Q29" s="51">
        <v>1</v>
      </c>
      <c r="R29" s="51">
        <v>1.5</v>
      </c>
      <c r="S29" s="51">
        <v>2</v>
      </c>
      <c r="T29" s="51">
        <v>2</v>
      </c>
      <c r="U29" s="51">
        <v>1</v>
      </c>
      <c r="V29" s="51">
        <v>1.3</v>
      </c>
      <c r="W29" s="51">
        <v>1</v>
      </c>
      <c r="X29" s="51">
        <v>1.2</v>
      </c>
      <c r="Y29" s="51">
        <v>1.1000000000000001</v>
      </c>
      <c r="Z29" s="51">
        <v>1</v>
      </c>
      <c r="AA29" s="51">
        <v>1.6</v>
      </c>
      <c r="AB29" s="51">
        <v>4.5</v>
      </c>
      <c r="AC29" s="51">
        <v>1.2</v>
      </c>
      <c r="AD29" s="51">
        <v>1.3</v>
      </c>
      <c r="AE29" s="51">
        <v>1</v>
      </c>
      <c r="AF29" s="51">
        <v>1.5</v>
      </c>
      <c r="AG29" s="46">
        <f t="shared" si="0"/>
        <v>46.7</v>
      </c>
      <c r="AH29" s="48"/>
      <c r="AI29" s="48"/>
    </row>
    <row r="30" spans="1:35" s="44" customFormat="1" ht="18.75" customHeight="1" x14ac:dyDescent="0.35">
      <c r="A30" s="60" t="s">
        <v>154</v>
      </c>
      <c r="B30" s="51">
        <v>0</v>
      </c>
      <c r="C30" s="51">
        <v>2.5</v>
      </c>
      <c r="D30" s="51">
        <v>2.5</v>
      </c>
      <c r="E30" s="51">
        <v>2.8</v>
      </c>
      <c r="F30" s="51">
        <v>1.8</v>
      </c>
      <c r="G30" s="51">
        <v>1.9</v>
      </c>
      <c r="H30" s="51">
        <v>0</v>
      </c>
      <c r="I30" s="51">
        <v>1.5</v>
      </c>
      <c r="J30" s="51">
        <v>1.3</v>
      </c>
      <c r="K30" s="51">
        <v>1.1000000000000001</v>
      </c>
      <c r="L30" s="51">
        <v>1.3</v>
      </c>
      <c r="M30" s="51">
        <v>1.5</v>
      </c>
      <c r="N30" s="51">
        <v>1.4</v>
      </c>
      <c r="O30" s="51">
        <v>0</v>
      </c>
      <c r="P30" s="51">
        <v>1.8</v>
      </c>
      <c r="Q30" s="51">
        <v>1.3</v>
      </c>
      <c r="R30" s="51">
        <v>0.8</v>
      </c>
      <c r="S30" s="51">
        <v>1.4</v>
      </c>
      <c r="T30" s="51">
        <v>1.8</v>
      </c>
      <c r="U30" s="51">
        <v>1.9</v>
      </c>
      <c r="V30" s="51">
        <v>0</v>
      </c>
      <c r="W30" s="51">
        <v>0</v>
      </c>
      <c r="X30" s="51">
        <v>1.8</v>
      </c>
      <c r="Y30" s="51">
        <v>1.3</v>
      </c>
      <c r="Z30" s="51">
        <v>1.1000000000000001</v>
      </c>
      <c r="AA30" s="51">
        <v>1</v>
      </c>
      <c r="AB30" s="51">
        <v>0.9</v>
      </c>
      <c r="AC30" s="51">
        <v>0</v>
      </c>
      <c r="AD30" s="51">
        <v>2.5</v>
      </c>
      <c r="AE30" s="51">
        <v>2.9</v>
      </c>
      <c r="AF30" s="51">
        <v>2.9</v>
      </c>
      <c r="AG30" s="46">
        <f t="shared" si="0"/>
        <v>42.999999999999993</v>
      </c>
      <c r="AH30" s="48"/>
      <c r="AI30" s="48"/>
    </row>
    <row r="31" spans="1:35" s="44" customFormat="1" ht="18.75" customHeight="1" x14ac:dyDescent="0.35">
      <c r="A31" s="60" t="s">
        <v>80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76</v>
      </c>
      <c r="B32" s="51">
        <v>1.4</v>
      </c>
      <c r="C32" s="51">
        <v>1.45</v>
      </c>
      <c r="D32" s="51">
        <v>1</v>
      </c>
      <c r="E32" s="51">
        <v>1.5</v>
      </c>
      <c r="F32" s="51">
        <v>1</v>
      </c>
      <c r="G32" s="51">
        <v>1.8</v>
      </c>
      <c r="H32" s="51">
        <v>2</v>
      </c>
      <c r="I32" s="51">
        <v>1.45</v>
      </c>
      <c r="J32" s="51">
        <v>0.9</v>
      </c>
      <c r="K32" s="51">
        <v>0.8</v>
      </c>
      <c r="L32" s="51">
        <v>0.5</v>
      </c>
      <c r="M32" s="51">
        <v>2</v>
      </c>
      <c r="N32" s="51">
        <v>2</v>
      </c>
      <c r="O32" s="51">
        <v>2</v>
      </c>
      <c r="P32" s="51">
        <v>2</v>
      </c>
      <c r="Q32" s="51">
        <v>2.9</v>
      </c>
      <c r="R32" s="51">
        <v>2.5</v>
      </c>
      <c r="S32" s="51">
        <v>2</v>
      </c>
      <c r="T32" s="51">
        <v>2.5</v>
      </c>
      <c r="U32" s="51">
        <v>3.5</v>
      </c>
      <c r="V32" s="51">
        <v>2.9</v>
      </c>
      <c r="W32" s="51">
        <v>3.4</v>
      </c>
      <c r="X32" s="51">
        <v>3</v>
      </c>
      <c r="Y32" s="51">
        <v>3</v>
      </c>
      <c r="Z32" s="51">
        <v>4</v>
      </c>
      <c r="AA32" s="51">
        <v>1.4</v>
      </c>
      <c r="AB32" s="51">
        <v>4</v>
      </c>
      <c r="AC32" s="51">
        <v>3.6</v>
      </c>
      <c r="AD32" s="51">
        <v>3.7</v>
      </c>
      <c r="AE32" s="51">
        <v>4</v>
      </c>
      <c r="AF32" s="51">
        <v>3</v>
      </c>
      <c r="AG32" s="46">
        <f t="shared" si="0"/>
        <v>71.2</v>
      </c>
      <c r="AH32" s="48"/>
      <c r="AI32" s="48"/>
    </row>
    <row r="33" spans="1:35" s="44" customFormat="1" ht="18.75" customHeight="1" x14ac:dyDescent="0.35">
      <c r="A33" s="60" t="s">
        <v>266</v>
      </c>
      <c r="B33" s="51">
        <f>8+6.1+5.9</f>
        <v>20</v>
      </c>
      <c r="C33" s="51">
        <f>3.5+4.9+6</f>
        <v>14.4</v>
      </c>
      <c r="D33" s="51">
        <f>3.8+4.1+3.9</f>
        <v>11.799999999999999</v>
      </c>
      <c r="E33" s="51">
        <f>3.8+5.1+4</f>
        <v>12.899999999999999</v>
      </c>
      <c r="F33" s="51">
        <f>5.4+3.3+4</f>
        <v>12.7</v>
      </c>
      <c r="G33" s="51">
        <f>6+4.1+6.3</f>
        <v>16.399999999999999</v>
      </c>
      <c r="H33" s="51">
        <f>7.3+6+5.3</f>
        <v>18.600000000000001</v>
      </c>
      <c r="I33" s="51">
        <f>4.1+2.9+7</f>
        <v>14</v>
      </c>
      <c r="J33" s="51">
        <f>5.8+4.5+3.9</f>
        <v>14.200000000000001</v>
      </c>
      <c r="K33" s="51">
        <f>6.5+4.9+4</f>
        <v>15.4</v>
      </c>
      <c r="L33" s="51">
        <f>5.9+3+4.2</f>
        <v>13.100000000000001</v>
      </c>
      <c r="M33" s="51">
        <f>3.2+3.9</f>
        <v>7.1</v>
      </c>
      <c r="N33" s="51">
        <f>6.3+7+4.9</f>
        <v>18.200000000000003</v>
      </c>
      <c r="O33" s="51">
        <f>2.7+6.5+5</f>
        <v>14.2</v>
      </c>
      <c r="P33" s="51">
        <f>4.3+4+3.8</f>
        <v>12.100000000000001</v>
      </c>
      <c r="Q33" s="51">
        <f>5.4+3.9+4</f>
        <v>13.3</v>
      </c>
      <c r="R33" s="51">
        <f>6+4+3.1</f>
        <v>13.1</v>
      </c>
      <c r="S33" s="51">
        <f>6.9+5.3+4.5</f>
        <v>16.7</v>
      </c>
      <c r="T33" s="51">
        <f>2.8+2.9+2</f>
        <v>7.6999999999999993</v>
      </c>
      <c r="U33" s="51">
        <f>5.3+3+2.8</f>
        <v>11.100000000000001</v>
      </c>
      <c r="V33" s="51">
        <f>3.3+2+3</f>
        <v>8.3000000000000007</v>
      </c>
      <c r="W33" s="51">
        <f>3+6.1+1.3</f>
        <v>10.4</v>
      </c>
      <c r="X33" s="51">
        <f>6.9+3.8+4.9</f>
        <v>15.6</v>
      </c>
      <c r="Y33" s="51">
        <f>7.3+4.3+5.4</f>
        <v>17</v>
      </c>
      <c r="Z33" s="51">
        <f>8.9+7.3+5.9</f>
        <v>22.1</v>
      </c>
      <c r="AA33" s="51">
        <f>5.9+6+3</f>
        <v>14.9</v>
      </c>
      <c r="AB33" s="51">
        <f>2.8+3</f>
        <v>5.8</v>
      </c>
      <c r="AC33" s="51">
        <f>2.7+5.9+4.8</f>
        <v>13.400000000000002</v>
      </c>
      <c r="AD33" s="51">
        <f>6.1+5.3+4</f>
        <v>15.399999999999999</v>
      </c>
      <c r="AE33" s="51">
        <f>5.9+6+4</f>
        <v>15.9</v>
      </c>
      <c r="AF33" s="51">
        <f>4.7+2.9+3.9</f>
        <v>11.5</v>
      </c>
      <c r="AG33" s="84">
        <f>SUM(B33:AF33)</f>
        <v>427.2999999999999</v>
      </c>
      <c r="AH33" s="48"/>
      <c r="AI33" s="48"/>
    </row>
    <row r="34" spans="1:35" s="44" customFormat="1" ht="18.75" customHeight="1" x14ac:dyDescent="0.35">
      <c r="A34" s="60" t="s">
        <v>265</v>
      </c>
      <c r="B34" s="51">
        <v>1.9</v>
      </c>
      <c r="C34" s="51">
        <v>0.5</v>
      </c>
      <c r="D34" s="51">
        <v>0.8</v>
      </c>
      <c r="E34" s="51">
        <v>0.6</v>
      </c>
      <c r="F34" s="51">
        <v>0.5</v>
      </c>
      <c r="G34" s="51">
        <v>0</v>
      </c>
      <c r="H34" s="51">
        <v>1.3</v>
      </c>
      <c r="I34" s="51">
        <v>0.7</v>
      </c>
      <c r="J34" s="51">
        <v>0.5</v>
      </c>
      <c r="K34" s="51">
        <v>0.7</v>
      </c>
      <c r="L34" s="51">
        <v>0.5</v>
      </c>
      <c r="M34" s="51">
        <v>0.9</v>
      </c>
      <c r="N34" s="51">
        <v>0.7</v>
      </c>
      <c r="O34" s="51">
        <v>0.7</v>
      </c>
      <c r="P34" s="51">
        <v>0.6</v>
      </c>
      <c r="Q34" s="51">
        <v>0.5</v>
      </c>
      <c r="R34" s="51">
        <v>0.8</v>
      </c>
      <c r="S34" s="51">
        <v>0.5</v>
      </c>
      <c r="T34" s="51">
        <v>0.5</v>
      </c>
      <c r="U34" s="51">
        <v>0.7</v>
      </c>
      <c r="V34" s="51">
        <v>0.8</v>
      </c>
      <c r="W34" s="51">
        <v>2.2999999999999998</v>
      </c>
      <c r="X34" s="51">
        <v>0.7</v>
      </c>
      <c r="Y34" s="51">
        <v>0.5</v>
      </c>
      <c r="Z34" s="51">
        <v>1</v>
      </c>
      <c r="AA34" s="51">
        <v>1.2</v>
      </c>
      <c r="AB34" s="51">
        <v>0.5</v>
      </c>
      <c r="AC34" s="51">
        <v>0.5</v>
      </c>
      <c r="AD34" s="51">
        <v>0.6</v>
      </c>
      <c r="AE34" s="51">
        <v>0.8</v>
      </c>
      <c r="AF34" s="51">
        <v>0.5</v>
      </c>
      <c r="AG34" s="46">
        <f t="shared" si="0"/>
        <v>23.3</v>
      </c>
      <c r="AH34" s="48"/>
      <c r="AI34" s="48"/>
    </row>
    <row r="35" spans="1:35" s="44" customFormat="1" ht="18.75" customHeight="1" x14ac:dyDescent="0.35">
      <c r="A35" s="60" t="s">
        <v>86</v>
      </c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46">
        <f t="shared" si="0"/>
        <v>0</v>
      </c>
      <c r="AH35" s="48"/>
      <c r="AI35" s="48"/>
    </row>
    <row r="36" spans="1:35" s="44" customFormat="1" ht="18.75" customHeight="1" x14ac:dyDescent="0.35">
      <c r="A36" s="60" t="s">
        <v>82</v>
      </c>
      <c r="B36" s="51">
        <f>7.3+4.2+5.9</f>
        <v>17.399999999999999</v>
      </c>
      <c r="C36" s="51">
        <f>4.3+9.3+0.9</f>
        <v>14.500000000000002</v>
      </c>
      <c r="D36" s="51">
        <f>7.9+9.7+9.8</f>
        <v>27.400000000000002</v>
      </c>
      <c r="E36" s="51">
        <f>9.9+9.8+8.8</f>
        <v>28.500000000000004</v>
      </c>
      <c r="F36" s="51">
        <f>9.9+8.9+7.3</f>
        <v>26.1</v>
      </c>
      <c r="G36" s="51">
        <f>8+9+10</f>
        <v>27</v>
      </c>
      <c r="H36" s="51">
        <f>8+8.4+8.7</f>
        <v>25.099999999999998</v>
      </c>
      <c r="I36" s="51">
        <f>7.8+8.9+4</f>
        <v>20.7</v>
      </c>
      <c r="J36" s="51">
        <f>7.4+7.4+6.3</f>
        <v>21.1</v>
      </c>
      <c r="K36" s="51">
        <f>9.9+6.9+7.3</f>
        <v>24.1</v>
      </c>
      <c r="L36" s="51">
        <f>8.9+6.3+7.3</f>
        <v>22.5</v>
      </c>
      <c r="M36" s="51">
        <f>9.9+9.8+7.9</f>
        <v>27.6</v>
      </c>
      <c r="N36" s="51">
        <f>9.8+9.5+9.3</f>
        <v>28.6</v>
      </c>
      <c r="O36" s="51">
        <f>9.8+6.3+4.4</f>
        <v>20.5</v>
      </c>
      <c r="P36" s="51">
        <f>7.9+7.6+7.5</f>
        <v>23</v>
      </c>
      <c r="Q36" s="143">
        <f>7.42+6.45+5.95</f>
        <v>19.82</v>
      </c>
      <c r="R36" s="51">
        <f>7.4+6.1+8.3</f>
        <v>21.8</v>
      </c>
      <c r="S36" s="51">
        <f>7.07+7.1+6.2</f>
        <v>20.37</v>
      </c>
      <c r="T36" s="51">
        <f>14.5+13.5+0.12</f>
        <v>28.12</v>
      </c>
      <c r="U36" s="51">
        <f>10.5+8.07+6.45</f>
        <v>25.02</v>
      </c>
      <c r="V36" s="51">
        <f>8.745+7.45+6.75</f>
        <v>22.945</v>
      </c>
      <c r="W36" s="51">
        <f>14.3+14.5+17</f>
        <v>45.8</v>
      </c>
      <c r="X36" s="51">
        <f>3.4+5.7+7</f>
        <v>16.100000000000001</v>
      </c>
      <c r="Y36" s="51">
        <v>0</v>
      </c>
      <c r="Z36" s="51">
        <f>3.4+2.1</f>
        <v>5.5</v>
      </c>
      <c r="AA36" s="51">
        <f>12.8+17.2+16.9</f>
        <v>46.9</v>
      </c>
      <c r="AB36" s="51">
        <f>7.4+7.8+8.8</f>
        <v>24</v>
      </c>
      <c r="AC36" s="51">
        <f>18.5+18.6+19</f>
        <v>56.1</v>
      </c>
      <c r="AD36" s="51">
        <f>16.6+16.2+19.2</f>
        <v>52</v>
      </c>
      <c r="AE36" s="51">
        <f>18.2+16.4+17.2</f>
        <v>51.8</v>
      </c>
      <c r="AF36" s="51">
        <v>0</v>
      </c>
      <c r="AG36" s="46">
        <f>SUM(B36:AF36)</f>
        <v>790.375</v>
      </c>
      <c r="AH36" s="48"/>
      <c r="AI36" s="48"/>
    </row>
    <row r="37" spans="1:35" s="44" customFormat="1" ht="18.75" customHeight="1" x14ac:dyDescent="0.35">
      <c r="A37" s="60" t="s">
        <v>178</v>
      </c>
      <c r="B37" s="51">
        <v>0.3</v>
      </c>
      <c r="C37" s="51">
        <v>0.6</v>
      </c>
      <c r="D37" s="51">
        <v>0.3</v>
      </c>
      <c r="E37" s="51">
        <v>0.8</v>
      </c>
      <c r="F37" s="51">
        <v>0.3</v>
      </c>
      <c r="G37" s="51">
        <v>0.4</v>
      </c>
      <c r="H37" s="51">
        <v>0.3</v>
      </c>
      <c r="I37" s="51">
        <v>0.9</v>
      </c>
      <c r="J37" s="51">
        <v>0.3</v>
      </c>
      <c r="K37" s="51">
        <v>0.1</v>
      </c>
      <c r="L37" s="51">
        <v>0.7</v>
      </c>
      <c r="M37" s="51">
        <v>1</v>
      </c>
      <c r="N37" s="51">
        <v>0.5</v>
      </c>
      <c r="O37" s="51">
        <v>0.3</v>
      </c>
      <c r="P37" s="51">
        <v>0.3</v>
      </c>
      <c r="Q37" s="51">
        <v>0.7</v>
      </c>
      <c r="R37" s="51">
        <v>0.3</v>
      </c>
      <c r="S37" s="51">
        <v>0.8</v>
      </c>
      <c r="T37" s="51">
        <v>0.5</v>
      </c>
      <c r="U37" s="51">
        <v>0</v>
      </c>
      <c r="V37" s="51">
        <v>0</v>
      </c>
      <c r="W37" s="51">
        <v>0</v>
      </c>
      <c r="X37" s="51">
        <v>0.3</v>
      </c>
      <c r="Y37" s="51">
        <v>0.1</v>
      </c>
      <c r="Z37" s="51">
        <v>0.2</v>
      </c>
      <c r="AA37" s="51">
        <v>0.4</v>
      </c>
      <c r="AB37" s="51">
        <v>0.7</v>
      </c>
      <c r="AC37" s="51">
        <v>0</v>
      </c>
      <c r="AD37" s="51">
        <v>0.1</v>
      </c>
      <c r="AE37" s="51">
        <v>1</v>
      </c>
      <c r="AF37" s="51">
        <v>0.9</v>
      </c>
      <c r="AG37" s="46">
        <f>SUM(B37:AF37)</f>
        <v>13.1</v>
      </c>
      <c r="AH37" s="48"/>
      <c r="AI37" s="48"/>
    </row>
    <row r="38" spans="1:35" s="44" customFormat="1" ht="18.75" customHeight="1" x14ac:dyDescent="0.35">
      <c r="A38" s="60"/>
      <c r="B38" s="51"/>
      <c r="C38" s="51"/>
      <c r="D38" s="51"/>
      <c r="E38" s="51"/>
      <c r="F38" s="51"/>
      <c r="G38" s="51"/>
      <c r="H38" s="51"/>
      <c r="I38" s="51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1"/>
      <c r="AA38" s="51"/>
      <c r="AB38" s="51"/>
      <c r="AC38" s="51"/>
      <c r="AD38" s="51"/>
      <c r="AE38" s="51"/>
      <c r="AF38" s="51"/>
      <c r="AG38" s="46"/>
      <c r="AH38" s="48"/>
      <c r="AI38" s="48"/>
    </row>
    <row r="39" spans="1:35" s="44" customFormat="1" ht="18.75" customHeight="1" x14ac:dyDescent="0.35">
      <c r="A39" s="60"/>
      <c r="B39" s="51"/>
      <c r="C39" s="51"/>
      <c r="D39" s="51"/>
      <c r="E39" s="51"/>
      <c r="F39" s="51"/>
      <c r="G39" s="51"/>
      <c r="H39" s="51"/>
      <c r="I39" s="51"/>
      <c r="J39" s="51"/>
      <c r="K39" s="51"/>
      <c r="L39" s="51"/>
      <c r="M39" s="51"/>
      <c r="N39" s="51"/>
      <c r="O39" s="51"/>
      <c r="P39" s="51"/>
      <c r="Q39" s="51"/>
      <c r="R39" s="51"/>
      <c r="S39" s="51"/>
      <c r="T39" s="51"/>
      <c r="U39" s="51"/>
      <c r="V39" s="51"/>
      <c r="W39" s="51"/>
      <c r="X39" s="51"/>
      <c r="Y39" s="51"/>
      <c r="Z39" s="51"/>
      <c r="AA39" s="51"/>
      <c r="AB39" s="51"/>
      <c r="AC39" s="51"/>
      <c r="AD39" s="51"/>
      <c r="AE39" s="51"/>
      <c r="AF39" s="51"/>
      <c r="AG39" s="46"/>
      <c r="AH39" s="48"/>
      <c r="AI39" s="48"/>
    </row>
    <row r="40" spans="1:35" s="44" customFormat="1" ht="18.75" customHeight="1" x14ac:dyDescent="0.35">
      <c r="A40" s="59" t="s">
        <v>155</v>
      </c>
      <c r="B40" s="51">
        <f>SUM(B3:B37)</f>
        <v>69.999999999999986</v>
      </c>
      <c r="C40" s="51">
        <f t="shared" ref="C40:AF40" si="1">SUM(C3:C37)</f>
        <v>70.260000000000005</v>
      </c>
      <c r="D40" s="51">
        <f t="shared" si="1"/>
        <v>78.91</v>
      </c>
      <c r="E40" s="51">
        <f t="shared" si="1"/>
        <v>79.400000000000006</v>
      </c>
      <c r="F40" s="51">
        <f t="shared" si="1"/>
        <v>68.69</v>
      </c>
      <c r="G40" s="51">
        <f t="shared" si="1"/>
        <v>80.11</v>
      </c>
      <c r="H40" s="51">
        <f t="shared" si="1"/>
        <v>77.31</v>
      </c>
      <c r="I40" s="51">
        <f t="shared" si="1"/>
        <v>70.000000000000014</v>
      </c>
      <c r="J40" s="51">
        <f t="shared" si="1"/>
        <v>72.469999999999985</v>
      </c>
      <c r="K40" s="51">
        <f t="shared" si="1"/>
        <v>85.81</v>
      </c>
      <c r="L40" s="51">
        <f t="shared" si="1"/>
        <v>79.7</v>
      </c>
      <c r="M40" s="51">
        <f t="shared" si="1"/>
        <v>86.100000000000009</v>
      </c>
      <c r="N40" s="51">
        <f t="shared" si="1"/>
        <v>89.2</v>
      </c>
      <c r="O40" s="51">
        <f t="shared" si="1"/>
        <v>74.2</v>
      </c>
      <c r="P40" s="51">
        <f t="shared" si="1"/>
        <v>85.2</v>
      </c>
      <c r="Q40" s="51">
        <f t="shared" si="1"/>
        <v>65.320000000000007</v>
      </c>
      <c r="R40" s="51">
        <f t="shared" si="1"/>
        <v>81.099999999999994</v>
      </c>
      <c r="S40" s="51">
        <f t="shared" si="1"/>
        <v>85.77000000000001</v>
      </c>
      <c r="T40" s="51">
        <f t="shared" si="1"/>
        <v>83.42</v>
      </c>
      <c r="U40" s="51">
        <f t="shared" si="1"/>
        <v>86.11999999999999</v>
      </c>
      <c r="V40" s="51">
        <f t="shared" si="1"/>
        <v>77.544999999999987</v>
      </c>
      <c r="W40" s="51">
        <f t="shared" si="1"/>
        <v>100</v>
      </c>
      <c r="X40" s="51">
        <f t="shared" si="1"/>
        <v>79.899999999999991</v>
      </c>
      <c r="Y40" s="51">
        <f t="shared" si="1"/>
        <v>52.6</v>
      </c>
      <c r="Z40" s="51">
        <f t="shared" si="1"/>
        <v>66.8</v>
      </c>
      <c r="AA40" s="51">
        <f t="shared" si="1"/>
        <v>99.800000000000011</v>
      </c>
      <c r="AB40" s="51">
        <f t="shared" si="1"/>
        <v>78.2</v>
      </c>
      <c r="AC40" s="51">
        <f t="shared" si="1"/>
        <v>111.60000000000002</v>
      </c>
      <c r="AD40" s="51">
        <f t="shared" si="1"/>
        <v>110.8</v>
      </c>
      <c r="AE40" s="51">
        <f t="shared" si="1"/>
        <v>105.99999999999999</v>
      </c>
      <c r="AF40" s="51">
        <f t="shared" si="1"/>
        <v>55.4</v>
      </c>
      <c r="AG40" s="56">
        <f>SUM(B40:AF40)</f>
        <v>2507.7350000000001</v>
      </c>
      <c r="AH40" s="57"/>
      <c r="AI40" s="57"/>
    </row>
    <row r="41" spans="1:35" s="2" customFormat="1" x14ac:dyDescent="0.25">
      <c r="AG41" s="24">
        <f>SUM(AG3:AG36)</f>
        <v>2485.6350000000002</v>
      </c>
    </row>
    <row r="42" spans="1:35" s="2" customFormat="1" x14ac:dyDescent="0.25"/>
    <row r="43" spans="1:35" s="2" customFormat="1" x14ac:dyDescent="0.25"/>
  </sheetData>
  <mergeCells count="1">
    <mergeCell ref="A1:AG1"/>
  </mergeCells>
  <conditionalFormatting sqref="AG40">
    <cfRule type="cellIs" dxfId="105" priority="2" operator="equal">
      <formula>$AG$41</formula>
    </cfRule>
  </conditionalFormatting>
  <conditionalFormatting sqref="AG41">
    <cfRule type="cellIs" dxfId="104" priority="1" operator="equal">
      <formula>$AG$40</formula>
    </cfRule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0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2" width="8" customWidth="1"/>
    <col min="3" max="32" width="7.42578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46">
        <f>SUM(GRI_05_23!B5:AF5)</f>
        <v>76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ref="AG6:AG34" si="0">SUM(B6:AF6)</f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Q9" s="51"/>
      <c r="R9" s="51"/>
      <c r="S9" s="51"/>
      <c r="T9" s="51"/>
      <c r="U9" s="51"/>
      <c r="V9" s="51"/>
      <c r="W9" s="51"/>
      <c r="X9" s="51"/>
      <c r="Y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63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91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150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69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71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72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85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194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2"/>
      <c r="T19" s="52"/>
      <c r="U19" s="52"/>
      <c r="V19" s="52"/>
      <c r="W19" s="52"/>
      <c r="X19" s="52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73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92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238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74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75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77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79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81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143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 t="shared" si="0"/>
        <v>0</v>
      </c>
      <c r="AH33" s="48"/>
      <c r="AI33" s="48"/>
    </row>
    <row r="34" spans="1:35" s="44" customFormat="1" ht="18.75" customHeight="1" x14ac:dyDescent="0.35">
      <c r="A34" s="60" t="s">
        <v>178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6">
        <f t="shared" si="0"/>
        <v>0</v>
      </c>
      <c r="AH34" s="48"/>
      <c r="AI34" s="48"/>
    </row>
    <row r="35" spans="1:35" s="44" customFormat="1" ht="18.75" customHeight="1" x14ac:dyDescent="0.35">
      <c r="A35" s="60"/>
      <c r="B35" s="51"/>
      <c r="C35" s="51"/>
      <c r="D35" s="51"/>
      <c r="E35" s="51"/>
      <c r="F35" s="51"/>
      <c r="G35" s="51"/>
      <c r="H35" s="51"/>
      <c r="I35" s="51"/>
      <c r="J35" s="51"/>
      <c r="K35" s="51"/>
      <c r="L35" s="51"/>
      <c r="M35" s="51"/>
      <c r="N35" s="51"/>
      <c r="O35" s="51"/>
      <c r="P35" s="51"/>
      <c r="Q35" s="51"/>
      <c r="R35" s="51"/>
      <c r="S35" s="51"/>
      <c r="T35" s="51"/>
      <c r="U35" s="51"/>
      <c r="V35" s="51"/>
      <c r="W35" s="51"/>
      <c r="X35" s="51"/>
      <c r="Y35" s="51"/>
      <c r="Z35" s="51"/>
      <c r="AA35" s="51"/>
      <c r="AB35" s="51"/>
      <c r="AC35" s="51"/>
      <c r="AD35" s="51"/>
      <c r="AE35" s="51"/>
      <c r="AF35" s="51"/>
      <c r="AG35" s="46"/>
      <c r="AH35" s="48"/>
      <c r="AI35" s="48"/>
    </row>
    <row r="36" spans="1:35" s="44" customFormat="1" ht="18.75" customHeight="1" x14ac:dyDescent="0.35">
      <c r="A36" s="60"/>
      <c r="B36" s="51"/>
      <c r="C36" s="51"/>
      <c r="D36" s="51"/>
      <c r="E36" s="51"/>
      <c r="F36" s="51"/>
      <c r="G36" s="51"/>
      <c r="H36" s="51"/>
      <c r="I36" s="51"/>
      <c r="J36" s="51"/>
      <c r="K36" s="51"/>
      <c r="L36" s="51"/>
      <c r="M36" s="51"/>
      <c r="N36" s="51"/>
      <c r="O36" s="51"/>
      <c r="P36" s="51"/>
      <c r="Q36" s="51"/>
      <c r="R36" s="51"/>
      <c r="S36" s="51"/>
      <c r="T36" s="51"/>
      <c r="U36" s="51"/>
      <c r="V36" s="51"/>
      <c r="W36" s="51"/>
      <c r="X36" s="51"/>
      <c r="Y36" s="51"/>
      <c r="Z36" s="51"/>
      <c r="AA36" s="51"/>
      <c r="AB36" s="51"/>
      <c r="AC36" s="51"/>
      <c r="AD36" s="51"/>
      <c r="AE36" s="51"/>
      <c r="AF36" s="51"/>
      <c r="AG36" s="46"/>
      <c r="AH36" s="48"/>
      <c r="AI36" s="48"/>
    </row>
    <row r="37" spans="1:35" s="44" customFormat="1" ht="18.75" customHeight="1" x14ac:dyDescent="0.35">
      <c r="A37" s="59" t="s">
        <v>155</v>
      </c>
      <c r="B37" s="51">
        <f t="shared" ref="B37:AF37" si="1">SUM(B3:B34)</f>
        <v>0</v>
      </c>
      <c r="C37" s="51">
        <f t="shared" si="1"/>
        <v>0</v>
      </c>
      <c r="D37" s="51">
        <f t="shared" si="1"/>
        <v>0</v>
      </c>
      <c r="E37" s="51">
        <f t="shared" si="1"/>
        <v>0</v>
      </c>
      <c r="F37" s="51">
        <f t="shared" si="1"/>
        <v>0</v>
      </c>
      <c r="G37" s="51">
        <f t="shared" si="1"/>
        <v>0</v>
      </c>
      <c r="H37" s="51">
        <f t="shared" si="1"/>
        <v>0</v>
      </c>
      <c r="I37" s="51">
        <f t="shared" si="1"/>
        <v>0</v>
      </c>
      <c r="J37" s="51">
        <f t="shared" si="1"/>
        <v>0</v>
      </c>
      <c r="K37" s="51">
        <f t="shared" si="1"/>
        <v>0</v>
      </c>
      <c r="L37" s="51">
        <f t="shared" si="1"/>
        <v>0</v>
      </c>
      <c r="M37" s="51">
        <f t="shared" si="1"/>
        <v>0</v>
      </c>
      <c r="N37" s="51">
        <f t="shared" si="1"/>
        <v>0</v>
      </c>
      <c r="O37" s="51">
        <f t="shared" si="1"/>
        <v>0</v>
      </c>
      <c r="P37" s="51">
        <f t="shared" si="1"/>
        <v>0</v>
      </c>
      <c r="Q37" s="51">
        <f t="shared" si="1"/>
        <v>0</v>
      </c>
      <c r="R37" s="51">
        <f t="shared" si="1"/>
        <v>0</v>
      </c>
      <c r="S37" s="51">
        <f t="shared" si="1"/>
        <v>0</v>
      </c>
      <c r="T37" s="51">
        <f t="shared" si="1"/>
        <v>0</v>
      </c>
      <c r="U37" s="51">
        <f t="shared" si="1"/>
        <v>0</v>
      </c>
      <c r="V37" s="51">
        <f t="shared" si="1"/>
        <v>0</v>
      </c>
      <c r="W37" s="51">
        <f t="shared" si="1"/>
        <v>0</v>
      </c>
      <c r="X37" s="51">
        <f t="shared" si="1"/>
        <v>0</v>
      </c>
      <c r="Y37" s="51">
        <f t="shared" si="1"/>
        <v>0</v>
      </c>
      <c r="Z37" s="51">
        <f t="shared" si="1"/>
        <v>0</v>
      </c>
      <c r="AA37" s="51">
        <f t="shared" si="1"/>
        <v>0</v>
      </c>
      <c r="AB37" s="51">
        <f t="shared" si="1"/>
        <v>0</v>
      </c>
      <c r="AC37" s="51">
        <f t="shared" si="1"/>
        <v>0</v>
      </c>
      <c r="AD37" s="51">
        <f t="shared" si="1"/>
        <v>0</v>
      </c>
      <c r="AE37" s="51">
        <f t="shared" si="1"/>
        <v>0</v>
      </c>
      <c r="AF37" s="51">
        <f t="shared" si="1"/>
        <v>0</v>
      </c>
      <c r="AG37" s="56">
        <f>SUM(B37:AF37)</f>
        <v>0</v>
      </c>
      <c r="AH37" s="57"/>
      <c r="AI37" s="57"/>
    </row>
    <row r="38" spans="1:35" s="2" customFormat="1" x14ac:dyDescent="0.25">
      <c r="AG38" s="24">
        <f>SUM(AG3:AG33)</f>
        <v>76</v>
      </c>
    </row>
    <row r="39" spans="1:35" s="2" customFormat="1" x14ac:dyDescent="0.25"/>
    <row r="40" spans="1:35" s="2" customFormat="1" x14ac:dyDescent="0.25"/>
  </sheetData>
  <mergeCells count="1">
    <mergeCell ref="A1:AG1"/>
  </mergeCells>
  <conditionalFormatting sqref="AG37">
    <cfRule type="cellIs" dxfId="103" priority="2" operator="equal">
      <formula>$AG$38</formula>
    </cfRule>
  </conditionalFormatting>
  <conditionalFormatting sqref="AG38">
    <cfRule type="cellIs" dxfId="102" priority="1" operator="equal">
      <formula>$AG$37</formula>
    </cfRule>
  </conditionalFormatting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32" width="7.42578125" customWidth="1"/>
    <col min="33" max="33" width="13" bestFit="1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143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63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91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150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69</v>
      </c>
      <c r="B15" s="51"/>
      <c r="C15" s="51"/>
      <c r="D15" s="51"/>
      <c r="E15" s="51"/>
      <c r="F15" s="51"/>
      <c r="G15" s="51"/>
      <c r="H15" s="51"/>
      <c r="I15" s="143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71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72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85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194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73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92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89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74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75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77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79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81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>SUM(B33:AF33)</f>
        <v>0</v>
      </c>
      <c r="AH33" s="48"/>
      <c r="AI33" s="48"/>
    </row>
    <row r="34" spans="1:35" s="44" customFormat="1" ht="18.75" customHeight="1" x14ac:dyDescent="0.35">
      <c r="A34" s="60" t="s">
        <v>178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6">
        <f>SUM(B34:AF34)</f>
        <v>0</v>
      </c>
      <c r="AH34" s="48"/>
      <c r="AI34" s="48"/>
    </row>
    <row r="35" spans="1:35" s="44" customFormat="1" ht="18.75" customHeight="1" x14ac:dyDescent="0.35">
      <c r="A35" s="59" t="s">
        <v>155</v>
      </c>
      <c r="B35" s="51">
        <f>SUM(B3:B34)</f>
        <v>0</v>
      </c>
      <c r="C35" s="51">
        <f t="shared" ref="C35:AF35" si="1">SUM(C3:C34)</f>
        <v>0</v>
      </c>
      <c r="D35" s="51">
        <f t="shared" si="1"/>
        <v>0</v>
      </c>
      <c r="E35" s="51">
        <f t="shared" si="1"/>
        <v>0</v>
      </c>
      <c r="F35" s="51">
        <f t="shared" si="1"/>
        <v>0</v>
      </c>
      <c r="G35" s="51">
        <f t="shared" si="1"/>
        <v>0</v>
      </c>
      <c r="H35" s="51">
        <f t="shared" si="1"/>
        <v>0</v>
      </c>
      <c r="I35" s="51">
        <f t="shared" si="1"/>
        <v>0</v>
      </c>
      <c r="J35" s="51">
        <f t="shared" si="1"/>
        <v>0</v>
      </c>
      <c r="K35" s="51">
        <f t="shared" si="1"/>
        <v>0</v>
      </c>
      <c r="L35" s="51">
        <f t="shared" si="1"/>
        <v>0</v>
      </c>
      <c r="M35" s="51">
        <f t="shared" si="1"/>
        <v>0</v>
      </c>
      <c r="N35" s="51">
        <f t="shared" si="1"/>
        <v>0</v>
      </c>
      <c r="O35" s="51">
        <f t="shared" si="1"/>
        <v>0</v>
      </c>
      <c r="P35" s="51">
        <f t="shared" si="1"/>
        <v>0</v>
      </c>
      <c r="Q35" s="51">
        <f t="shared" si="1"/>
        <v>0</v>
      </c>
      <c r="R35" s="51">
        <f t="shared" si="1"/>
        <v>0</v>
      </c>
      <c r="S35" s="51">
        <f t="shared" si="1"/>
        <v>0</v>
      </c>
      <c r="T35" s="51">
        <f t="shared" si="1"/>
        <v>0</v>
      </c>
      <c r="U35" s="51">
        <f t="shared" si="1"/>
        <v>0</v>
      </c>
      <c r="V35" s="51">
        <f t="shared" si="1"/>
        <v>0</v>
      </c>
      <c r="W35" s="51">
        <f t="shared" si="1"/>
        <v>0</v>
      </c>
      <c r="X35" s="51">
        <f t="shared" si="1"/>
        <v>0</v>
      </c>
      <c r="Y35" s="51">
        <f t="shared" si="1"/>
        <v>0</v>
      </c>
      <c r="Z35" s="51">
        <f t="shared" si="1"/>
        <v>0</v>
      </c>
      <c r="AA35" s="51">
        <f t="shared" si="1"/>
        <v>0</v>
      </c>
      <c r="AB35" s="51">
        <f t="shared" si="1"/>
        <v>0</v>
      </c>
      <c r="AC35" s="51">
        <f t="shared" si="1"/>
        <v>0</v>
      </c>
      <c r="AD35" s="51">
        <f t="shared" si="1"/>
        <v>0</v>
      </c>
      <c r="AE35" s="51">
        <f t="shared" si="1"/>
        <v>0</v>
      </c>
      <c r="AF35" s="51">
        <f t="shared" si="1"/>
        <v>0</v>
      </c>
      <c r="AG35" s="56">
        <f>SUM(B35:AF35)</f>
        <v>0</v>
      </c>
      <c r="AH35" s="57"/>
      <c r="AI35" s="57"/>
    </row>
    <row r="36" spans="1:35" s="2" customFormat="1" x14ac:dyDescent="0.25">
      <c r="AG36" s="152">
        <f>SUM(AG3:AG33)</f>
        <v>0</v>
      </c>
    </row>
    <row r="37" spans="1:35" s="2" customFormat="1" x14ac:dyDescent="0.25"/>
    <row r="38" spans="1:35" s="2" customFormat="1" x14ac:dyDescent="0.25"/>
  </sheetData>
  <mergeCells count="1">
    <mergeCell ref="A1:AG1"/>
  </mergeCells>
  <conditionalFormatting sqref="AG35">
    <cfRule type="cellIs" dxfId="101" priority="2" operator="equal">
      <formula>$AG$36</formula>
    </cfRule>
  </conditionalFormatting>
  <conditionalFormatting sqref="AG36">
    <cfRule type="cellIs" dxfId="100" priority="1" operator="equal">
      <formula>$AG$35</formula>
    </cfRule>
  </conditionalFormatting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32" width="7.42578125" customWidth="1"/>
    <col min="33" max="33" width="13" bestFit="1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143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63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91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150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69</v>
      </c>
      <c r="B15" s="51"/>
      <c r="C15" s="51"/>
      <c r="D15" s="51"/>
      <c r="E15" s="51"/>
      <c r="F15" s="51"/>
      <c r="G15" s="51"/>
      <c r="H15" s="51"/>
      <c r="I15" s="143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71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72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85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194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73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92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89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74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75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77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79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81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>SUM(B33:AF33)</f>
        <v>0</v>
      </c>
      <c r="AH33" s="48"/>
      <c r="AI33" s="48"/>
    </row>
    <row r="34" spans="1:35" s="44" customFormat="1" ht="18.75" customHeight="1" x14ac:dyDescent="0.35">
      <c r="A34" s="60" t="s">
        <v>178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6">
        <f>SUM(B34:AF34)</f>
        <v>0</v>
      </c>
      <c r="AH34" s="48"/>
      <c r="AI34" s="48"/>
    </row>
    <row r="35" spans="1:35" s="44" customFormat="1" ht="18.75" customHeight="1" x14ac:dyDescent="0.35">
      <c r="A35" s="59" t="s">
        <v>155</v>
      </c>
      <c r="B35" s="51">
        <f>SUM(B3:B34)</f>
        <v>0</v>
      </c>
      <c r="C35" s="51">
        <f t="shared" ref="C35:AF35" si="1">SUM(C3:C34)</f>
        <v>0</v>
      </c>
      <c r="D35" s="51">
        <f t="shared" si="1"/>
        <v>0</v>
      </c>
      <c r="E35" s="51">
        <f t="shared" si="1"/>
        <v>0</v>
      </c>
      <c r="F35" s="51">
        <f t="shared" si="1"/>
        <v>0</v>
      </c>
      <c r="G35" s="51">
        <f t="shared" si="1"/>
        <v>0</v>
      </c>
      <c r="H35" s="51">
        <f t="shared" si="1"/>
        <v>0</v>
      </c>
      <c r="I35" s="51">
        <f t="shared" si="1"/>
        <v>0</v>
      </c>
      <c r="J35" s="51">
        <f t="shared" si="1"/>
        <v>0</v>
      </c>
      <c r="K35" s="51">
        <f t="shared" si="1"/>
        <v>0</v>
      </c>
      <c r="L35" s="51">
        <f t="shared" si="1"/>
        <v>0</v>
      </c>
      <c r="M35" s="51">
        <f t="shared" si="1"/>
        <v>0</v>
      </c>
      <c r="N35" s="51">
        <f t="shared" si="1"/>
        <v>0</v>
      </c>
      <c r="O35" s="51">
        <f t="shared" si="1"/>
        <v>0</v>
      </c>
      <c r="P35" s="51">
        <f t="shared" si="1"/>
        <v>0</v>
      </c>
      <c r="Q35" s="51">
        <f t="shared" si="1"/>
        <v>0</v>
      </c>
      <c r="R35" s="51">
        <f t="shared" si="1"/>
        <v>0</v>
      </c>
      <c r="S35" s="51">
        <f t="shared" si="1"/>
        <v>0</v>
      </c>
      <c r="T35" s="51">
        <f t="shared" si="1"/>
        <v>0</v>
      </c>
      <c r="U35" s="51">
        <f t="shared" si="1"/>
        <v>0</v>
      </c>
      <c r="V35" s="51">
        <f t="shared" si="1"/>
        <v>0</v>
      </c>
      <c r="W35" s="51">
        <f t="shared" si="1"/>
        <v>0</v>
      </c>
      <c r="X35" s="51">
        <f t="shared" si="1"/>
        <v>0</v>
      </c>
      <c r="Y35" s="51">
        <f t="shared" si="1"/>
        <v>0</v>
      </c>
      <c r="Z35" s="51">
        <f t="shared" si="1"/>
        <v>0</v>
      </c>
      <c r="AA35" s="51">
        <f t="shared" si="1"/>
        <v>0</v>
      </c>
      <c r="AB35" s="51">
        <f t="shared" si="1"/>
        <v>0</v>
      </c>
      <c r="AC35" s="51">
        <f t="shared" si="1"/>
        <v>0</v>
      </c>
      <c r="AD35" s="51">
        <f t="shared" si="1"/>
        <v>0</v>
      </c>
      <c r="AE35" s="51">
        <f t="shared" si="1"/>
        <v>0</v>
      </c>
      <c r="AF35" s="51">
        <f t="shared" si="1"/>
        <v>0</v>
      </c>
      <c r="AG35" s="56">
        <f>SUM(B35:AF35)</f>
        <v>0</v>
      </c>
      <c r="AH35" s="57"/>
      <c r="AI35" s="57"/>
    </row>
    <row r="36" spans="1:35" s="2" customFormat="1" x14ac:dyDescent="0.25">
      <c r="AG36" s="152">
        <f>SUM(AG3:AG33)</f>
        <v>0</v>
      </c>
    </row>
    <row r="37" spans="1:35" s="2" customFormat="1" x14ac:dyDescent="0.25"/>
    <row r="38" spans="1:35" s="2" customFormat="1" x14ac:dyDescent="0.25"/>
  </sheetData>
  <mergeCells count="1">
    <mergeCell ref="A1:AG1"/>
  </mergeCells>
  <conditionalFormatting sqref="AG35">
    <cfRule type="cellIs" dxfId="99" priority="2" operator="equal">
      <formula>$AG$36</formula>
    </cfRule>
  </conditionalFormatting>
  <conditionalFormatting sqref="AG36">
    <cfRule type="cellIs" dxfId="98" priority="1" operator="equal">
      <formula>$AG$35</formula>
    </cfRule>
  </conditionalFormatting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32" width="7.42578125" customWidth="1"/>
    <col min="33" max="33" width="13" bestFit="1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143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63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91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150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69</v>
      </c>
      <c r="B15" s="51"/>
      <c r="C15" s="51"/>
      <c r="D15" s="51"/>
      <c r="E15" s="51"/>
      <c r="F15" s="51"/>
      <c r="G15" s="51"/>
      <c r="H15" s="51"/>
      <c r="I15" s="143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71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72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85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194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73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92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89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74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75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77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79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76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81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>SUM(B33:AF33)</f>
        <v>0</v>
      </c>
      <c r="AH33" s="48"/>
      <c r="AI33" s="48"/>
    </row>
    <row r="34" spans="1:35" s="44" customFormat="1" ht="18.75" customHeight="1" x14ac:dyDescent="0.35">
      <c r="A34" s="60" t="s">
        <v>178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6">
        <f>SUM(B34:AF34)</f>
        <v>0</v>
      </c>
      <c r="AH34" s="48"/>
      <c r="AI34" s="48"/>
    </row>
    <row r="35" spans="1:35" s="44" customFormat="1" ht="18.75" customHeight="1" x14ac:dyDescent="0.35">
      <c r="A35" s="59" t="s">
        <v>155</v>
      </c>
      <c r="B35" s="51">
        <f>SUM(B3:B34)</f>
        <v>0</v>
      </c>
      <c r="C35" s="51">
        <f t="shared" ref="C35:AF35" si="1">SUM(C3:C34)</f>
        <v>0</v>
      </c>
      <c r="D35" s="51">
        <f t="shared" si="1"/>
        <v>0</v>
      </c>
      <c r="E35" s="51">
        <f t="shared" si="1"/>
        <v>0</v>
      </c>
      <c r="F35" s="51">
        <f t="shared" si="1"/>
        <v>0</v>
      </c>
      <c r="G35" s="51">
        <f t="shared" si="1"/>
        <v>0</v>
      </c>
      <c r="H35" s="51">
        <f t="shared" si="1"/>
        <v>0</v>
      </c>
      <c r="I35" s="51">
        <f t="shared" si="1"/>
        <v>0</v>
      </c>
      <c r="J35" s="51">
        <f t="shared" si="1"/>
        <v>0</v>
      </c>
      <c r="K35" s="51">
        <f t="shared" si="1"/>
        <v>0</v>
      </c>
      <c r="L35" s="51">
        <f t="shared" si="1"/>
        <v>0</v>
      </c>
      <c r="M35" s="51">
        <f t="shared" si="1"/>
        <v>0</v>
      </c>
      <c r="N35" s="51">
        <f t="shared" si="1"/>
        <v>0</v>
      </c>
      <c r="O35" s="51">
        <f t="shared" si="1"/>
        <v>0</v>
      </c>
      <c r="P35" s="51">
        <f t="shared" si="1"/>
        <v>0</v>
      </c>
      <c r="Q35" s="51">
        <f t="shared" si="1"/>
        <v>0</v>
      </c>
      <c r="R35" s="51">
        <f t="shared" si="1"/>
        <v>0</v>
      </c>
      <c r="S35" s="51">
        <f t="shared" si="1"/>
        <v>0</v>
      </c>
      <c r="T35" s="51">
        <f t="shared" si="1"/>
        <v>0</v>
      </c>
      <c r="U35" s="51">
        <f t="shared" si="1"/>
        <v>0</v>
      </c>
      <c r="V35" s="51">
        <f t="shared" si="1"/>
        <v>0</v>
      </c>
      <c r="W35" s="51">
        <f t="shared" si="1"/>
        <v>0</v>
      </c>
      <c r="X35" s="51">
        <f t="shared" si="1"/>
        <v>0</v>
      </c>
      <c r="Y35" s="51">
        <f t="shared" si="1"/>
        <v>0</v>
      </c>
      <c r="Z35" s="51">
        <f t="shared" si="1"/>
        <v>0</v>
      </c>
      <c r="AA35" s="51">
        <f t="shared" si="1"/>
        <v>0</v>
      </c>
      <c r="AB35" s="51">
        <f t="shared" si="1"/>
        <v>0</v>
      </c>
      <c r="AC35" s="51">
        <f t="shared" si="1"/>
        <v>0</v>
      </c>
      <c r="AD35" s="51">
        <f t="shared" si="1"/>
        <v>0</v>
      </c>
      <c r="AE35" s="51">
        <f t="shared" si="1"/>
        <v>0</v>
      </c>
      <c r="AF35" s="51">
        <f t="shared" si="1"/>
        <v>0</v>
      </c>
      <c r="AG35" s="56">
        <f>SUM(B35:AF35)</f>
        <v>0</v>
      </c>
      <c r="AH35" s="57"/>
      <c r="AI35" s="57"/>
    </row>
    <row r="36" spans="1:35" s="2" customFormat="1" x14ac:dyDescent="0.25">
      <c r="AG36" s="152">
        <f>SUM(AG3:AG33)</f>
        <v>0</v>
      </c>
    </row>
    <row r="37" spans="1:35" s="2" customFormat="1" x14ac:dyDescent="0.25"/>
    <row r="38" spans="1:35" s="2" customFormat="1" x14ac:dyDescent="0.25"/>
  </sheetData>
  <mergeCells count="1">
    <mergeCell ref="A1:AG1"/>
  </mergeCells>
  <conditionalFormatting sqref="AG35">
    <cfRule type="cellIs" dxfId="97" priority="2" operator="equal">
      <formula>$AG$36</formula>
    </cfRule>
  </conditionalFormatting>
  <conditionalFormatting sqref="AG36">
    <cfRule type="cellIs" dxfId="96" priority="1" operator="equal">
      <formula>$AG$35</formula>
    </cfRule>
  </conditionalFormatting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7" width="7.42578125" customWidth="1"/>
    <col min="8" max="8" width="8.85546875" customWidth="1"/>
    <col min="9" max="12" width="7.42578125" customWidth="1"/>
    <col min="13" max="13" width="9.85546875" customWidth="1"/>
    <col min="14" max="14" width="7.42578125" customWidth="1"/>
    <col min="15" max="15" width="9.5703125" customWidth="1"/>
    <col min="16" max="16" width="9" bestFit="1" customWidth="1"/>
    <col min="17" max="17" width="8.5703125" customWidth="1"/>
    <col min="18" max="22" width="7.42578125" customWidth="1"/>
    <col min="23" max="24" width="8.85546875" customWidth="1"/>
    <col min="25" max="26" width="7.42578125" customWidth="1"/>
    <col min="27" max="27" width="9.28515625" customWidth="1"/>
    <col min="28" max="28" width="10.140625" customWidth="1"/>
    <col min="29" max="29" width="9.42578125" customWidth="1"/>
    <col min="30" max="30" width="8.85546875" customWidth="1"/>
    <col min="31" max="32" width="7.42578125" customWidth="1"/>
    <col min="33" max="33" width="13" bestFit="1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11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143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ref="AG12:AG21" si="1">SUM(B12:AF12)</f>
        <v>0</v>
      </c>
      <c r="AH12" s="48"/>
      <c r="AI12" s="48"/>
    </row>
    <row r="13" spans="1:35" s="44" customFormat="1" ht="18.75" customHeight="1" x14ac:dyDescent="0.35">
      <c r="A13" s="60" t="s">
        <v>150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1"/>
        <v>0</v>
      </c>
      <c r="AH13" s="48"/>
      <c r="AI13" s="48"/>
    </row>
    <row r="14" spans="1:35" s="44" customFormat="1" ht="18.75" customHeight="1" x14ac:dyDescent="0.35">
      <c r="A14" s="60" t="s">
        <v>69</v>
      </c>
      <c r="B14" s="51"/>
      <c r="C14" s="51"/>
      <c r="D14" s="51"/>
      <c r="E14" s="51"/>
      <c r="F14" s="51"/>
      <c r="G14" s="51"/>
      <c r="H14" s="51"/>
      <c r="I14" s="143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1"/>
        <v>0</v>
      </c>
      <c r="AH14" s="48"/>
      <c r="AI14" s="48"/>
    </row>
    <row r="15" spans="1:35" s="44" customFormat="1" ht="18.75" customHeight="1" x14ac:dyDescent="0.35">
      <c r="A15" s="60" t="s">
        <v>71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  <c r="AF15" s="52"/>
      <c r="AG15" s="46">
        <f t="shared" si="1"/>
        <v>0</v>
      </c>
      <c r="AH15" s="48"/>
      <c r="AI15" s="48"/>
    </row>
    <row r="16" spans="1:35" s="44" customFormat="1" ht="18.75" customHeight="1" x14ac:dyDescent="0.35">
      <c r="A16" s="60" t="s">
        <v>72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1"/>
        <v>0</v>
      </c>
      <c r="AH16" s="48"/>
      <c r="AI16" s="48"/>
    </row>
    <row r="17" spans="1:35" s="44" customFormat="1" ht="18.75" customHeight="1" x14ac:dyDescent="0.35">
      <c r="A17" s="60" t="s">
        <v>85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1"/>
        <v>0</v>
      </c>
      <c r="AH17" s="48"/>
      <c r="AI17" s="48"/>
    </row>
    <row r="18" spans="1:35" s="44" customFormat="1" ht="18.75" customHeight="1" x14ac:dyDescent="0.35">
      <c r="A18" s="60" t="s">
        <v>194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1"/>
        <v>0</v>
      </c>
      <c r="AH18" s="48"/>
      <c r="AI18" s="48"/>
    </row>
    <row r="19" spans="1:35" s="44" customFormat="1" ht="18.75" customHeight="1" x14ac:dyDescent="0.35">
      <c r="A19" s="60" t="s">
        <v>73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1"/>
        <v>0</v>
      </c>
      <c r="AH19" s="48"/>
      <c r="AI19" s="48"/>
    </row>
    <row r="20" spans="1:35" s="44" customFormat="1" ht="18.75" customHeight="1" x14ac:dyDescent="0.35">
      <c r="A20" s="60" t="s">
        <v>92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1"/>
        <v>0</v>
      </c>
      <c r="AH20" s="48"/>
      <c r="AI20" s="48"/>
    </row>
    <row r="21" spans="1:35" s="44" customFormat="1" ht="18.75" customHeight="1" x14ac:dyDescent="0.35">
      <c r="A21" s="60" t="s">
        <v>89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1"/>
        <v>0</v>
      </c>
      <c r="AH21" s="48"/>
      <c r="AI21" s="48"/>
    </row>
    <row r="22" spans="1:35" s="44" customFormat="1" ht="18.75" customHeight="1" x14ac:dyDescent="0.35">
      <c r="A22" s="60" t="s">
        <v>74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ref="AG22:AG34" si="2">SUM(B22:AF22)</f>
        <v>0</v>
      </c>
      <c r="AH22" s="48"/>
      <c r="AI22" s="48"/>
    </row>
    <row r="23" spans="1:35" s="44" customFormat="1" ht="18.75" customHeight="1" x14ac:dyDescent="0.35">
      <c r="A23" s="60" t="s">
        <v>75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2"/>
        <v>0</v>
      </c>
      <c r="AH23" s="48"/>
      <c r="AI23" s="48"/>
    </row>
    <row r="24" spans="1:35" s="44" customFormat="1" ht="18.75" customHeight="1" x14ac:dyDescent="0.35">
      <c r="A24" s="60" t="s">
        <v>77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2"/>
        <v>0</v>
      </c>
      <c r="AH24" s="48"/>
      <c r="AI24" s="48"/>
    </row>
    <row r="25" spans="1:35" s="44" customFormat="1" ht="18.75" customHeight="1" x14ac:dyDescent="0.35">
      <c r="A25" s="60" t="s">
        <v>78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2"/>
        <v>0</v>
      </c>
      <c r="AH25" s="48"/>
      <c r="AI25" s="48"/>
    </row>
    <row r="26" spans="1:35" s="44" customFormat="1" ht="18.75" customHeight="1" x14ac:dyDescent="0.35">
      <c r="A26" s="60" t="s">
        <v>79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2"/>
        <v>0</v>
      </c>
      <c r="AH26" s="48"/>
      <c r="AI26" s="48"/>
    </row>
    <row r="27" spans="1:35" s="44" customFormat="1" ht="18.75" customHeight="1" x14ac:dyDescent="0.35">
      <c r="A27" s="60" t="s">
        <v>154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1"/>
      <c r="AG27" s="46">
        <f t="shared" si="2"/>
        <v>0</v>
      </c>
      <c r="AH27" s="48"/>
      <c r="AI27" s="48"/>
    </row>
    <row r="28" spans="1:35" s="44" customFormat="1" ht="18.75" customHeight="1" x14ac:dyDescent="0.35">
      <c r="A28" s="60" t="s">
        <v>80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2"/>
        <v>0</v>
      </c>
      <c r="AH28" s="48"/>
      <c r="AI28" s="48"/>
    </row>
    <row r="29" spans="1:35" s="44" customFormat="1" ht="18.75" customHeight="1" x14ac:dyDescent="0.35">
      <c r="A29" s="60" t="s">
        <v>76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2"/>
        <v>0</v>
      </c>
      <c r="AH29" s="48"/>
      <c r="AI29" s="48"/>
    </row>
    <row r="30" spans="1:35" s="44" customFormat="1" ht="18.75" customHeight="1" x14ac:dyDescent="0.35">
      <c r="A30" s="60" t="s">
        <v>81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B30" s="51"/>
      <c r="AC30" s="51"/>
      <c r="AD30" s="51"/>
      <c r="AE30" s="51"/>
      <c r="AF30" s="51"/>
      <c r="AG30" s="46">
        <f t="shared" si="2"/>
        <v>0</v>
      </c>
      <c r="AH30" s="48"/>
      <c r="AI30" s="48"/>
    </row>
    <row r="31" spans="1:35" s="44" customFormat="1" ht="18.75" customHeight="1" x14ac:dyDescent="0.35">
      <c r="A31" s="60" t="s">
        <v>86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2"/>
        <v>0</v>
      </c>
      <c r="AH31" s="48"/>
      <c r="AI31" s="48"/>
    </row>
    <row r="32" spans="1:35" s="44" customFormat="1" ht="18.75" customHeight="1" x14ac:dyDescent="0.35">
      <c r="A32" s="60" t="s">
        <v>82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2"/>
        <v>0</v>
      </c>
      <c r="AH32" s="48"/>
      <c r="AI32" s="48"/>
    </row>
    <row r="33" spans="1:35" s="44" customFormat="1" ht="18.75" customHeight="1" x14ac:dyDescent="0.35">
      <c r="A33" s="60" t="s">
        <v>178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 t="shared" si="2"/>
        <v>0</v>
      </c>
      <c r="AH33" s="48"/>
      <c r="AI33" s="48"/>
    </row>
    <row r="34" spans="1:35" s="44" customFormat="1" ht="18.75" customHeight="1" x14ac:dyDescent="0.35">
      <c r="A34" s="59" t="s">
        <v>155</v>
      </c>
      <c r="B34" s="51">
        <f t="shared" ref="B34:AF34" si="3">SUM(B3:B33)</f>
        <v>0</v>
      </c>
      <c r="C34" s="51">
        <f t="shared" si="3"/>
        <v>0</v>
      </c>
      <c r="D34" s="51">
        <f t="shared" si="3"/>
        <v>0</v>
      </c>
      <c r="E34" s="51">
        <f t="shared" si="3"/>
        <v>0</v>
      </c>
      <c r="F34" s="51">
        <f t="shared" si="3"/>
        <v>0</v>
      </c>
      <c r="G34" s="51">
        <f t="shared" si="3"/>
        <v>0</v>
      </c>
      <c r="H34" s="51">
        <f t="shared" si="3"/>
        <v>0</v>
      </c>
      <c r="I34" s="51">
        <f t="shared" si="3"/>
        <v>0</v>
      </c>
      <c r="J34" s="51">
        <f t="shared" si="3"/>
        <v>0</v>
      </c>
      <c r="K34" s="51">
        <f t="shared" si="3"/>
        <v>0</v>
      </c>
      <c r="L34" s="51">
        <f t="shared" si="3"/>
        <v>0</v>
      </c>
      <c r="M34" s="51">
        <f t="shared" si="3"/>
        <v>0</v>
      </c>
      <c r="N34" s="51">
        <f t="shared" si="3"/>
        <v>0</v>
      </c>
      <c r="O34" s="51">
        <f t="shared" si="3"/>
        <v>0</v>
      </c>
      <c r="P34" s="51">
        <f t="shared" si="3"/>
        <v>0</v>
      </c>
      <c r="Q34" s="51">
        <f t="shared" si="3"/>
        <v>0</v>
      </c>
      <c r="R34" s="51">
        <f t="shared" si="3"/>
        <v>0</v>
      </c>
      <c r="S34" s="51">
        <f t="shared" si="3"/>
        <v>0</v>
      </c>
      <c r="T34" s="51">
        <f t="shared" si="3"/>
        <v>0</v>
      </c>
      <c r="U34" s="51">
        <f t="shared" si="3"/>
        <v>0</v>
      </c>
      <c r="V34" s="51">
        <f t="shared" si="3"/>
        <v>0</v>
      </c>
      <c r="W34" s="51">
        <f t="shared" si="3"/>
        <v>0</v>
      </c>
      <c r="X34" s="51">
        <f t="shared" si="3"/>
        <v>0</v>
      </c>
      <c r="Y34" s="51">
        <f t="shared" si="3"/>
        <v>0</v>
      </c>
      <c r="Z34" s="51">
        <f t="shared" si="3"/>
        <v>0</v>
      </c>
      <c r="AA34" s="51">
        <f t="shared" si="3"/>
        <v>0</v>
      </c>
      <c r="AB34" s="51">
        <f t="shared" si="3"/>
        <v>0</v>
      </c>
      <c r="AC34" s="51">
        <f t="shared" si="3"/>
        <v>0</v>
      </c>
      <c r="AD34" s="51">
        <f t="shared" si="3"/>
        <v>0</v>
      </c>
      <c r="AE34" s="51">
        <f t="shared" si="3"/>
        <v>0</v>
      </c>
      <c r="AF34" s="51">
        <f t="shared" si="3"/>
        <v>0</v>
      </c>
      <c r="AG34" s="56">
        <f t="shared" si="2"/>
        <v>0</v>
      </c>
      <c r="AH34" s="57"/>
      <c r="AI34" s="57"/>
    </row>
    <row r="35" spans="1:35" s="2" customFormat="1" x14ac:dyDescent="0.25">
      <c r="AG35" s="152">
        <f>SUM(AG3:AG32)</f>
        <v>0</v>
      </c>
    </row>
    <row r="36" spans="1:35" s="2" customFormat="1" x14ac:dyDescent="0.25"/>
    <row r="37" spans="1:35" s="2" customFormat="1" x14ac:dyDescent="0.25"/>
  </sheetData>
  <mergeCells count="1">
    <mergeCell ref="A1:AG1"/>
  </mergeCells>
  <conditionalFormatting sqref="AG34">
    <cfRule type="cellIs" dxfId="95" priority="2" operator="equal">
      <formula>$AG$35</formula>
    </cfRule>
  </conditionalFormatting>
  <conditionalFormatting sqref="AG35">
    <cfRule type="cellIs" dxfId="94" priority="1" operator="equal">
      <formula>$AG$34</formula>
    </cfRule>
  </conditionalFormatting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2" width="9.5703125" customWidth="1"/>
    <col min="3" max="3" width="9" bestFit="1" customWidth="1"/>
    <col min="4" max="4" width="8.85546875" customWidth="1"/>
    <col min="5" max="5" width="9" bestFit="1" customWidth="1"/>
    <col min="6" max="6" width="8.5703125" customWidth="1"/>
    <col min="7" max="7" width="7.42578125" customWidth="1"/>
    <col min="8" max="8" width="9.28515625" customWidth="1"/>
    <col min="9" max="9" width="9" bestFit="1" customWidth="1"/>
    <col min="10" max="10" width="8.5703125" customWidth="1"/>
    <col min="11" max="11" width="8.85546875" customWidth="1"/>
    <col min="12" max="12" width="9" bestFit="1" customWidth="1"/>
    <col min="13" max="13" width="8.85546875" customWidth="1"/>
    <col min="14" max="14" width="9" bestFit="1" customWidth="1"/>
    <col min="15" max="17" width="7.42578125" customWidth="1"/>
    <col min="18" max="18" width="9" bestFit="1" customWidth="1"/>
    <col min="19" max="19" width="9.140625" customWidth="1"/>
    <col min="20" max="20" width="9" bestFit="1" customWidth="1"/>
    <col min="21" max="22" width="7.42578125" customWidth="1"/>
    <col min="23" max="23" width="8.85546875" customWidth="1"/>
    <col min="24" max="24" width="9.140625" customWidth="1"/>
    <col min="25" max="25" width="8.5703125" customWidth="1"/>
    <col min="26" max="27" width="8.85546875" customWidth="1"/>
    <col min="28" max="28" width="10.28515625" customWidth="1"/>
    <col min="29" max="29" width="7.42578125" customWidth="1"/>
    <col min="30" max="30" width="9.140625" customWidth="1"/>
    <col min="31" max="32" width="9" bestFit="1" customWidth="1"/>
    <col min="33" max="33" width="13" bestFit="1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30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>SUM(B31:AF31)</f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>SUM(B32:AF32)</f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152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93" priority="2" operator="equal">
      <formula>$AG$34</formula>
    </cfRule>
  </conditionalFormatting>
  <conditionalFormatting sqref="AG34">
    <cfRule type="cellIs" dxfId="92" priority="1" operator="equal">
      <formula>$AG$33</formula>
    </cfRule>
  </conditionalFormatting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2" width="8.85546875" customWidth="1"/>
    <col min="3" max="3" width="7.42578125" customWidth="1"/>
    <col min="4" max="4" width="8.7109375" bestFit="1" customWidth="1"/>
    <col min="5" max="5" width="7.42578125" customWidth="1"/>
    <col min="6" max="7" width="8.7109375" bestFit="1" customWidth="1"/>
    <col min="8" max="9" width="7.42578125" customWidth="1"/>
    <col min="10" max="11" width="8.7109375" bestFit="1" customWidth="1"/>
    <col min="12" max="12" width="7.42578125" customWidth="1"/>
    <col min="13" max="13" width="8.85546875" customWidth="1"/>
    <col min="14" max="16" width="8.7109375" bestFit="1" customWidth="1"/>
    <col min="17" max="17" width="9.5703125" customWidth="1"/>
    <col min="18" max="19" width="7.42578125" customWidth="1"/>
    <col min="20" max="23" width="8.7109375" bestFit="1" customWidth="1"/>
    <col min="24" max="24" width="8.85546875" customWidth="1"/>
    <col min="25" max="25" width="8.7109375" bestFit="1" customWidth="1"/>
    <col min="26" max="26" width="7.42578125" customWidth="1"/>
    <col min="27" max="29" width="8.7109375" bestFit="1" customWidth="1"/>
    <col min="30" max="30" width="7.42578125" customWidth="1"/>
    <col min="31" max="31" width="8.7109375" bestFit="1" customWidth="1"/>
    <col min="32" max="32" width="7.42578125" customWidth="1"/>
    <col min="33" max="33" width="13" bestFit="1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9" customHeight="1" x14ac:dyDescent="0.35">
      <c r="A3" s="159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0" si="0">SUM(B3:AF3)</f>
        <v>0</v>
      </c>
      <c r="AH3" s="47"/>
      <c r="AI3" s="48"/>
    </row>
    <row r="4" spans="1:35" s="44" customFormat="1" ht="32.25" customHeight="1" x14ac:dyDescent="0.35">
      <c r="A4" s="1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21" x14ac:dyDescent="0.35">
      <c r="A5" s="1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21" x14ac:dyDescent="0.35">
      <c r="A6" s="1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21" x14ac:dyDescent="0.35">
      <c r="A7" s="1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21" x14ac:dyDescent="0.35">
      <c r="A8" s="1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21" x14ac:dyDescent="0.35">
      <c r="A9" s="1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Q9" s="51"/>
      <c r="R9" s="51"/>
      <c r="S9" s="51"/>
      <c r="T9" s="51"/>
      <c r="U9" s="51"/>
      <c r="V9" s="51"/>
      <c r="W9" s="51"/>
      <c r="X9" s="51"/>
      <c r="Y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21" x14ac:dyDescent="0.35">
      <c r="A10" s="1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21" x14ac:dyDescent="0.35">
      <c r="A11" s="1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21" x14ac:dyDescent="0.35">
      <c r="A12" s="1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21" x14ac:dyDescent="0.35">
      <c r="A13" s="160" t="s">
        <v>69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21" x14ac:dyDescent="0.35">
      <c r="A14" s="1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21" x14ac:dyDescent="0.35">
      <c r="A15" s="160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21" x14ac:dyDescent="0.35">
      <c r="A16" s="1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21" x14ac:dyDescent="0.35">
      <c r="A17" s="1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2"/>
      <c r="T17" s="52"/>
      <c r="U17" s="52"/>
      <c r="V17" s="52"/>
      <c r="W17" s="52"/>
      <c r="X17" s="52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21" x14ac:dyDescent="0.35">
      <c r="A18" s="1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21" x14ac:dyDescent="0.35">
      <c r="A19" s="1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21" x14ac:dyDescent="0.35">
      <c r="A20" s="1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2"/>
      <c r="AD20" s="52"/>
      <c r="AE20" s="51"/>
      <c r="AF20" s="51"/>
      <c r="AG20" s="46">
        <f t="shared" si="0"/>
        <v>0</v>
      </c>
      <c r="AH20" s="48"/>
      <c r="AI20" s="48"/>
    </row>
    <row r="21" spans="1:35" s="44" customFormat="1" ht="21" x14ac:dyDescent="0.35">
      <c r="A21" s="1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21" x14ac:dyDescent="0.35">
      <c r="A22" s="1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21" x14ac:dyDescent="0.35">
      <c r="A23" s="1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v>0</v>
      </c>
      <c r="AH23" s="48"/>
      <c r="AI23" s="48"/>
    </row>
    <row r="24" spans="1:35" s="44" customFormat="1" ht="21" x14ac:dyDescent="0.35">
      <c r="A24" s="1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21" x14ac:dyDescent="0.35">
      <c r="A25" s="1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21" x14ac:dyDescent="0.35">
      <c r="A26" s="160" t="s">
        <v>154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21" x14ac:dyDescent="0.35">
      <c r="A27" s="160" t="s">
        <v>80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21" x14ac:dyDescent="0.35">
      <c r="A28" s="160" t="s">
        <v>76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21" x14ac:dyDescent="0.35">
      <c r="A29" s="160" t="s">
        <v>81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21" x14ac:dyDescent="0.35">
      <c r="A30" s="160" t="s">
        <v>86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21" x14ac:dyDescent="0.35">
      <c r="A31" s="160" t="s">
        <v>82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>SUM(B31:AF31)</f>
        <v>0</v>
      </c>
      <c r="AH31" s="48"/>
      <c r="AI31" s="48"/>
    </row>
    <row r="32" spans="1:35" s="44" customFormat="1" ht="21" x14ac:dyDescent="0.35">
      <c r="A32" s="160" t="s">
        <v>178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>SUM(B32:AF32)</f>
        <v>0</v>
      </c>
      <c r="AH32" s="48"/>
      <c r="AI32" s="48"/>
    </row>
    <row r="33" spans="1:35" s="44" customFormat="1" ht="18.75" customHeight="1" x14ac:dyDescent="0.35">
      <c r="A33" s="158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152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91" priority="2" operator="equal">
      <formula>$AG$34</formula>
    </cfRule>
  </conditionalFormatting>
  <conditionalFormatting sqref="AG34">
    <cfRule type="cellIs" dxfId="90" priority="1" operator="equal">
      <formula>$AG$33</formula>
    </cfRule>
  </conditionalFormatting>
  <pageMargins left="0.7" right="0.7" top="0.75" bottom="0.75" header="0.3" footer="0.3"/>
  <pageSetup orientation="portrait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2" width="9" bestFit="1" customWidth="1"/>
    <col min="3" max="3" width="7.42578125" customWidth="1"/>
    <col min="4" max="7" width="9" bestFit="1" customWidth="1"/>
    <col min="8" max="8" width="7.42578125" customWidth="1"/>
    <col min="9" max="9" width="9" bestFit="1" customWidth="1"/>
    <col min="10" max="10" width="7.42578125" customWidth="1"/>
    <col min="11" max="12" width="9" bestFit="1" customWidth="1"/>
    <col min="13" max="13" width="7.42578125" customWidth="1"/>
    <col min="14" max="14" width="9" bestFit="1" customWidth="1"/>
    <col min="15" max="19" width="7.42578125" customWidth="1"/>
    <col min="20" max="20" width="9" bestFit="1" customWidth="1"/>
    <col min="21" max="32" width="7.42578125" customWidth="1"/>
    <col min="33" max="33" width="13" bestFit="1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0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143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1"/>
      <c r="C13" s="51"/>
      <c r="D13" s="51"/>
      <c r="E13" s="51"/>
      <c r="F13" s="51"/>
      <c r="G13" s="51"/>
      <c r="H13" s="51"/>
      <c r="I13" s="143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2"/>
      <c r="S26" s="52"/>
      <c r="T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178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>SUM(B28:AF28)</f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>SUM(B31:AF31)</f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>SUM(B32:AF32)</f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152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89" priority="2" operator="equal">
      <formula>$AG$34</formula>
    </cfRule>
  </conditionalFormatting>
  <conditionalFormatting sqref="AG34">
    <cfRule type="cellIs" dxfId="88" priority="1" operator="equal">
      <formula>$AG$33</formula>
    </cfRule>
  </conditionalFormatting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4" width="9" bestFit="1" customWidth="1"/>
    <col min="5" max="8" width="7.42578125" customWidth="1"/>
    <col min="9" max="9" width="9" bestFit="1" customWidth="1"/>
    <col min="10" max="10" width="7.42578125" customWidth="1"/>
    <col min="11" max="13" width="9" bestFit="1" customWidth="1"/>
    <col min="14" max="16" width="7.42578125" customWidth="1"/>
    <col min="17" max="20" width="9" bestFit="1" customWidth="1"/>
    <col min="21" max="25" width="7.42578125" customWidth="1"/>
    <col min="26" max="27" width="9" bestFit="1" customWidth="1"/>
    <col min="28" max="29" width="7.42578125" customWidth="1"/>
    <col min="30" max="30" width="9" bestFit="1" customWidth="1"/>
    <col min="31" max="32" width="7.42578125" customWidth="1"/>
    <col min="33" max="33" width="13" bestFit="1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0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143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1"/>
      <c r="C13" s="51"/>
      <c r="D13" s="51"/>
      <c r="E13" s="51"/>
      <c r="F13" s="51"/>
      <c r="G13" s="51"/>
      <c r="H13" s="51"/>
      <c r="I13" s="143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1"/>
      <c r="AG26" s="46">
        <f>SUM(B26:AE26)</f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>SUM(B31:AF31)</f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/>
      <c r="AH32" s="48"/>
      <c r="AI32" s="48"/>
    </row>
    <row r="33" spans="1:35" s="44" customFormat="1" ht="18.75" customHeight="1" x14ac:dyDescent="0.35">
      <c r="A33" s="44" t="s">
        <v>251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>SUM(B33:AF33)</f>
        <v>0</v>
      </c>
      <c r="AH33" s="48"/>
      <c r="AI33" s="48"/>
    </row>
    <row r="34" spans="1:35" s="44" customFormat="1" ht="18.75" customHeight="1" x14ac:dyDescent="0.35">
      <c r="A34" s="59" t="s">
        <v>155</v>
      </c>
      <c r="B34" s="51">
        <f>SUM(B3:B33)</f>
        <v>0</v>
      </c>
      <c r="C34" s="51">
        <f t="shared" ref="C34:AE34" si="1">SUM(C3:C33)</f>
        <v>0</v>
      </c>
      <c r="D34" s="51">
        <f t="shared" si="1"/>
        <v>0</v>
      </c>
      <c r="E34" s="51">
        <f t="shared" si="1"/>
        <v>0</v>
      </c>
      <c r="F34" s="51">
        <f t="shared" si="1"/>
        <v>0</v>
      </c>
      <c r="G34" s="51">
        <f t="shared" si="1"/>
        <v>0</v>
      </c>
      <c r="H34" s="51">
        <f t="shared" si="1"/>
        <v>0</v>
      </c>
      <c r="I34" s="51">
        <f t="shared" si="1"/>
        <v>0</v>
      </c>
      <c r="J34" s="51">
        <f t="shared" si="1"/>
        <v>0</v>
      </c>
      <c r="K34" s="51">
        <f t="shared" si="1"/>
        <v>0</v>
      </c>
      <c r="L34" s="51">
        <f t="shared" si="1"/>
        <v>0</v>
      </c>
      <c r="M34" s="51">
        <f t="shared" si="1"/>
        <v>0</v>
      </c>
      <c r="N34" s="51">
        <f t="shared" si="1"/>
        <v>0</v>
      </c>
      <c r="O34" s="51">
        <f t="shared" si="1"/>
        <v>0</v>
      </c>
      <c r="P34" s="51">
        <f t="shared" si="1"/>
        <v>0</v>
      </c>
      <c r="Q34" s="51">
        <f t="shared" si="1"/>
        <v>0</v>
      </c>
      <c r="R34" s="51">
        <f t="shared" si="1"/>
        <v>0</v>
      </c>
      <c r="S34" s="51">
        <f t="shared" si="1"/>
        <v>0</v>
      </c>
      <c r="T34" s="51">
        <f t="shared" si="1"/>
        <v>0</v>
      </c>
      <c r="U34" s="51">
        <f t="shared" si="1"/>
        <v>0</v>
      </c>
      <c r="V34" s="51">
        <f t="shared" si="1"/>
        <v>0</v>
      </c>
      <c r="W34" s="51">
        <f t="shared" si="1"/>
        <v>0</v>
      </c>
      <c r="X34" s="51">
        <f t="shared" si="1"/>
        <v>0</v>
      </c>
      <c r="Y34" s="51">
        <f t="shared" si="1"/>
        <v>0</v>
      </c>
      <c r="Z34" s="51">
        <f t="shared" si="1"/>
        <v>0</v>
      </c>
      <c r="AA34" s="51">
        <f t="shared" si="1"/>
        <v>0</v>
      </c>
      <c r="AB34" s="51">
        <f t="shared" si="1"/>
        <v>0</v>
      </c>
      <c r="AC34" s="51">
        <f t="shared" si="1"/>
        <v>0</v>
      </c>
      <c r="AD34" s="51">
        <f t="shared" si="1"/>
        <v>0</v>
      </c>
      <c r="AE34" s="51">
        <f t="shared" si="1"/>
        <v>0</v>
      </c>
      <c r="AF34" s="51"/>
      <c r="AG34" s="56">
        <f>SUM(B34:AF34)</f>
        <v>0</v>
      </c>
      <c r="AH34" s="57"/>
      <c r="AI34" s="57"/>
    </row>
    <row r="35" spans="1:35" s="2" customFormat="1" x14ac:dyDescent="0.25">
      <c r="AG35" s="152">
        <f>SUM(AG3:AG31)</f>
        <v>0</v>
      </c>
    </row>
    <row r="36" spans="1:35" s="2" customFormat="1" x14ac:dyDescent="0.25"/>
    <row r="37" spans="1:35" s="2" customFormat="1" x14ac:dyDescent="0.25"/>
  </sheetData>
  <mergeCells count="1">
    <mergeCell ref="A1:AG1"/>
  </mergeCells>
  <conditionalFormatting sqref="AG34">
    <cfRule type="cellIs" dxfId="87" priority="2" operator="equal">
      <formula>$AG$35</formula>
    </cfRule>
  </conditionalFormatting>
  <conditionalFormatting sqref="AG35">
    <cfRule type="cellIs" dxfId="86" priority="1" operator="equal">
      <formula>$AG$34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>
        <v>9.5</v>
      </c>
      <c r="C3" s="49">
        <v>9</v>
      </c>
      <c r="D3" s="49">
        <v>6.9</v>
      </c>
      <c r="E3" s="49">
        <v>7.5</v>
      </c>
      <c r="F3" s="49">
        <v>7.3</v>
      </c>
      <c r="G3" s="49">
        <v>8.5</v>
      </c>
      <c r="H3" s="49">
        <v>5.8</v>
      </c>
      <c r="I3" s="50">
        <v>5.3</v>
      </c>
      <c r="J3" s="49">
        <v>8</v>
      </c>
      <c r="K3" s="50">
        <v>9.1</v>
      </c>
      <c r="L3" s="49">
        <v>4.5999999999999996</v>
      </c>
      <c r="M3" s="50">
        <v>7.3</v>
      </c>
      <c r="N3" s="49">
        <v>8.6999999999999993</v>
      </c>
      <c r="O3" s="49">
        <v>6.3</v>
      </c>
      <c r="P3" s="50">
        <v>3</v>
      </c>
      <c r="Q3" s="49">
        <v>0.5</v>
      </c>
      <c r="R3" s="49">
        <v>5</v>
      </c>
      <c r="S3" s="50">
        <v>6.4</v>
      </c>
      <c r="T3" s="50">
        <v>4.5999999999999996</v>
      </c>
      <c r="U3" s="50">
        <v>7.5</v>
      </c>
      <c r="V3" s="50">
        <v>6.7</v>
      </c>
      <c r="W3" s="49">
        <v>8.3000000000000007</v>
      </c>
      <c r="X3" s="49">
        <v>5.8</v>
      </c>
      <c r="Y3" s="49">
        <v>5.3</v>
      </c>
      <c r="Z3" s="49">
        <v>8</v>
      </c>
      <c r="AA3" s="49">
        <v>6.4</v>
      </c>
      <c r="AB3" s="49">
        <v>4.5999999999999996</v>
      </c>
      <c r="AC3" s="49">
        <v>4</v>
      </c>
      <c r="AD3" s="49"/>
      <c r="AE3" s="49"/>
      <c r="AF3" s="49"/>
      <c r="AG3" s="46">
        <f t="shared" ref="AG3:AG33" si="0">SUM(B3:AF3)</f>
        <v>179.89999999999998</v>
      </c>
      <c r="AH3" s="47"/>
      <c r="AI3" s="48"/>
    </row>
    <row r="4" spans="1:35" s="44" customFormat="1" ht="38.25" customHeight="1" x14ac:dyDescent="0.35">
      <c r="A4" s="60" t="s">
        <v>193</v>
      </c>
      <c r="B4" s="49">
        <v>0.5</v>
      </c>
      <c r="C4" s="51">
        <v>2.8</v>
      </c>
      <c r="D4" s="51">
        <v>3</v>
      </c>
      <c r="E4" s="51">
        <v>0.2</v>
      </c>
      <c r="F4" s="51">
        <v>1</v>
      </c>
      <c r="G4" s="51">
        <v>0.8</v>
      </c>
      <c r="H4" s="51">
        <v>2.9</v>
      </c>
      <c r="I4" s="51">
        <v>1.8</v>
      </c>
      <c r="J4" s="51">
        <v>5</v>
      </c>
      <c r="K4" s="51">
        <v>1.5</v>
      </c>
      <c r="L4" s="51">
        <v>0.9</v>
      </c>
      <c r="M4" s="51">
        <v>2.1</v>
      </c>
      <c r="N4" s="51">
        <v>0.8</v>
      </c>
      <c r="O4" s="51">
        <v>2.1</v>
      </c>
      <c r="P4" s="51">
        <v>3</v>
      </c>
      <c r="Q4" s="51">
        <v>2.5</v>
      </c>
      <c r="R4" s="51">
        <v>0.1</v>
      </c>
      <c r="S4" s="51">
        <v>2.8</v>
      </c>
      <c r="T4" s="51">
        <v>4.5</v>
      </c>
      <c r="U4" s="51">
        <v>5.5</v>
      </c>
      <c r="V4" s="51">
        <v>3.2</v>
      </c>
      <c r="W4" s="51">
        <v>2.2000000000000002</v>
      </c>
      <c r="X4" s="51">
        <v>3.9</v>
      </c>
      <c r="Y4" s="51">
        <v>4.5</v>
      </c>
      <c r="Z4" s="51">
        <v>5</v>
      </c>
      <c r="AA4" s="51">
        <v>2.5</v>
      </c>
      <c r="AB4" s="51">
        <v>0.9</v>
      </c>
      <c r="AC4" s="51">
        <v>3.5</v>
      </c>
      <c r="AD4" s="51"/>
      <c r="AE4" s="51"/>
      <c r="AF4" s="51"/>
      <c r="AG4" s="46">
        <f t="shared" si="0"/>
        <v>69.500000000000014</v>
      </c>
      <c r="AH4" s="48"/>
      <c r="AI4" s="48"/>
    </row>
    <row r="5" spans="1:35" s="44" customFormat="1" ht="18.75" customHeight="1" x14ac:dyDescent="0.35">
      <c r="A5" s="60" t="s">
        <v>83</v>
      </c>
      <c r="B5" s="49">
        <f>0.2+0.9</f>
        <v>1.1000000000000001</v>
      </c>
      <c r="C5" s="49">
        <f>0.3</f>
        <v>0.3</v>
      </c>
      <c r="D5" s="49">
        <f>0.4+2</f>
        <v>2.4</v>
      </c>
      <c r="E5" s="49">
        <v>0</v>
      </c>
      <c r="F5" s="49">
        <v>1</v>
      </c>
      <c r="G5" s="49">
        <v>3.5</v>
      </c>
      <c r="H5" s="49">
        <v>2.2999999999999998</v>
      </c>
      <c r="I5" s="49">
        <v>2.2000000000000002</v>
      </c>
      <c r="J5" s="49">
        <v>2.4</v>
      </c>
      <c r="K5" s="49">
        <v>1.4</v>
      </c>
      <c r="L5" s="49">
        <v>2.4</v>
      </c>
      <c r="M5" s="49">
        <v>0</v>
      </c>
      <c r="N5" s="49">
        <v>2.2000000000000002</v>
      </c>
      <c r="O5" s="49">
        <v>3.4</v>
      </c>
      <c r="P5" s="49">
        <v>2.4</v>
      </c>
      <c r="Q5" s="49">
        <v>2.4</v>
      </c>
      <c r="R5" s="49">
        <v>0.8</v>
      </c>
      <c r="S5" s="49">
        <v>0</v>
      </c>
      <c r="T5" s="49">
        <v>1</v>
      </c>
      <c r="U5" s="49">
        <v>1.8</v>
      </c>
      <c r="V5" s="49">
        <v>7.2</v>
      </c>
      <c r="W5" s="49">
        <v>4.0999999999999996</v>
      </c>
      <c r="X5" s="49">
        <v>1.7</v>
      </c>
      <c r="Y5" s="49">
        <v>2.2999999999999998</v>
      </c>
      <c r="Z5" s="49">
        <v>1</v>
      </c>
      <c r="AA5" s="49">
        <v>0</v>
      </c>
      <c r="AB5" s="49">
        <v>5.0999999999999996</v>
      </c>
      <c r="AC5" s="49">
        <v>2.4</v>
      </c>
      <c r="AD5" s="51"/>
      <c r="AE5" s="51"/>
      <c r="AF5" s="51"/>
      <c r="AG5" s="46">
        <f t="shared" si="0"/>
        <v>56.8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>
        <v>0.1</v>
      </c>
      <c r="C8" s="51">
        <v>0.1</v>
      </c>
      <c r="D8" s="51">
        <v>0.1</v>
      </c>
      <c r="E8" s="51">
        <v>0</v>
      </c>
      <c r="F8" s="51">
        <v>0</v>
      </c>
      <c r="G8" s="51">
        <v>0</v>
      </c>
      <c r="H8" s="51">
        <v>0</v>
      </c>
      <c r="I8" s="51">
        <v>9</v>
      </c>
      <c r="J8" s="51">
        <v>0.5</v>
      </c>
      <c r="K8" s="51">
        <v>1.2</v>
      </c>
      <c r="L8" s="51">
        <v>0.6</v>
      </c>
      <c r="M8" s="51">
        <v>0</v>
      </c>
      <c r="N8" s="51">
        <v>0.1</v>
      </c>
      <c r="O8" s="51">
        <v>0</v>
      </c>
      <c r="P8" s="51">
        <v>0.3</v>
      </c>
      <c r="Q8" s="51">
        <v>8.1999999999999993</v>
      </c>
      <c r="R8" s="51">
        <v>0.1</v>
      </c>
      <c r="S8" s="51">
        <v>5</v>
      </c>
      <c r="T8" s="51">
        <v>0.5</v>
      </c>
      <c r="U8" s="51">
        <v>0.7</v>
      </c>
      <c r="V8" s="51">
        <v>0.2</v>
      </c>
      <c r="W8" s="51">
        <v>0.3</v>
      </c>
      <c r="X8" s="51">
        <v>1.9</v>
      </c>
      <c r="Y8" s="51">
        <v>1</v>
      </c>
      <c r="Z8" s="51">
        <v>0.9</v>
      </c>
      <c r="AA8" s="51">
        <v>5</v>
      </c>
      <c r="AB8" s="51">
        <v>3.2</v>
      </c>
      <c r="AC8" s="51">
        <v>5.2</v>
      </c>
      <c r="AD8" s="51"/>
      <c r="AE8" s="51"/>
      <c r="AF8" s="51"/>
      <c r="AG8" s="46">
        <f t="shared" si="0"/>
        <v>44.2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>
        <v>0</v>
      </c>
      <c r="C11" s="51">
        <v>2</v>
      </c>
      <c r="D11" s="51">
        <v>0</v>
      </c>
      <c r="E11" s="51">
        <v>0</v>
      </c>
      <c r="F11" s="51">
        <v>0</v>
      </c>
      <c r="G11" s="51">
        <v>0</v>
      </c>
      <c r="H11" s="51">
        <v>2.2000000000000002</v>
      </c>
      <c r="I11" s="51">
        <v>3.8</v>
      </c>
      <c r="J11" s="51">
        <v>0</v>
      </c>
      <c r="K11" s="51">
        <v>4.0999999999999996</v>
      </c>
      <c r="L11" s="51">
        <v>0</v>
      </c>
      <c r="M11" s="51">
        <v>0</v>
      </c>
      <c r="N11" s="51">
        <v>0</v>
      </c>
      <c r="O11" s="51">
        <v>0</v>
      </c>
      <c r="P11" s="51">
        <v>1</v>
      </c>
      <c r="Q11" s="51">
        <v>0</v>
      </c>
      <c r="R11" s="51">
        <v>3</v>
      </c>
      <c r="S11" s="51">
        <v>0</v>
      </c>
      <c r="T11" s="51">
        <v>0</v>
      </c>
      <c r="U11" s="51">
        <v>6</v>
      </c>
      <c r="V11" s="51">
        <v>3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0.8</v>
      </c>
      <c r="AC11" s="51">
        <v>0</v>
      </c>
      <c r="AD11" s="51"/>
      <c r="AE11" s="51"/>
      <c r="AF11" s="51"/>
      <c r="AG11" s="46">
        <f t="shared" si="0"/>
        <v>25.900000000000002</v>
      </c>
      <c r="AH11" s="48"/>
      <c r="AI11" s="48"/>
    </row>
    <row r="12" spans="1:35" s="44" customFormat="1" ht="18.75" customHeight="1" x14ac:dyDescent="0.35">
      <c r="A12" s="60" t="s">
        <v>255</v>
      </c>
      <c r="B12" s="49">
        <v>0.2</v>
      </c>
      <c r="C12" s="51">
        <v>0.1</v>
      </c>
      <c r="D12" s="51">
        <v>0.4</v>
      </c>
      <c r="E12" s="51">
        <v>0.3</v>
      </c>
      <c r="F12" s="51">
        <v>0</v>
      </c>
      <c r="G12" s="51">
        <v>0.9</v>
      </c>
      <c r="H12" s="51">
        <v>4.2</v>
      </c>
      <c r="I12" s="51">
        <v>4.4000000000000004</v>
      </c>
      <c r="J12" s="51">
        <v>2.5</v>
      </c>
      <c r="K12" s="51">
        <v>1.4</v>
      </c>
      <c r="L12" s="51">
        <v>0.9</v>
      </c>
      <c r="M12" s="51">
        <v>0</v>
      </c>
      <c r="N12" s="51">
        <v>0.3</v>
      </c>
      <c r="O12" s="51">
        <v>0.4</v>
      </c>
      <c r="P12" s="51">
        <v>5</v>
      </c>
      <c r="Q12" s="51">
        <v>4</v>
      </c>
      <c r="R12" s="51">
        <v>0.3</v>
      </c>
      <c r="S12" s="51">
        <v>0.7</v>
      </c>
      <c r="T12" s="51">
        <v>0</v>
      </c>
      <c r="U12" s="51">
        <v>0.9</v>
      </c>
      <c r="V12" s="51">
        <v>0.3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/>
      <c r="AE12" s="51"/>
      <c r="AF12" s="51"/>
      <c r="AG12" s="46"/>
      <c r="AH12" s="48"/>
      <c r="AI12" s="48"/>
    </row>
    <row r="13" spans="1:35" s="44" customFormat="1" ht="18.75" customHeight="1" x14ac:dyDescent="0.35">
      <c r="A13" s="60" t="s">
        <v>91</v>
      </c>
      <c r="B13" s="49">
        <v>1.1000000000000001</v>
      </c>
      <c r="C13" s="51">
        <v>1.2</v>
      </c>
      <c r="D13" s="51">
        <v>0</v>
      </c>
      <c r="E13" s="51">
        <v>0</v>
      </c>
      <c r="F13" s="51">
        <v>0</v>
      </c>
      <c r="G13" s="51">
        <v>0.9</v>
      </c>
      <c r="H13" s="51">
        <v>0</v>
      </c>
      <c r="I13" s="51">
        <v>0</v>
      </c>
      <c r="J13" s="51">
        <v>0</v>
      </c>
      <c r="K13" s="51">
        <v>0.5</v>
      </c>
      <c r="L13" s="51">
        <v>1.2</v>
      </c>
      <c r="M13" s="51">
        <v>1.3</v>
      </c>
      <c r="N13" s="51">
        <v>0</v>
      </c>
      <c r="O13" s="51">
        <v>1.3</v>
      </c>
      <c r="P13" s="51">
        <v>0</v>
      </c>
      <c r="Q13" s="51">
        <v>0</v>
      </c>
      <c r="R13" s="51">
        <v>1</v>
      </c>
      <c r="S13" s="51">
        <v>1</v>
      </c>
      <c r="T13" s="51">
        <v>1.3</v>
      </c>
      <c r="U13" s="51">
        <v>0</v>
      </c>
      <c r="V13" s="51">
        <v>0</v>
      </c>
      <c r="W13" s="51">
        <v>1.3</v>
      </c>
      <c r="X13" s="51">
        <v>0</v>
      </c>
      <c r="Y13" s="51">
        <v>1</v>
      </c>
      <c r="Z13" s="51">
        <v>1</v>
      </c>
      <c r="AA13" s="51">
        <v>0</v>
      </c>
      <c r="AB13" s="51">
        <v>1.3</v>
      </c>
      <c r="AC13" s="51">
        <v>1</v>
      </c>
      <c r="AD13" s="51"/>
      <c r="AE13" s="51"/>
      <c r="AF13" s="51"/>
      <c r="AG13" s="46">
        <f t="shared" si="0"/>
        <v>16.400000000000002</v>
      </c>
      <c r="AH13" s="48"/>
      <c r="AI13" s="48"/>
    </row>
    <row r="14" spans="1:35" s="44" customFormat="1" ht="18.75" customHeight="1" x14ac:dyDescent="0.35">
      <c r="A14" s="60" t="s">
        <v>69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71</v>
      </c>
      <c r="B15" s="49">
        <v>0.3</v>
      </c>
      <c r="C15" s="51">
        <v>0.5</v>
      </c>
      <c r="D15" s="51">
        <v>0.2</v>
      </c>
      <c r="E15" s="51">
        <v>0.4</v>
      </c>
      <c r="F15" s="51">
        <v>0.1</v>
      </c>
      <c r="G15" s="51">
        <v>0.2</v>
      </c>
      <c r="H15" s="51">
        <v>0.2</v>
      </c>
      <c r="I15" s="51">
        <v>0.3</v>
      </c>
      <c r="J15" s="51">
        <v>0.6</v>
      </c>
      <c r="K15" s="51">
        <v>0.2</v>
      </c>
      <c r="L15" s="51">
        <v>1</v>
      </c>
      <c r="M15" s="51">
        <v>1.2</v>
      </c>
      <c r="N15" s="51">
        <v>0.4</v>
      </c>
      <c r="O15" s="51">
        <v>1.1000000000000001</v>
      </c>
      <c r="P15" s="51">
        <v>0.7</v>
      </c>
      <c r="Q15" s="51">
        <v>0.95</v>
      </c>
      <c r="R15" s="51">
        <v>0.9</v>
      </c>
      <c r="S15" s="51">
        <v>0.7</v>
      </c>
      <c r="T15" s="51">
        <v>0.4</v>
      </c>
      <c r="U15" s="51">
        <v>0.3</v>
      </c>
      <c r="V15" s="51">
        <v>0.2</v>
      </c>
      <c r="W15" s="51">
        <v>1.5</v>
      </c>
      <c r="X15" s="51">
        <v>1.1000000000000001</v>
      </c>
      <c r="Y15" s="51">
        <v>0</v>
      </c>
      <c r="Z15" s="51">
        <v>2</v>
      </c>
      <c r="AA15" s="51">
        <v>0</v>
      </c>
      <c r="AB15" s="51">
        <v>0</v>
      </c>
      <c r="AC15" s="51">
        <v>0.6</v>
      </c>
      <c r="AD15" s="51"/>
      <c r="AE15" s="51"/>
      <c r="AF15" s="51"/>
      <c r="AG15" s="46">
        <f t="shared" si="0"/>
        <v>16.05</v>
      </c>
      <c r="AH15" s="48"/>
      <c r="AI15" s="48"/>
    </row>
    <row r="16" spans="1:35" s="44" customFormat="1" ht="18.75" customHeight="1" x14ac:dyDescent="0.35">
      <c r="A16" s="60" t="s">
        <v>72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85</v>
      </c>
      <c r="B17" s="49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194</v>
      </c>
      <c r="B18" s="49">
        <v>0</v>
      </c>
      <c r="C18" s="51">
        <v>0</v>
      </c>
      <c r="D18" s="51">
        <v>1</v>
      </c>
      <c r="E18" s="51">
        <v>0</v>
      </c>
      <c r="F18" s="51">
        <v>1</v>
      </c>
      <c r="G18" s="51">
        <v>0</v>
      </c>
      <c r="H18" s="51">
        <v>0</v>
      </c>
      <c r="I18" s="51">
        <v>0</v>
      </c>
      <c r="J18" s="51">
        <v>0</v>
      </c>
      <c r="K18" s="52">
        <v>0</v>
      </c>
      <c r="L18" s="52">
        <v>0</v>
      </c>
      <c r="M18" s="52">
        <v>0</v>
      </c>
      <c r="N18" s="52">
        <v>1.6</v>
      </c>
      <c r="O18" s="52">
        <v>0.9</v>
      </c>
      <c r="P18" s="52">
        <v>0.9</v>
      </c>
      <c r="Q18" s="52">
        <v>0</v>
      </c>
      <c r="R18" s="52">
        <v>0</v>
      </c>
      <c r="S18" s="52">
        <v>0</v>
      </c>
      <c r="T18" s="52">
        <v>1</v>
      </c>
      <c r="U18" s="52">
        <v>0</v>
      </c>
      <c r="V18" s="52">
        <v>0</v>
      </c>
      <c r="W18" s="52">
        <v>0</v>
      </c>
      <c r="X18" s="52">
        <v>0</v>
      </c>
      <c r="Y18" s="52">
        <v>7</v>
      </c>
      <c r="Z18" s="52">
        <v>0</v>
      </c>
      <c r="AA18" s="52">
        <v>0</v>
      </c>
      <c r="AB18" s="52">
        <v>0</v>
      </c>
      <c r="AC18" s="52">
        <v>0</v>
      </c>
      <c r="AD18" s="52"/>
      <c r="AE18" s="52"/>
      <c r="AF18" s="52"/>
      <c r="AG18" s="46">
        <f t="shared" si="0"/>
        <v>13.4</v>
      </c>
      <c r="AH18" s="48"/>
      <c r="AI18" s="48"/>
    </row>
    <row r="19" spans="1:35" s="44" customFormat="1" ht="18.75" customHeight="1" x14ac:dyDescent="0.35">
      <c r="A19" s="60" t="s">
        <v>73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92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89</v>
      </c>
      <c r="B21" s="49">
        <v>2.2999999999999998</v>
      </c>
      <c r="C21" s="51">
        <v>2.8</v>
      </c>
      <c r="D21" s="51">
        <v>3.5</v>
      </c>
      <c r="E21" s="51">
        <v>2.5</v>
      </c>
      <c r="F21" s="51">
        <v>2.5</v>
      </c>
      <c r="G21" s="51">
        <f>2.5+0.9</f>
        <v>3.4</v>
      </c>
      <c r="H21" s="51">
        <v>2.9</v>
      </c>
      <c r="I21" s="51">
        <v>3.3</v>
      </c>
      <c r="J21" s="51">
        <v>2.8</v>
      </c>
      <c r="K21" s="51">
        <v>3.6</v>
      </c>
      <c r="L21" s="51">
        <v>3.1</v>
      </c>
      <c r="M21" s="51">
        <v>0</v>
      </c>
      <c r="N21" s="51">
        <v>2.5</v>
      </c>
      <c r="O21" s="51">
        <v>2.6</v>
      </c>
      <c r="P21" s="51">
        <v>2.6</v>
      </c>
      <c r="Q21" s="51">
        <v>2.9</v>
      </c>
      <c r="R21" s="51">
        <v>2.6</v>
      </c>
      <c r="S21" s="51">
        <v>2.5</v>
      </c>
      <c r="T21" s="51">
        <v>3</v>
      </c>
      <c r="U21" s="51">
        <v>0</v>
      </c>
      <c r="V21" s="51">
        <v>2.8</v>
      </c>
      <c r="W21" s="51">
        <v>1.5</v>
      </c>
      <c r="X21" s="51">
        <v>2.5</v>
      </c>
      <c r="Y21" s="51">
        <v>1.8</v>
      </c>
      <c r="Z21" s="51">
        <v>1.8</v>
      </c>
      <c r="AA21" s="51">
        <v>1.4</v>
      </c>
      <c r="AB21" s="51">
        <v>0.5</v>
      </c>
      <c r="AC21" s="51">
        <v>0.9</v>
      </c>
      <c r="AD21" s="51"/>
      <c r="AE21" s="51"/>
      <c r="AF21" s="51"/>
      <c r="AG21" s="46">
        <f t="shared" si="0"/>
        <v>64.599999999999994</v>
      </c>
      <c r="AH21" s="48"/>
      <c r="AI21" s="48"/>
    </row>
    <row r="22" spans="1:35" s="44" customFormat="1" ht="18.75" customHeight="1" x14ac:dyDescent="0.35">
      <c r="A22" s="60" t="s">
        <v>74</v>
      </c>
      <c r="B22" s="50">
        <v>0.2</v>
      </c>
      <c r="C22" s="51">
        <v>0</v>
      </c>
      <c r="D22" s="51">
        <v>0.3</v>
      </c>
      <c r="E22" s="51">
        <v>0.4</v>
      </c>
      <c r="F22" s="51">
        <v>0.1</v>
      </c>
      <c r="G22" s="51">
        <v>0</v>
      </c>
      <c r="H22" s="51">
        <v>0</v>
      </c>
      <c r="I22" s="51">
        <v>0.4</v>
      </c>
      <c r="J22" s="51">
        <v>0</v>
      </c>
      <c r="K22" s="51">
        <v>0.4</v>
      </c>
      <c r="L22" s="51">
        <v>0.3</v>
      </c>
      <c r="M22" s="51">
        <v>0</v>
      </c>
      <c r="N22" s="51">
        <v>0.2</v>
      </c>
      <c r="O22" s="51">
        <v>0</v>
      </c>
      <c r="P22" s="51">
        <v>0</v>
      </c>
      <c r="Q22" s="51">
        <v>0</v>
      </c>
      <c r="R22" s="51">
        <v>0.4</v>
      </c>
      <c r="S22" s="51">
        <v>0.3</v>
      </c>
      <c r="T22" s="51">
        <v>0</v>
      </c>
      <c r="U22" s="51">
        <v>0</v>
      </c>
      <c r="V22" s="51">
        <v>0.8</v>
      </c>
      <c r="W22" s="51">
        <v>0.2</v>
      </c>
      <c r="X22" s="51">
        <v>0</v>
      </c>
      <c r="Y22" s="51">
        <v>0</v>
      </c>
      <c r="Z22" s="51">
        <v>0</v>
      </c>
      <c r="AA22" s="51">
        <v>0</v>
      </c>
      <c r="AB22" s="51">
        <v>0.4</v>
      </c>
      <c r="AC22" s="52">
        <v>0</v>
      </c>
      <c r="AD22" s="52"/>
      <c r="AE22" s="52"/>
      <c r="AF22" s="52"/>
      <c r="AG22" s="46">
        <f t="shared" si="0"/>
        <v>4.4000000000000004</v>
      </c>
      <c r="AH22" s="48"/>
      <c r="AI22" s="48"/>
    </row>
    <row r="23" spans="1:35" s="44" customFormat="1" ht="18.75" customHeight="1" x14ac:dyDescent="0.35">
      <c r="A23" s="60" t="s">
        <v>75</v>
      </c>
      <c r="B23" s="49">
        <v>0</v>
      </c>
      <c r="C23" s="51">
        <v>0</v>
      </c>
      <c r="D23" s="51">
        <v>0</v>
      </c>
      <c r="E23" s="51">
        <v>0</v>
      </c>
      <c r="F23" s="51">
        <v>0</v>
      </c>
      <c r="G23" s="51">
        <v>0</v>
      </c>
      <c r="H23" s="51">
        <v>0</v>
      </c>
      <c r="I23" s="51">
        <v>0</v>
      </c>
      <c r="J23" s="51">
        <v>0</v>
      </c>
      <c r="K23" s="51">
        <v>1</v>
      </c>
      <c r="L23" s="51">
        <v>0</v>
      </c>
      <c r="M23" s="51">
        <v>0</v>
      </c>
      <c r="N23" s="51">
        <v>0</v>
      </c>
      <c r="O23" s="51">
        <v>0</v>
      </c>
      <c r="P23" s="51">
        <v>0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51">
        <v>0</v>
      </c>
      <c r="X23" s="51">
        <v>0</v>
      </c>
      <c r="Y23" s="51">
        <v>7</v>
      </c>
      <c r="Z23" s="51">
        <v>0</v>
      </c>
      <c r="AA23" s="51">
        <v>0</v>
      </c>
      <c r="AB23" s="51">
        <v>0</v>
      </c>
      <c r="AC23" s="51">
        <v>0</v>
      </c>
      <c r="AD23" s="51"/>
      <c r="AE23" s="51"/>
      <c r="AF23" s="51"/>
      <c r="AG23" s="46">
        <f>SUM(B23:AF23)</f>
        <v>8</v>
      </c>
      <c r="AH23" s="48"/>
      <c r="AI23" s="48"/>
    </row>
    <row r="24" spans="1:35" s="44" customFormat="1" ht="18.75" customHeight="1" x14ac:dyDescent="0.35">
      <c r="A24" s="60" t="s">
        <v>77</v>
      </c>
      <c r="B24" s="49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78</v>
      </c>
      <c r="B25" s="50">
        <v>0.9</v>
      </c>
      <c r="C25" s="51">
        <v>2</v>
      </c>
      <c r="D25" s="51">
        <v>0</v>
      </c>
      <c r="E25" s="51">
        <v>1.3</v>
      </c>
      <c r="F25" s="51">
        <v>2.9</v>
      </c>
      <c r="G25" s="51">
        <v>0</v>
      </c>
      <c r="H25" s="51">
        <v>4.3</v>
      </c>
      <c r="I25" s="51">
        <v>0</v>
      </c>
      <c r="J25" s="51">
        <v>0</v>
      </c>
      <c r="K25" s="51">
        <v>1.8</v>
      </c>
      <c r="L25" s="51">
        <v>0</v>
      </c>
      <c r="M25" s="51">
        <v>2.9</v>
      </c>
      <c r="N25" s="51">
        <v>0</v>
      </c>
      <c r="O25" s="51">
        <v>3.2</v>
      </c>
      <c r="P25" s="51">
        <v>0</v>
      </c>
      <c r="Q25" s="51">
        <v>0</v>
      </c>
      <c r="R25" s="51">
        <v>2.7</v>
      </c>
      <c r="S25" s="51">
        <v>0</v>
      </c>
      <c r="T25" s="51">
        <v>3</v>
      </c>
      <c r="U25" s="51">
        <v>0</v>
      </c>
      <c r="V25" s="51">
        <v>2</v>
      </c>
      <c r="W25" s="51">
        <v>0</v>
      </c>
      <c r="X25" s="51">
        <v>1.9</v>
      </c>
      <c r="Y25" s="51">
        <v>0</v>
      </c>
      <c r="Z25" s="51">
        <v>0</v>
      </c>
      <c r="AA25" s="51">
        <v>2.2999999999999998</v>
      </c>
      <c r="AB25" s="51">
        <v>0</v>
      </c>
      <c r="AC25" s="51">
        <v>1.8</v>
      </c>
      <c r="AD25" s="51"/>
      <c r="AE25" s="51"/>
      <c r="AF25" s="51"/>
      <c r="AG25" s="46">
        <f t="shared" si="0"/>
        <v>32.999999999999993</v>
      </c>
      <c r="AH25" s="48"/>
      <c r="AI25" s="48"/>
    </row>
    <row r="26" spans="1:35" s="44" customFormat="1" ht="18.75" customHeight="1" x14ac:dyDescent="0.35">
      <c r="A26" s="60" t="s">
        <v>79</v>
      </c>
      <c r="B26" s="49"/>
      <c r="C26" s="51"/>
      <c r="D26" s="51"/>
      <c r="E26" s="51"/>
      <c r="F26" s="51"/>
      <c r="G26" s="51"/>
      <c r="H26" s="51"/>
      <c r="I26" s="51"/>
      <c r="J26" s="51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154</v>
      </c>
      <c r="B27" s="49">
        <v>1</v>
      </c>
      <c r="C27" s="51">
        <v>0.8</v>
      </c>
      <c r="D27" s="51">
        <v>0</v>
      </c>
      <c r="E27" s="51">
        <v>0.8</v>
      </c>
      <c r="F27" s="51">
        <v>0</v>
      </c>
      <c r="G27" s="51">
        <v>2</v>
      </c>
      <c r="H27" s="51">
        <v>0</v>
      </c>
      <c r="I27" s="51">
        <v>0</v>
      </c>
      <c r="J27" s="51">
        <v>2</v>
      </c>
      <c r="K27" s="51">
        <v>3</v>
      </c>
      <c r="L27" s="51">
        <v>0</v>
      </c>
      <c r="M27" s="51">
        <v>1.5</v>
      </c>
      <c r="N27" s="51">
        <v>1.3</v>
      </c>
      <c r="O27" s="51">
        <v>0</v>
      </c>
      <c r="P27" s="51">
        <v>0.9</v>
      </c>
      <c r="Q27" s="51">
        <v>1.6</v>
      </c>
      <c r="R27" s="51">
        <v>1</v>
      </c>
      <c r="S27" s="51">
        <v>1</v>
      </c>
      <c r="T27" s="51">
        <v>0</v>
      </c>
      <c r="U27" s="51">
        <v>1.9</v>
      </c>
      <c r="V27" s="51">
        <v>0</v>
      </c>
      <c r="W27" s="51">
        <v>2.5</v>
      </c>
      <c r="X27" s="51">
        <v>0</v>
      </c>
      <c r="Y27" s="51">
        <v>0</v>
      </c>
      <c r="Z27" s="51">
        <v>0</v>
      </c>
      <c r="AA27" s="51">
        <v>0</v>
      </c>
      <c r="AB27" s="51">
        <v>0</v>
      </c>
      <c r="AC27" s="51">
        <v>0.8</v>
      </c>
      <c r="AD27" s="51"/>
      <c r="AE27" s="51"/>
      <c r="AF27" s="51"/>
      <c r="AG27" s="46">
        <f t="shared" si="0"/>
        <v>22.099999999999998</v>
      </c>
      <c r="AH27" s="48"/>
      <c r="AI27" s="48"/>
    </row>
    <row r="28" spans="1:35" s="44" customFormat="1" ht="18.75" customHeight="1" x14ac:dyDescent="0.35">
      <c r="A28" s="60" t="s">
        <v>80</v>
      </c>
      <c r="B28" s="49">
        <v>0.5</v>
      </c>
      <c r="C28" s="51">
        <v>0.9</v>
      </c>
      <c r="D28" s="51">
        <v>0.9</v>
      </c>
      <c r="E28" s="51">
        <v>1</v>
      </c>
      <c r="F28" s="51">
        <v>1.2</v>
      </c>
      <c r="G28" s="51">
        <v>0</v>
      </c>
      <c r="H28" s="51">
        <v>1.4</v>
      </c>
      <c r="I28" s="51">
        <v>0.2</v>
      </c>
      <c r="J28" s="51">
        <v>0</v>
      </c>
      <c r="K28" s="51">
        <v>0.4</v>
      </c>
      <c r="L28" s="51">
        <v>0.3</v>
      </c>
      <c r="M28" s="51">
        <v>0</v>
      </c>
      <c r="N28" s="51">
        <v>2</v>
      </c>
      <c r="O28" s="51">
        <v>0.5</v>
      </c>
      <c r="P28" s="51">
        <v>0.3</v>
      </c>
      <c r="Q28" s="51">
        <v>0.6</v>
      </c>
      <c r="R28" s="51">
        <v>0.2</v>
      </c>
      <c r="S28" s="51">
        <v>0.3</v>
      </c>
      <c r="T28" s="51">
        <v>0</v>
      </c>
      <c r="U28" s="51">
        <v>0.5</v>
      </c>
      <c r="V28" s="51">
        <v>0.3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0</v>
      </c>
      <c r="AC28" s="51">
        <v>0</v>
      </c>
      <c r="AD28" s="51"/>
      <c r="AE28" s="51"/>
      <c r="AF28" s="51"/>
      <c r="AG28" s="46">
        <f t="shared" si="0"/>
        <v>11.500000000000002</v>
      </c>
      <c r="AH28" s="48"/>
      <c r="AI28" s="48"/>
    </row>
    <row r="29" spans="1:35" s="44" customFormat="1" ht="18.75" customHeight="1" x14ac:dyDescent="0.35">
      <c r="A29" s="60" t="s">
        <v>76</v>
      </c>
      <c r="B29" s="50">
        <v>0.1</v>
      </c>
      <c r="C29" s="51">
        <v>0.1</v>
      </c>
      <c r="D29" s="51">
        <v>0.1</v>
      </c>
      <c r="E29" s="51">
        <v>0.1</v>
      </c>
      <c r="F29" s="51">
        <v>0.3</v>
      </c>
      <c r="G29" s="51">
        <v>0.1</v>
      </c>
      <c r="H29" s="51">
        <v>0.1</v>
      </c>
      <c r="I29" s="51">
        <v>0.1</v>
      </c>
      <c r="J29" s="51">
        <v>0.3</v>
      </c>
      <c r="K29" s="51">
        <v>0.2</v>
      </c>
      <c r="L29" s="51">
        <v>0.1</v>
      </c>
      <c r="M29" s="51">
        <v>0.1</v>
      </c>
      <c r="N29" s="51">
        <v>0.1</v>
      </c>
      <c r="O29" s="51">
        <v>0.1</v>
      </c>
      <c r="P29" s="51">
        <v>0.1</v>
      </c>
      <c r="Q29" s="51">
        <v>0.2</v>
      </c>
      <c r="R29" s="51">
        <v>0.3</v>
      </c>
      <c r="S29" s="51">
        <v>0.2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0</v>
      </c>
      <c r="Z29" s="51">
        <v>0.2</v>
      </c>
      <c r="AA29" s="51">
        <v>0</v>
      </c>
      <c r="AB29" s="51">
        <v>0</v>
      </c>
      <c r="AC29" s="51">
        <v>0</v>
      </c>
      <c r="AD29" s="51"/>
      <c r="AE29" s="51"/>
      <c r="AF29" s="51"/>
      <c r="AG29" s="46">
        <f t="shared" si="0"/>
        <v>2.9000000000000004</v>
      </c>
      <c r="AH29" s="48"/>
      <c r="AI29" s="48"/>
    </row>
    <row r="30" spans="1:35" s="44" customFormat="1" ht="18.75" customHeight="1" x14ac:dyDescent="0.35">
      <c r="A30" s="60" t="s">
        <v>81</v>
      </c>
      <c r="B30" s="49">
        <f>2.3+2.6+3.5</f>
        <v>8.4</v>
      </c>
      <c r="C30" s="51">
        <v>0</v>
      </c>
      <c r="D30" s="51">
        <v>1.1000000000000001</v>
      </c>
      <c r="E30" s="51">
        <f>2.5+2.6+2.7</f>
        <v>7.8</v>
      </c>
      <c r="F30" s="51">
        <v>0</v>
      </c>
      <c r="G30" s="51">
        <v>0</v>
      </c>
      <c r="H30" s="51">
        <f>3.5+2.6+1.5</f>
        <v>7.6</v>
      </c>
      <c r="I30" s="51">
        <f>2.6+3.7+3</f>
        <v>9.3000000000000007</v>
      </c>
      <c r="J30" s="51">
        <v>2.2999999999999998</v>
      </c>
      <c r="K30" s="52">
        <v>3.5</v>
      </c>
      <c r="L30" s="52">
        <v>0</v>
      </c>
      <c r="M30" s="52">
        <v>0</v>
      </c>
      <c r="N30" s="52">
        <v>1.3</v>
      </c>
      <c r="O30" s="52">
        <v>0</v>
      </c>
      <c r="P30" s="52">
        <v>0</v>
      </c>
      <c r="Q30" s="52">
        <v>0</v>
      </c>
      <c r="R30" s="52">
        <v>0</v>
      </c>
      <c r="S30" s="52">
        <v>3.5</v>
      </c>
      <c r="T30" s="52">
        <v>0</v>
      </c>
      <c r="U30" s="52">
        <v>0</v>
      </c>
      <c r="V30" s="52">
        <v>0</v>
      </c>
      <c r="W30" s="52">
        <v>0</v>
      </c>
      <c r="X30" s="52">
        <v>0</v>
      </c>
      <c r="Y30" s="52">
        <v>0</v>
      </c>
      <c r="Z30" s="52">
        <v>0</v>
      </c>
      <c r="AA30" s="52">
        <v>0</v>
      </c>
      <c r="AB30" s="52">
        <v>0</v>
      </c>
      <c r="AC30" s="52">
        <v>0</v>
      </c>
      <c r="AD30" s="52"/>
      <c r="AE30" s="52"/>
      <c r="AF30" s="52"/>
      <c r="AG30" s="46">
        <f t="shared" si="0"/>
        <v>44.8</v>
      </c>
      <c r="AH30" s="48"/>
      <c r="AI30" s="48"/>
    </row>
    <row r="31" spans="1:35" s="44" customFormat="1" ht="18.75" customHeight="1" x14ac:dyDescent="0.35">
      <c r="A31" s="60" t="s">
        <v>86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82</v>
      </c>
      <c r="B32" s="49">
        <v>5.4</v>
      </c>
      <c r="C32" s="51">
        <v>1.4</v>
      </c>
      <c r="D32" s="51">
        <v>0.1</v>
      </c>
      <c r="E32" s="51">
        <v>0.9</v>
      </c>
      <c r="F32" s="51">
        <v>7</v>
      </c>
      <c r="G32" s="51">
        <v>5.3</v>
      </c>
      <c r="H32" s="51">
        <v>0</v>
      </c>
      <c r="I32" s="51">
        <v>0</v>
      </c>
      <c r="J32" s="51">
        <v>0</v>
      </c>
      <c r="K32" s="51">
        <v>4.0999999999999996</v>
      </c>
      <c r="L32" s="51">
        <v>0</v>
      </c>
      <c r="M32" s="51">
        <v>0</v>
      </c>
      <c r="N32" s="51">
        <v>6</v>
      </c>
      <c r="O32" s="51">
        <v>0</v>
      </c>
      <c r="P32" s="51">
        <v>1.25</v>
      </c>
      <c r="Q32" s="51">
        <v>1.25</v>
      </c>
      <c r="R32" s="51">
        <v>3.1</v>
      </c>
      <c r="S32" s="51">
        <v>3.1</v>
      </c>
      <c r="T32" s="51">
        <f>1.4+3.9+4.3</f>
        <v>9.6</v>
      </c>
      <c r="U32" s="51">
        <f>1.4+3.9+4.3</f>
        <v>9.6</v>
      </c>
      <c r="V32" s="51">
        <v>0</v>
      </c>
      <c r="W32" s="51">
        <v>0</v>
      </c>
      <c r="X32" s="51">
        <v>0</v>
      </c>
      <c r="Y32" s="51">
        <v>0</v>
      </c>
      <c r="Z32" s="51">
        <f>1.25+1.4+1.3</f>
        <v>3.95</v>
      </c>
      <c r="AA32" s="51">
        <f>4.5+3.1+5.1</f>
        <v>12.7</v>
      </c>
      <c r="AB32" s="51">
        <f>4.2+3.6</f>
        <v>7.8000000000000007</v>
      </c>
      <c r="AC32" s="51">
        <f>1.2+0.2+0.3</f>
        <v>1.7</v>
      </c>
      <c r="AD32" s="51"/>
      <c r="AE32" s="51"/>
      <c r="AF32" s="51"/>
      <c r="AG32" s="46">
        <f t="shared" si="0"/>
        <v>84.250000000000014</v>
      </c>
      <c r="AH32" s="48"/>
      <c r="AI32" s="48"/>
    </row>
    <row r="33" spans="1:35" s="44" customFormat="1" ht="18.75" customHeight="1" x14ac:dyDescent="0.35">
      <c r="A33" s="60" t="s">
        <v>178</v>
      </c>
      <c r="B33" s="49">
        <v>0.3</v>
      </c>
      <c r="C33" s="52">
        <v>0.3</v>
      </c>
      <c r="D33" s="52">
        <v>0.4</v>
      </c>
      <c r="E33" s="52">
        <v>0.5</v>
      </c>
      <c r="F33" s="52">
        <v>0.4</v>
      </c>
      <c r="G33" s="52">
        <v>0.2</v>
      </c>
      <c r="H33" s="52">
        <v>1</v>
      </c>
      <c r="I33" s="52">
        <v>0.4</v>
      </c>
      <c r="J33" s="52">
        <v>0.3</v>
      </c>
      <c r="K33" s="52">
        <v>1</v>
      </c>
      <c r="L33" s="52">
        <v>0.7</v>
      </c>
      <c r="M33" s="52">
        <v>0.2</v>
      </c>
      <c r="N33" s="52">
        <v>0.4</v>
      </c>
      <c r="O33" s="52">
        <v>0.1</v>
      </c>
      <c r="P33" s="52">
        <v>0.8</v>
      </c>
      <c r="Q33" s="52">
        <v>1</v>
      </c>
      <c r="R33" s="52">
        <v>0.9</v>
      </c>
      <c r="S33" s="52">
        <v>0.5</v>
      </c>
      <c r="T33" s="52">
        <v>0.6</v>
      </c>
      <c r="U33" s="52">
        <v>0.9</v>
      </c>
      <c r="V33" s="52">
        <v>4.3</v>
      </c>
      <c r="W33" s="52">
        <v>0.5</v>
      </c>
      <c r="X33" s="52">
        <v>0.5</v>
      </c>
      <c r="Y33" s="52">
        <v>0.4</v>
      </c>
      <c r="Z33" s="52">
        <v>0.3</v>
      </c>
      <c r="AA33" s="52">
        <v>0.4</v>
      </c>
      <c r="AB33" s="52">
        <v>0.2</v>
      </c>
      <c r="AC33" s="52">
        <v>0.4</v>
      </c>
      <c r="AD33" s="52"/>
      <c r="AE33" s="52"/>
      <c r="AF33" s="52"/>
      <c r="AG33" s="46">
        <f t="shared" si="0"/>
        <v>17.899999999999995</v>
      </c>
      <c r="AH33" s="48"/>
      <c r="AI33" s="48"/>
    </row>
    <row r="34" spans="1:35" s="44" customFormat="1" ht="18.75" customHeight="1" x14ac:dyDescent="0.35">
      <c r="A34" s="59" t="s">
        <v>155</v>
      </c>
      <c r="B34" s="51">
        <f t="shared" ref="B34:AF34" si="1">SUM(B3:B33)</f>
        <v>31.899999999999995</v>
      </c>
      <c r="C34" s="51">
        <f t="shared" si="1"/>
        <v>24.3</v>
      </c>
      <c r="D34" s="51">
        <f t="shared" si="1"/>
        <v>20.400000000000002</v>
      </c>
      <c r="E34" s="51">
        <f t="shared" si="1"/>
        <v>23.7</v>
      </c>
      <c r="F34" s="51">
        <f t="shared" si="1"/>
        <v>24.8</v>
      </c>
      <c r="G34" s="51">
        <f t="shared" si="1"/>
        <v>25.8</v>
      </c>
      <c r="H34" s="51">
        <f t="shared" si="1"/>
        <v>34.9</v>
      </c>
      <c r="I34" s="51">
        <f t="shared" si="1"/>
        <v>40.5</v>
      </c>
      <c r="J34" s="51">
        <f t="shared" si="1"/>
        <v>26.700000000000003</v>
      </c>
      <c r="K34" s="51">
        <f t="shared" si="1"/>
        <v>38.4</v>
      </c>
      <c r="L34" s="51">
        <f t="shared" si="1"/>
        <v>16.100000000000001</v>
      </c>
      <c r="M34" s="51">
        <f t="shared" si="1"/>
        <v>16.600000000000001</v>
      </c>
      <c r="N34" s="51">
        <f t="shared" si="1"/>
        <v>27.900000000000002</v>
      </c>
      <c r="O34" s="51">
        <f t="shared" si="1"/>
        <v>22.000000000000004</v>
      </c>
      <c r="P34" s="51">
        <f t="shared" si="1"/>
        <v>22.250000000000004</v>
      </c>
      <c r="Q34" s="51">
        <f t="shared" si="1"/>
        <v>26.1</v>
      </c>
      <c r="R34" s="51">
        <f t="shared" si="1"/>
        <v>22.400000000000002</v>
      </c>
      <c r="S34" s="51">
        <f t="shared" si="1"/>
        <v>28</v>
      </c>
      <c r="T34" s="51">
        <f t="shared" si="1"/>
        <v>29.5</v>
      </c>
      <c r="U34" s="51">
        <f t="shared" si="1"/>
        <v>35.599999999999994</v>
      </c>
      <c r="V34" s="51">
        <f t="shared" si="1"/>
        <v>31.000000000000004</v>
      </c>
      <c r="W34" s="51">
        <f t="shared" si="1"/>
        <v>22.4</v>
      </c>
      <c r="X34" s="51">
        <f t="shared" si="1"/>
        <v>19.299999999999997</v>
      </c>
      <c r="Y34" s="51">
        <f t="shared" si="1"/>
        <v>30.3</v>
      </c>
      <c r="Z34" s="51">
        <f t="shared" si="1"/>
        <v>24.15</v>
      </c>
      <c r="AA34" s="51">
        <f t="shared" si="1"/>
        <v>30.7</v>
      </c>
      <c r="AB34" s="51">
        <f t="shared" si="1"/>
        <v>24.8</v>
      </c>
      <c r="AC34" s="51">
        <f t="shared" si="1"/>
        <v>22.3</v>
      </c>
      <c r="AD34" s="51">
        <f t="shared" si="1"/>
        <v>0</v>
      </c>
      <c r="AE34" s="51">
        <f t="shared" si="1"/>
        <v>0</v>
      </c>
      <c r="AF34" s="51">
        <f t="shared" si="1"/>
        <v>0</v>
      </c>
      <c r="AG34" s="56">
        <f>SUM(B34:AF34)</f>
        <v>742.79999999999984</v>
      </c>
      <c r="AH34" s="57"/>
      <c r="AI34" s="57"/>
    </row>
    <row r="35" spans="1:35" s="2" customFormat="1" x14ac:dyDescent="0.25">
      <c r="AG35" s="24">
        <f>SUM(AG3:AG33)</f>
        <v>715.5999999999998</v>
      </c>
    </row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>
      <c r="AA39" s="147">
        <v>1138.4000000000001</v>
      </c>
    </row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  <row r="44" spans="1:35" s="2" customFormat="1" x14ac:dyDescent="0.25"/>
    <row r="45" spans="1:35" x14ac:dyDescent="0.25">
      <c r="K45" t="s">
        <v>223</v>
      </c>
    </row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3" width="8.28515625" bestFit="1" customWidth="1"/>
    <col min="4" max="6" width="7.42578125" customWidth="1"/>
    <col min="7" max="8" width="8.28515625" bestFit="1" customWidth="1"/>
    <col min="9" max="12" width="7.42578125" customWidth="1"/>
    <col min="13" max="16" width="8.28515625" bestFit="1" customWidth="1"/>
    <col min="17" max="17" width="7.42578125" customWidth="1"/>
    <col min="18" max="18" width="8.28515625" bestFit="1" customWidth="1"/>
    <col min="19" max="20" width="7.42578125" customWidth="1"/>
    <col min="21" max="24" width="8.28515625" bestFit="1" customWidth="1"/>
    <col min="25" max="26" width="7.42578125" customWidth="1"/>
    <col min="27" max="27" width="8.28515625" bestFit="1" customWidth="1"/>
    <col min="28" max="28" width="6.7109375" bestFit="1" customWidth="1"/>
    <col min="29" max="32" width="7.42578125" customWidth="1"/>
    <col min="33" max="33" width="13" bestFit="1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0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143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1"/>
      <c r="C13" s="51"/>
      <c r="D13" s="51"/>
      <c r="E13" s="51"/>
      <c r="F13" s="51"/>
      <c r="G13" s="51"/>
      <c r="H13" s="51"/>
      <c r="I13" s="143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>SUM(B28:AF28)</f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>SUM(B31:AF31)</f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>SUM(B32:AF32)</f>
        <v>0</v>
      </c>
      <c r="AH32" s="48"/>
      <c r="AI32" s="48"/>
    </row>
    <row r="33" spans="1:35" s="44" customFormat="1" ht="18.75" customHeight="1" x14ac:dyDescent="0.35">
      <c r="A33" s="60" t="s">
        <v>251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>SUM(B33:AF33)</f>
        <v>0</v>
      </c>
      <c r="AH33" s="48"/>
      <c r="AI33" s="48"/>
    </row>
    <row r="34" spans="1:35" s="44" customFormat="1" ht="18.75" customHeight="1" x14ac:dyDescent="0.35">
      <c r="A34" s="59" t="s">
        <v>155</v>
      </c>
      <c r="B34" s="51">
        <f>SUM(B3:B33)</f>
        <v>0</v>
      </c>
      <c r="C34" s="51">
        <f t="shared" ref="C34:K34" si="1">SUM(C3:C33)</f>
        <v>0</v>
      </c>
      <c r="D34" s="51">
        <f t="shared" si="1"/>
        <v>0</v>
      </c>
      <c r="E34" s="51">
        <f t="shared" si="1"/>
        <v>0</v>
      </c>
      <c r="F34" s="51">
        <f t="shared" si="1"/>
        <v>0</v>
      </c>
      <c r="G34" s="51">
        <f t="shared" si="1"/>
        <v>0</v>
      </c>
      <c r="H34" s="51">
        <f t="shared" si="1"/>
        <v>0</v>
      </c>
      <c r="I34" s="51">
        <f t="shared" si="1"/>
        <v>0</v>
      </c>
      <c r="J34" s="51">
        <f t="shared" si="1"/>
        <v>0</v>
      </c>
      <c r="K34" s="51">
        <f t="shared" si="1"/>
        <v>0</v>
      </c>
      <c r="L34" s="51">
        <f t="shared" ref="L34" si="2">SUM(L3:L33)</f>
        <v>0</v>
      </c>
      <c r="M34" s="51">
        <f t="shared" ref="M34" si="3">SUM(M3:M33)</f>
        <v>0</v>
      </c>
      <c r="N34" s="51">
        <f t="shared" ref="N34" si="4">SUM(N3:N33)</f>
        <v>0</v>
      </c>
      <c r="O34" s="51">
        <f t="shared" ref="O34" si="5">SUM(O3:O33)</f>
        <v>0</v>
      </c>
      <c r="P34" s="51">
        <f t="shared" ref="P34" si="6">SUM(P3:P33)</f>
        <v>0</v>
      </c>
      <c r="Q34" s="51">
        <f t="shared" ref="Q34" si="7">SUM(Q3:Q33)</f>
        <v>0</v>
      </c>
      <c r="R34" s="51">
        <f t="shared" ref="R34" si="8">SUM(R3:R33)</f>
        <v>0</v>
      </c>
      <c r="S34" s="51">
        <f t="shared" ref="S34" si="9">SUM(S3:S33)</f>
        <v>0</v>
      </c>
      <c r="T34" s="51">
        <f t="shared" ref="T34" si="10">SUM(T3:T33)</f>
        <v>0</v>
      </c>
      <c r="U34" s="51">
        <f t="shared" ref="U34" si="11">SUM(U3:U33)</f>
        <v>0</v>
      </c>
      <c r="V34" s="51">
        <f t="shared" ref="V34" si="12">SUM(V3:V33)</f>
        <v>0</v>
      </c>
      <c r="W34" s="51">
        <f t="shared" ref="W34" si="13">SUM(W3:W33)</f>
        <v>0</v>
      </c>
      <c r="X34" s="51">
        <f t="shared" ref="X34" si="14">SUM(X3:X33)</f>
        <v>0</v>
      </c>
      <c r="Y34" s="51">
        <f t="shared" ref="Y34" si="15">SUM(Y3:Y33)</f>
        <v>0</v>
      </c>
      <c r="Z34" s="51">
        <f t="shared" ref="Z34" si="16">SUM(Z3:Z33)</f>
        <v>0</v>
      </c>
      <c r="AA34" s="51">
        <f t="shared" ref="AA34" si="17">SUM(AA3:AA33)</f>
        <v>0</v>
      </c>
      <c r="AB34" s="51">
        <f t="shared" ref="AB34" si="18">SUM(AB3:AB33)</f>
        <v>0</v>
      </c>
      <c r="AC34" s="51">
        <f t="shared" ref="AC34" si="19">SUM(AC3:AC33)</f>
        <v>0</v>
      </c>
      <c r="AD34" s="51">
        <f t="shared" ref="AD34" si="20">SUM(AD3:AD33)</f>
        <v>0</v>
      </c>
      <c r="AE34" s="51">
        <f t="shared" ref="AE34" si="21">SUM(AE3:AE33)</f>
        <v>0</v>
      </c>
      <c r="AF34" s="51">
        <f t="shared" ref="AF34" si="22">SUM(AF3:AF33)</f>
        <v>0</v>
      </c>
      <c r="AG34" s="56">
        <f>SUM(B34:AF34)</f>
        <v>0</v>
      </c>
      <c r="AH34" s="57"/>
      <c r="AI34" s="57"/>
    </row>
    <row r="35" spans="1:35" s="2" customFormat="1" x14ac:dyDescent="0.25">
      <c r="AG35" s="152">
        <f>SUM(AG3:AG33)</f>
        <v>0</v>
      </c>
    </row>
    <row r="36" spans="1:35" s="2" customFormat="1" x14ac:dyDescent="0.25"/>
    <row r="37" spans="1:35" s="2" customFormat="1" x14ac:dyDescent="0.25"/>
  </sheetData>
  <mergeCells count="1">
    <mergeCell ref="A1:AG1"/>
  </mergeCells>
  <conditionalFormatting sqref="AG34">
    <cfRule type="cellIs" dxfId="85" priority="2" operator="equal">
      <formula>$AG$35</formula>
    </cfRule>
  </conditionalFormatting>
  <conditionalFormatting sqref="AG35">
    <cfRule type="cellIs" dxfId="84" priority="1" operator="equal">
      <formula>$AG$34</formula>
    </cfRule>
  </conditionalFormatting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9"/>
  <sheetViews>
    <sheetView topLeftCell="V1" workbookViewId="0">
      <selection activeCell="AF6" sqref="B6:AF6"/>
    </sheetView>
  </sheetViews>
  <sheetFormatPr baseColWidth="10" defaultRowHeight="15" x14ac:dyDescent="0.25"/>
  <cols>
    <col min="1" max="1" width="56.85546875" customWidth="1"/>
    <col min="2" max="2" width="10.140625" customWidth="1"/>
    <col min="3" max="7" width="8.7109375" bestFit="1" customWidth="1"/>
    <col min="8" max="8" width="9.28515625" customWidth="1"/>
    <col min="9" max="11" width="8.7109375" bestFit="1" customWidth="1"/>
    <col min="12" max="12" width="8.7109375" customWidth="1"/>
    <col min="13" max="19" width="8.7109375" bestFit="1" customWidth="1"/>
    <col min="20" max="20" width="9.28515625" customWidth="1"/>
    <col min="21" max="25" width="8.7109375" bestFit="1" customWidth="1"/>
    <col min="26" max="26" width="11" bestFit="1" customWidth="1"/>
    <col min="27" max="30" width="8.7109375" bestFit="1" customWidth="1"/>
    <col min="31" max="31" width="9" customWidth="1"/>
    <col min="32" max="32" width="8.7109375" bestFit="1" customWidth="1"/>
    <col min="33" max="33" width="18.7109375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74">
        <v>3</v>
      </c>
      <c r="C3" s="74">
        <v>4.2</v>
      </c>
      <c r="D3" s="74">
        <v>3.8</v>
      </c>
      <c r="E3" s="74">
        <v>5</v>
      </c>
      <c r="F3" s="74">
        <v>3</v>
      </c>
      <c r="G3" s="74">
        <v>2.8</v>
      </c>
      <c r="H3" s="74">
        <v>4.2</v>
      </c>
      <c r="I3" s="75">
        <v>0</v>
      </c>
      <c r="J3" s="74">
        <v>0</v>
      </c>
      <c r="K3" s="75">
        <v>3</v>
      </c>
      <c r="L3" s="74">
        <v>4</v>
      </c>
      <c r="M3" s="75">
        <v>5</v>
      </c>
      <c r="N3" s="74">
        <v>3</v>
      </c>
      <c r="O3" s="74">
        <v>3.7</v>
      </c>
      <c r="P3" s="75">
        <v>5</v>
      </c>
      <c r="Q3" s="74">
        <v>2</v>
      </c>
      <c r="R3" s="74">
        <v>5.2</v>
      </c>
      <c r="S3" s="75">
        <v>3</v>
      </c>
      <c r="T3" s="75">
        <v>2.5</v>
      </c>
      <c r="U3" s="75">
        <v>3</v>
      </c>
      <c r="V3" s="75">
        <v>2.5</v>
      </c>
      <c r="W3" s="74">
        <v>3</v>
      </c>
      <c r="X3" s="74">
        <v>3.5</v>
      </c>
      <c r="Y3" s="74">
        <v>4</v>
      </c>
      <c r="Z3" s="74">
        <v>1.5</v>
      </c>
      <c r="AA3" s="74">
        <v>3.5</v>
      </c>
      <c r="AB3" s="74">
        <v>2.5</v>
      </c>
      <c r="AC3" s="74">
        <v>1.5</v>
      </c>
      <c r="AD3" s="74">
        <v>3</v>
      </c>
      <c r="AE3" s="74">
        <v>3.5</v>
      </c>
      <c r="AF3" s="74">
        <v>0</v>
      </c>
      <c r="AG3" s="46">
        <f>SUM(B3:AF3)</f>
        <v>93.9</v>
      </c>
      <c r="AH3" s="47"/>
      <c r="AI3" s="48"/>
    </row>
    <row r="4" spans="1:35" s="44" customFormat="1" ht="18.75" customHeight="1" x14ac:dyDescent="0.35">
      <c r="A4" s="60" t="s">
        <v>239</v>
      </c>
      <c r="B4" s="70">
        <v>0</v>
      </c>
      <c r="C4" s="70">
        <v>1.9</v>
      </c>
      <c r="D4" s="70">
        <v>2</v>
      </c>
      <c r="E4" s="70">
        <v>1.1000000000000001</v>
      </c>
      <c r="F4" s="70">
        <v>0.9</v>
      </c>
      <c r="G4" s="70">
        <v>0.4</v>
      </c>
      <c r="H4" s="70">
        <v>1.3</v>
      </c>
      <c r="I4" s="70">
        <v>0</v>
      </c>
      <c r="J4" s="70">
        <v>1</v>
      </c>
      <c r="K4" s="70">
        <v>1.2</v>
      </c>
      <c r="L4" s="70">
        <v>1.2</v>
      </c>
      <c r="M4" s="70">
        <v>2.1</v>
      </c>
      <c r="N4" s="70">
        <v>2.4</v>
      </c>
      <c r="O4" s="70">
        <v>1.4</v>
      </c>
      <c r="P4" s="70">
        <v>0</v>
      </c>
      <c r="Q4" s="70">
        <v>0.8</v>
      </c>
      <c r="R4" s="70">
        <v>1</v>
      </c>
      <c r="S4" s="70">
        <v>1.5</v>
      </c>
      <c r="T4" s="70">
        <v>1.4</v>
      </c>
      <c r="U4" s="70">
        <v>1.6</v>
      </c>
      <c r="V4" s="70">
        <v>2.4</v>
      </c>
      <c r="W4" s="70">
        <v>0</v>
      </c>
      <c r="X4" s="70">
        <v>1.9</v>
      </c>
      <c r="Y4" s="70">
        <v>1.8</v>
      </c>
      <c r="Z4" s="70">
        <v>1</v>
      </c>
      <c r="AA4" s="70">
        <v>1.4</v>
      </c>
      <c r="AB4" s="70">
        <v>0.9</v>
      </c>
      <c r="AC4" s="70">
        <v>2</v>
      </c>
      <c r="AD4" s="70">
        <v>1</v>
      </c>
      <c r="AE4" s="70">
        <v>1.9</v>
      </c>
      <c r="AF4" s="70">
        <v>1</v>
      </c>
      <c r="AG4" s="167">
        <f>SUM(B4:AF4)</f>
        <v>38.499999999999993</v>
      </c>
      <c r="AH4" s="48"/>
      <c r="AI4" s="48"/>
    </row>
    <row r="5" spans="1:35" s="44" customFormat="1" ht="18.75" customHeight="1" x14ac:dyDescent="0.35">
      <c r="A5" s="60" t="s">
        <v>83</v>
      </c>
      <c r="B5" s="70">
        <v>3</v>
      </c>
      <c r="C5" s="70">
        <v>4</v>
      </c>
      <c r="D5" s="70">
        <f>0.9+2.8</f>
        <v>3.6999999999999997</v>
      </c>
      <c r="E5" s="70">
        <v>3.5</v>
      </c>
      <c r="F5" s="70">
        <f>1.1+1.8+0.9</f>
        <v>3.8000000000000003</v>
      </c>
      <c r="G5" s="70">
        <v>1.9</v>
      </c>
      <c r="H5" s="70">
        <v>2.2999999999999998</v>
      </c>
      <c r="I5" s="70">
        <v>3</v>
      </c>
      <c r="J5" s="70">
        <v>3</v>
      </c>
      <c r="K5" s="70">
        <f>0.5+0.8+1</f>
        <v>2.2999999999999998</v>
      </c>
      <c r="L5" s="70">
        <f>0.8+0.8+1</f>
        <v>2.6</v>
      </c>
      <c r="M5" s="70">
        <f>0.3+0.5</f>
        <v>0.8</v>
      </c>
      <c r="N5" s="70">
        <v>1.9</v>
      </c>
      <c r="O5" s="70">
        <v>3.5</v>
      </c>
      <c r="P5" s="70">
        <v>0</v>
      </c>
      <c r="Q5" s="70">
        <v>4.9000000000000004</v>
      </c>
      <c r="R5" s="70">
        <f>1.5+0.9+0.5</f>
        <v>2.9</v>
      </c>
      <c r="S5" s="70">
        <v>6</v>
      </c>
      <c r="T5" s="70">
        <f>1.3+0.9+1.8</f>
        <v>4</v>
      </c>
      <c r="U5" s="70">
        <f>1.5+0.8+1.9</f>
        <v>4.1999999999999993</v>
      </c>
      <c r="V5" s="70">
        <f>1.3+3.9+1</f>
        <v>6.2</v>
      </c>
      <c r="W5" s="70">
        <f>2.9+0.9</f>
        <v>3.8</v>
      </c>
      <c r="X5" s="70">
        <f>1+0.8+1.9</f>
        <v>3.7</v>
      </c>
      <c r="Y5" s="70">
        <f>1.3+1+0.8</f>
        <v>3.0999999999999996</v>
      </c>
      <c r="Z5" s="70">
        <f>3.8+1</f>
        <v>4.8</v>
      </c>
      <c r="AA5" s="70">
        <v>2.2999999999999998</v>
      </c>
      <c r="AB5" s="70">
        <v>5</v>
      </c>
      <c r="AC5" s="70">
        <v>4</v>
      </c>
      <c r="AD5" s="70">
        <v>0</v>
      </c>
      <c r="AE5" s="70">
        <v>1.1000000000000001</v>
      </c>
      <c r="AF5" s="70">
        <v>1</v>
      </c>
      <c r="AG5" s="46">
        <f>SUM(B5:AF5)</f>
        <v>96.299999999999983</v>
      </c>
      <c r="AH5" s="48"/>
      <c r="AI5" s="48"/>
    </row>
    <row r="6" spans="1:35" s="44" customFormat="1" ht="18.75" customHeight="1" x14ac:dyDescent="0.35">
      <c r="A6" s="60" t="s">
        <v>84</v>
      </c>
      <c r="AG6" s="46">
        <f>SUM(NEG_05_23!B6:AF6)</f>
        <v>163.09999999999997</v>
      </c>
      <c r="AH6" s="48"/>
      <c r="AI6" s="48"/>
    </row>
    <row r="7" spans="1:35" s="44" customFormat="1" ht="18.75" customHeight="1" x14ac:dyDescent="0.35">
      <c r="A7" s="60" t="s">
        <v>64</v>
      </c>
      <c r="B7" s="51">
        <v>3</v>
      </c>
      <c r="C7" s="51">
        <v>3.9</v>
      </c>
      <c r="D7" s="51">
        <v>3.5</v>
      </c>
      <c r="E7" s="51">
        <v>3.8</v>
      </c>
      <c r="F7" s="51">
        <v>3.2</v>
      </c>
      <c r="G7" s="51">
        <v>3.9</v>
      </c>
      <c r="H7" s="51">
        <v>3.8</v>
      </c>
      <c r="I7" s="51">
        <v>3.6</v>
      </c>
      <c r="J7" s="51">
        <v>2</v>
      </c>
      <c r="K7" s="51">
        <v>3.9</v>
      </c>
      <c r="L7" s="51">
        <v>3.9</v>
      </c>
      <c r="M7" s="51">
        <v>3.8</v>
      </c>
      <c r="N7" s="51">
        <v>2.9</v>
      </c>
      <c r="O7" s="51">
        <v>2.7</v>
      </c>
      <c r="P7" s="51">
        <v>3.9</v>
      </c>
      <c r="Q7" s="51">
        <v>3.7</v>
      </c>
      <c r="R7" s="51">
        <v>3.8</v>
      </c>
      <c r="S7" s="51">
        <v>3.6</v>
      </c>
      <c r="T7" s="51">
        <v>3.9</v>
      </c>
      <c r="U7" s="51">
        <v>4.0999999999999996</v>
      </c>
      <c r="V7" s="51">
        <v>3.9</v>
      </c>
      <c r="W7" s="51">
        <v>3.5</v>
      </c>
      <c r="X7" s="51">
        <v>2.9</v>
      </c>
      <c r="Y7" s="51">
        <v>3.9</v>
      </c>
      <c r="Z7" s="51">
        <v>3.7</v>
      </c>
      <c r="AA7" s="51">
        <v>4.5</v>
      </c>
      <c r="AB7" s="51">
        <v>3.6</v>
      </c>
      <c r="AC7" s="51">
        <v>3.9</v>
      </c>
      <c r="AD7" s="51">
        <v>3.7</v>
      </c>
      <c r="AE7" s="51">
        <v>3.9</v>
      </c>
      <c r="AF7" s="51">
        <v>3.5</v>
      </c>
      <c r="AG7" s="46">
        <f t="shared" ref="AG7:AG16" si="0">SUM(B7:AF7)</f>
        <v>111.90000000000002</v>
      </c>
      <c r="AH7" s="48"/>
      <c r="AI7" s="48"/>
    </row>
    <row r="8" spans="1:35" s="44" customFormat="1" ht="18.75" customHeight="1" x14ac:dyDescent="0.35">
      <c r="A8" s="60" t="s">
        <v>65</v>
      </c>
      <c r="B8" s="51">
        <v>9.5</v>
      </c>
      <c r="C8" s="51">
        <v>9.5</v>
      </c>
      <c r="D8" s="51">
        <v>10</v>
      </c>
      <c r="E8" s="51">
        <v>9</v>
      </c>
      <c r="F8" s="51">
        <v>9.6999999999999993</v>
      </c>
      <c r="G8" s="51">
        <v>10</v>
      </c>
      <c r="H8" s="51">
        <v>7</v>
      </c>
      <c r="I8" s="51">
        <v>9</v>
      </c>
      <c r="J8" s="51">
        <v>19</v>
      </c>
      <c r="K8" s="51">
        <v>18</v>
      </c>
      <c r="L8" s="51">
        <v>10.8</v>
      </c>
      <c r="M8" s="51">
        <v>7.9</v>
      </c>
      <c r="N8" s="51">
        <v>7.8</v>
      </c>
      <c r="O8" s="51">
        <v>9</v>
      </c>
      <c r="P8" s="51">
        <f>3.9+2.8</f>
        <v>6.6999999999999993</v>
      </c>
      <c r="Q8" s="51">
        <f>4.5+2.9</f>
        <v>7.4</v>
      </c>
      <c r="R8" s="51">
        <v>7</v>
      </c>
      <c r="S8" s="51">
        <v>6.7</v>
      </c>
      <c r="T8" s="51">
        <v>7.2</v>
      </c>
      <c r="U8" s="51">
        <v>7.3</v>
      </c>
      <c r="V8" s="51">
        <v>7.4</v>
      </c>
      <c r="W8" s="51">
        <v>7.1</v>
      </c>
      <c r="X8" s="51">
        <v>7</v>
      </c>
      <c r="Y8" s="51">
        <v>6.9</v>
      </c>
      <c r="Z8" s="51">
        <v>7</v>
      </c>
      <c r="AA8" s="51">
        <v>6.6</v>
      </c>
      <c r="AB8" s="51">
        <v>6.5</v>
      </c>
      <c r="AC8" s="51">
        <v>6.7</v>
      </c>
      <c r="AD8" s="51">
        <v>6.6</v>
      </c>
      <c r="AE8" s="51">
        <v>5.9</v>
      </c>
      <c r="AF8" s="51">
        <v>8.5</v>
      </c>
      <c r="AG8" s="46">
        <f t="shared" si="0"/>
        <v>264.7</v>
      </c>
      <c r="AH8" s="48"/>
      <c r="AI8" s="48"/>
    </row>
    <row r="9" spans="1:35" s="44" customFormat="1" ht="18.75" customHeight="1" x14ac:dyDescent="0.35">
      <c r="A9" s="60" t="s">
        <v>66</v>
      </c>
      <c r="B9" s="52">
        <v>0</v>
      </c>
      <c r="C9" s="52">
        <v>4.5</v>
      </c>
      <c r="D9" s="52">
        <v>4.2</v>
      </c>
      <c r="E9" s="52">
        <v>0</v>
      </c>
      <c r="F9" s="52">
        <v>0</v>
      </c>
      <c r="G9" s="52">
        <v>0</v>
      </c>
      <c r="H9" s="52">
        <v>0</v>
      </c>
      <c r="I9" s="52">
        <v>0</v>
      </c>
      <c r="J9" s="52">
        <v>4.2</v>
      </c>
      <c r="K9" s="52">
        <v>3.2</v>
      </c>
      <c r="L9" s="52">
        <v>4.2</v>
      </c>
      <c r="M9" s="52">
        <v>4.5</v>
      </c>
      <c r="N9" s="52">
        <v>4.2</v>
      </c>
      <c r="O9" s="52">
        <v>2.2999999999999998</v>
      </c>
      <c r="P9" s="52">
        <v>0</v>
      </c>
      <c r="Q9" s="52">
        <v>5.2</v>
      </c>
      <c r="R9" s="52">
        <v>5.5</v>
      </c>
      <c r="S9" s="52">
        <v>4.5</v>
      </c>
      <c r="T9" s="52">
        <v>4.2</v>
      </c>
      <c r="U9" s="52">
        <v>4.3</v>
      </c>
      <c r="V9" s="52">
        <v>0</v>
      </c>
      <c r="W9" s="52">
        <v>4.4000000000000004</v>
      </c>
      <c r="X9" s="52">
        <v>4.0999999999999996</v>
      </c>
      <c r="Y9" s="52">
        <v>5.6</v>
      </c>
      <c r="Z9" s="52">
        <v>3.3</v>
      </c>
      <c r="AA9" s="52">
        <v>4.5999999999999996</v>
      </c>
      <c r="AB9" s="52">
        <v>5.8</v>
      </c>
      <c r="AC9" s="52">
        <v>6.2</v>
      </c>
      <c r="AD9" s="52">
        <v>0</v>
      </c>
      <c r="AE9" s="52">
        <v>5.8</v>
      </c>
      <c r="AF9" s="52">
        <v>6.2</v>
      </c>
      <c r="AG9" s="46">
        <f t="shared" si="0"/>
        <v>100.99999999999999</v>
      </c>
      <c r="AH9" s="48"/>
      <c r="AI9" s="48"/>
    </row>
    <row r="10" spans="1:35" s="44" customFormat="1" ht="18.75" customHeight="1" x14ac:dyDescent="0.35">
      <c r="A10" s="60" t="s">
        <v>67</v>
      </c>
      <c r="B10" s="157">
        <f>5.9+4.3</f>
        <v>10.199999999999999</v>
      </c>
      <c r="C10" s="157">
        <f>6.1+3.2</f>
        <v>9.3000000000000007</v>
      </c>
      <c r="D10" s="157">
        <f>7.1+4.3</f>
        <v>11.399999999999999</v>
      </c>
      <c r="E10" s="157">
        <f>6.3+4.1</f>
        <v>10.399999999999999</v>
      </c>
      <c r="F10" s="157">
        <f>7+5.1</f>
        <v>12.1</v>
      </c>
      <c r="G10" s="157">
        <f>9.6+5.2</f>
        <v>14.8</v>
      </c>
      <c r="H10" s="157">
        <f>8.1+6.1</f>
        <v>14.2</v>
      </c>
      <c r="I10" s="157">
        <f>5.2+2.1</f>
        <v>7.3000000000000007</v>
      </c>
      <c r="J10" s="157">
        <f>4.3</f>
        <v>4.3</v>
      </c>
      <c r="K10" s="157">
        <v>5.2</v>
      </c>
      <c r="L10" s="157">
        <v>7.1</v>
      </c>
      <c r="M10" s="157">
        <v>2.2000000000000002</v>
      </c>
      <c r="N10" s="157">
        <v>7.01</v>
      </c>
      <c r="O10" s="157">
        <v>5</v>
      </c>
      <c r="P10" s="157">
        <v>7.3</v>
      </c>
      <c r="Q10" s="157">
        <v>9.1</v>
      </c>
      <c r="R10" s="157">
        <v>6.1</v>
      </c>
      <c r="S10" s="157">
        <v>5.2</v>
      </c>
      <c r="T10" s="157">
        <v>8.1</v>
      </c>
      <c r="U10" s="157">
        <v>6.3</v>
      </c>
      <c r="V10" s="157">
        <v>7.3</v>
      </c>
      <c r="W10" s="157">
        <v>9.3000000000000007</v>
      </c>
      <c r="X10" s="157">
        <v>3.1</v>
      </c>
      <c r="Y10" s="157">
        <v>4.2</v>
      </c>
      <c r="Z10" s="157">
        <v>5.0999999999999996</v>
      </c>
      <c r="AA10" s="157">
        <v>4.3</v>
      </c>
      <c r="AB10" s="157">
        <v>6.21</v>
      </c>
      <c r="AC10" s="157">
        <v>6.31</v>
      </c>
      <c r="AD10" s="157">
        <v>5.21</v>
      </c>
      <c r="AE10" s="157">
        <v>6.31</v>
      </c>
      <c r="AF10" s="157">
        <v>4.21</v>
      </c>
      <c r="AG10" s="46">
        <f t="shared" si="0"/>
        <v>224.16000000000003</v>
      </c>
      <c r="AH10" s="48"/>
      <c r="AI10" s="48"/>
    </row>
    <row r="11" spans="1:35" s="44" customFormat="1" ht="18.75" customHeight="1" x14ac:dyDescent="0.35">
      <c r="A11" s="60" t="s">
        <v>152</v>
      </c>
      <c r="B11" s="51">
        <v>1</v>
      </c>
      <c r="C11" s="51">
        <v>4</v>
      </c>
      <c r="D11" s="51">
        <v>2.9</v>
      </c>
      <c r="E11" s="51">
        <v>3.9</v>
      </c>
      <c r="F11" s="51">
        <v>2.8</v>
      </c>
      <c r="G11" s="51">
        <v>2</v>
      </c>
      <c r="H11" s="51">
        <v>1</v>
      </c>
      <c r="I11" s="51">
        <v>1</v>
      </c>
      <c r="J11" s="51">
        <v>1</v>
      </c>
      <c r="K11" s="51">
        <v>4</v>
      </c>
      <c r="L11" s="51">
        <v>2.9</v>
      </c>
      <c r="M11" s="51">
        <v>2.8</v>
      </c>
      <c r="N11" s="51">
        <v>2.5</v>
      </c>
      <c r="O11" s="51">
        <v>1.5</v>
      </c>
      <c r="P11" s="51">
        <v>1</v>
      </c>
      <c r="Q11" s="51">
        <v>4</v>
      </c>
      <c r="R11" s="51">
        <v>3.5</v>
      </c>
      <c r="S11" s="51">
        <v>2.7</v>
      </c>
      <c r="T11" s="51">
        <v>3.7</v>
      </c>
      <c r="U11" s="51">
        <v>3.8</v>
      </c>
      <c r="V11" s="51">
        <v>1</v>
      </c>
      <c r="W11" s="51">
        <v>1</v>
      </c>
      <c r="X11" s="51">
        <v>3.9</v>
      </c>
      <c r="Y11" s="51">
        <v>4</v>
      </c>
      <c r="Z11" s="51">
        <v>4.2</v>
      </c>
      <c r="AA11" s="51">
        <v>3.9</v>
      </c>
      <c r="AB11" s="51">
        <v>3.8</v>
      </c>
      <c r="AC11" s="51">
        <v>1</v>
      </c>
      <c r="AD11" s="51">
        <v>1</v>
      </c>
      <c r="AE11" s="51">
        <v>5</v>
      </c>
      <c r="AF11" s="51">
        <v>2.9</v>
      </c>
      <c r="AG11" s="46">
        <f t="shared" si="0"/>
        <v>83.7</v>
      </c>
      <c r="AH11" s="48"/>
      <c r="AI11" s="48"/>
    </row>
    <row r="12" spans="1:35" s="44" customFormat="1" ht="18.75" customHeight="1" x14ac:dyDescent="0.35">
      <c r="A12" s="60" t="s">
        <v>91</v>
      </c>
      <c r="B12" s="70">
        <v>6.4</v>
      </c>
      <c r="C12" s="70">
        <v>7.8</v>
      </c>
      <c r="D12" s="70">
        <v>7.2</v>
      </c>
      <c r="E12" s="70">
        <v>10.1</v>
      </c>
      <c r="F12" s="70">
        <f>6.9+4.3</f>
        <v>11.2</v>
      </c>
      <c r="G12" s="70">
        <f>6.7+3.9</f>
        <v>10.6</v>
      </c>
      <c r="H12" s="70">
        <f>6.9+1.9</f>
        <v>8.8000000000000007</v>
      </c>
      <c r="I12" s="70">
        <v>6.7</v>
      </c>
      <c r="J12" s="70">
        <f>7.3+1.9</f>
        <v>9.1999999999999993</v>
      </c>
      <c r="K12" s="70">
        <f>6.3+1.7</f>
        <v>8</v>
      </c>
      <c r="L12" s="70">
        <v>6.8</v>
      </c>
      <c r="M12" s="70">
        <v>8.1</v>
      </c>
      <c r="N12" s="70">
        <v>7</v>
      </c>
      <c r="O12" s="70">
        <f>6.5+1.7</f>
        <v>8.1999999999999993</v>
      </c>
      <c r="P12" s="70">
        <f>7.3+1.9</f>
        <v>9.1999999999999993</v>
      </c>
      <c r="Q12" s="70">
        <f>7.3+4</f>
        <v>11.3</v>
      </c>
      <c r="R12" s="70">
        <v>1.9</v>
      </c>
      <c r="S12" s="70">
        <f>6.9+6.3</f>
        <v>13.2</v>
      </c>
      <c r="T12" s="70">
        <v>3.2</v>
      </c>
      <c r="U12" s="70">
        <f>7.3+4.3</f>
        <v>11.6</v>
      </c>
      <c r="V12" s="70">
        <f>6.3+2.7</f>
        <v>9</v>
      </c>
      <c r="W12" s="70">
        <f>6.3+1.3</f>
        <v>7.6</v>
      </c>
      <c r="X12" s="70">
        <v>4.2</v>
      </c>
      <c r="Y12" s="70">
        <v>4.8</v>
      </c>
      <c r="Z12" s="70">
        <v>48</v>
      </c>
      <c r="AA12" s="70">
        <v>4.5</v>
      </c>
      <c r="AB12" s="70">
        <v>5.7</v>
      </c>
      <c r="AC12" s="70">
        <f>6.9+1.3</f>
        <v>8.2000000000000011</v>
      </c>
      <c r="AD12" s="70">
        <f>7.1+1.5</f>
        <v>8.6</v>
      </c>
      <c r="AE12" s="70">
        <f>7+4</f>
        <v>11</v>
      </c>
      <c r="AF12" s="70">
        <f>6.8+4</f>
        <v>10.8</v>
      </c>
      <c r="AG12" s="46">
        <f t="shared" si="0"/>
        <v>288.90000000000003</v>
      </c>
      <c r="AH12" s="48"/>
      <c r="AI12" s="48"/>
    </row>
    <row r="13" spans="1:35" s="44" customFormat="1" ht="18.75" customHeight="1" x14ac:dyDescent="0.35">
      <c r="A13" s="60" t="s">
        <v>150</v>
      </c>
      <c r="B13" s="70"/>
      <c r="C13" s="70"/>
      <c r="D13" s="70"/>
      <c r="E13" s="70"/>
      <c r="F13" s="70"/>
      <c r="G13" s="70"/>
      <c r="H13" s="70"/>
      <c r="I13" s="70"/>
      <c r="J13" s="70"/>
      <c r="K13" s="70"/>
      <c r="L13" s="70"/>
      <c r="M13" s="70"/>
      <c r="N13" s="70"/>
      <c r="O13" s="70"/>
      <c r="P13" s="70"/>
      <c r="Q13" s="70"/>
      <c r="R13" s="70"/>
      <c r="S13" s="70"/>
      <c r="T13" s="70"/>
      <c r="U13" s="70"/>
      <c r="V13" s="70"/>
      <c r="W13" s="70"/>
      <c r="X13" s="70"/>
      <c r="Y13" s="70"/>
      <c r="Z13" s="70"/>
      <c r="AA13" s="70"/>
      <c r="AB13" s="70"/>
      <c r="AC13" s="70"/>
      <c r="AD13" s="70"/>
      <c r="AE13" s="70"/>
      <c r="AF13" s="70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69</v>
      </c>
      <c r="B14" s="77">
        <v>0</v>
      </c>
      <c r="C14" s="77">
        <v>2.2999999999999998</v>
      </c>
      <c r="D14" s="77">
        <v>2.2000000000000002</v>
      </c>
      <c r="E14" s="77">
        <v>2.5</v>
      </c>
      <c r="F14" s="77">
        <v>2</v>
      </c>
      <c r="G14" s="77">
        <v>2.2999999999999998</v>
      </c>
      <c r="H14" s="77">
        <v>2.4</v>
      </c>
      <c r="I14" s="77">
        <v>2.2000000000000002</v>
      </c>
      <c r="J14" s="77">
        <v>2.4</v>
      </c>
      <c r="K14" s="77">
        <v>2.5</v>
      </c>
      <c r="L14" s="77">
        <v>2.2000000000000002</v>
      </c>
      <c r="M14" s="77">
        <v>2.1</v>
      </c>
      <c r="N14" s="77">
        <v>2</v>
      </c>
      <c r="O14" s="77">
        <v>2.4</v>
      </c>
      <c r="P14" s="77">
        <v>2.5</v>
      </c>
      <c r="Q14" s="77">
        <v>2.2999999999999998</v>
      </c>
      <c r="R14" s="77">
        <v>2.2000000000000002</v>
      </c>
      <c r="S14" s="77">
        <v>2.2999999999999998</v>
      </c>
      <c r="T14" s="77">
        <v>2.1</v>
      </c>
      <c r="U14" s="77">
        <v>2.4</v>
      </c>
      <c r="V14" s="77">
        <v>2.2999999999999998</v>
      </c>
      <c r="W14" s="77">
        <v>2.2999999999999998</v>
      </c>
      <c r="X14" s="77">
        <v>2.11</v>
      </c>
      <c r="Y14" s="77">
        <v>2.2000000000000002</v>
      </c>
      <c r="Z14" s="77">
        <v>2.1</v>
      </c>
      <c r="AA14" s="77">
        <v>2.2000000000000002</v>
      </c>
      <c r="AB14" s="77">
        <v>2.11</v>
      </c>
      <c r="AC14" s="77">
        <v>2.2000000000000002</v>
      </c>
      <c r="AD14" s="77">
        <v>2.2999999999999998</v>
      </c>
      <c r="AE14" s="77">
        <v>2.4</v>
      </c>
      <c r="AF14" s="77">
        <v>2.5</v>
      </c>
      <c r="AG14" s="46">
        <f t="shared" si="0"/>
        <v>68.02</v>
      </c>
      <c r="AH14" s="48"/>
      <c r="AI14" s="48"/>
    </row>
    <row r="15" spans="1:35" s="44" customFormat="1" ht="18.75" customHeight="1" x14ac:dyDescent="0.35">
      <c r="A15" s="60" t="s">
        <v>71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2"/>
      <c r="Z15" s="52"/>
      <c r="AA15" s="52"/>
      <c r="AB15" s="52"/>
      <c r="AC15" s="52"/>
      <c r="AD15" s="52"/>
      <c r="AE15" s="52"/>
      <c r="AF15" s="52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72</v>
      </c>
      <c r="B16" s="70">
        <v>4.9000000000000004</v>
      </c>
      <c r="C16" s="70">
        <f>6.2+2.1</f>
        <v>8.3000000000000007</v>
      </c>
      <c r="D16" s="70">
        <f>4.8+2.1</f>
        <v>6.9</v>
      </c>
      <c r="E16" s="70">
        <f>6.1+1.9</f>
        <v>8</v>
      </c>
      <c r="F16" s="70">
        <f>3.1+1.3</f>
        <v>4.4000000000000004</v>
      </c>
      <c r="G16" s="70">
        <f>4.1+1.3</f>
        <v>5.3999999999999995</v>
      </c>
      <c r="H16" s="70">
        <f>4.2+1.9</f>
        <v>6.1</v>
      </c>
      <c r="I16" s="70">
        <f>3.7+1.9</f>
        <v>5.6</v>
      </c>
      <c r="J16" s="70">
        <v>4</v>
      </c>
      <c r="K16" s="70">
        <v>8.8000000000000007</v>
      </c>
      <c r="L16" s="70">
        <f>4.7+4.8</f>
        <v>9.5</v>
      </c>
      <c r="M16" s="70">
        <f>4.4+3.8</f>
        <v>8.1999999999999993</v>
      </c>
      <c r="N16" s="70">
        <f>4.6+4</f>
        <v>8.6</v>
      </c>
      <c r="O16" s="70">
        <f>8.7</f>
        <v>8.6999999999999993</v>
      </c>
      <c r="P16" s="70">
        <v>4.8</v>
      </c>
      <c r="Q16" s="70">
        <v>6.4</v>
      </c>
      <c r="R16" s="70">
        <f>3.7+1.4</f>
        <v>5.0999999999999996</v>
      </c>
      <c r="S16" s="70">
        <f>1.4+3.1</f>
        <v>4.5</v>
      </c>
      <c r="T16" s="70">
        <f>3.1+1.9</f>
        <v>5</v>
      </c>
      <c r="U16" s="70">
        <f>1.3+1.7</f>
        <v>3</v>
      </c>
      <c r="V16" s="70">
        <v>2.5</v>
      </c>
      <c r="W16" s="70">
        <v>4.8</v>
      </c>
      <c r="X16" s="70">
        <v>8.9</v>
      </c>
      <c r="Y16" s="70">
        <v>7.8</v>
      </c>
      <c r="Z16" s="70">
        <v>7.9</v>
      </c>
      <c r="AA16" s="70">
        <f>4.7+3.9</f>
        <v>8.6</v>
      </c>
      <c r="AB16" s="70">
        <v>8.1999999999999993</v>
      </c>
      <c r="AC16" s="70">
        <f>3.8+3.6</f>
        <v>7.4</v>
      </c>
      <c r="AD16" s="70">
        <v>5.4</v>
      </c>
      <c r="AE16" s="70">
        <v>5.9</v>
      </c>
      <c r="AF16" s="70">
        <v>6.4</v>
      </c>
      <c r="AG16" s="46">
        <f t="shared" si="0"/>
        <v>200.00000000000003</v>
      </c>
      <c r="AH16" s="48"/>
      <c r="AI16" s="48"/>
    </row>
    <row r="17" spans="1:35" s="44" customFormat="1" ht="18.75" customHeight="1" x14ac:dyDescent="0.35">
      <c r="A17" s="60" t="s">
        <v>85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v>0</v>
      </c>
      <c r="AH17" s="48"/>
      <c r="AI17" s="48"/>
    </row>
    <row r="18" spans="1:35" s="44" customFormat="1" ht="18.75" customHeight="1" x14ac:dyDescent="0.35">
      <c r="A18" s="60" t="s">
        <v>244</v>
      </c>
      <c r="B18" s="51">
        <v>1.9</v>
      </c>
      <c r="C18" s="51">
        <v>1.6</v>
      </c>
      <c r="D18" s="51">
        <v>2.6</v>
      </c>
      <c r="E18" s="51">
        <v>1.9</v>
      </c>
      <c r="F18" s="51">
        <v>2.6</v>
      </c>
      <c r="G18" s="51">
        <v>1.9</v>
      </c>
      <c r="H18" s="51">
        <v>1.9</v>
      </c>
      <c r="I18" s="51">
        <v>1.9</v>
      </c>
      <c r="J18" s="51">
        <v>1.6</v>
      </c>
      <c r="K18" s="51">
        <v>2.2999999999999998</v>
      </c>
      <c r="L18" s="51">
        <v>3</v>
      </c>
      <c r="M18" s="51">
        <v>3.1</v>
      </c>
      <c r="N18" s="51">
        <v>4</v>
      </c>
      <c r="O18" s="51">
        <v>4</v>
      </c>
      <c r="P18" s="51">
        <v>1.7</v>
      </c>
      <c r="Q18" s="51">
        <v>2.7</v>
      </c>
      <c r="R18" s="51">
        <v>1</v>
      </c>
      <c r="S18" s="51">
        <v>2.2999999999999998</v>
      </c>
      <c r="T18" s="51">
        <v>2</v>
      </c>
      <c r="U18" s="51">
        <v>1.7</v>
      </c>
      <c r="V18" s="51">
        <v>1.2</v>
      </c>
      <c r="W18" s="51">
        <v>1.9</v>
      </c>
      <c r="X18" s="51">
        <v>3.4</v>
      </c>
      <c r="Y18" s="51">
        <v>0.3</v>
      </c>
      <c r="Z18" s="51">
        <v>4.0999999999999996</v>
      </c>
      <c r="AA18" s="51">
        <v>5.0999999999999996</v>
      </c>
      <c r="AB18" s="51">
        <v>0.4</v>
      </c>
      <c r="AC18" s="51">
        <v>0.5</v>
      </c>
      <c r="AD18" s="51">
        <v>0.4</v>
      </c>
      <c r="AE18" s="51">
        <v>2.7</v>
      </c>
      <c r="AF18" s="51">
        <v>2.6</v>
      </c>
      <c r="AG18" s="46">
        <f t="shared" ref="AG18:AG35" si="1">SUM(B18:AF18)</f>
        <v>68.3</v>
      </c>
      <c r="AH18" s="48"/>
      <c r="AI18" s="48"/>
    </row>
    <row r="19" spans="1:35" s="44" customFormat="1" ht="18.75" customHeight="1" x14ac:dyDescent="0.35">
      <c r="A19" s="60" t="s">
        <v>73</v>
      </c>
      <c r="B19" s="70">
        <f>9.1+9+8.2</f>
        <v>26.3</v>
      </c>
      <c r="C19" s="70">
        <f>9.1+9.2</f>
        <v>18.299999999999997</v>
      </c>
      <c r="D19" s="70">
        <f>9.2+8.1</f>
        <v>17.299999999999997</v>
      </c>
      <c r="E19" s="70">
        <f>9.5+8.2</f>
        <v>17.7</v>
      </c>
      <c r="F19" s="70">
        <v>18.2</v>
      </c>
      <c r="G19" s="70">
        <v>18.7</v>
      </c>
      <c r="H19" s="70">
        <v>19</v>
      </c>
      <c r="I19" s="70">
        <v>0</v>
      </c>
      <c r="J19" s="70">
        <v>0</v>
      </c>
      <c r="K19" s="70">
        <f>8.1+9.2</f>
        <v>17.299999999999997</v>
      </c>
      <c r="L19" s="70">
        <v>18.2</v>
      </c>
      <c r="M19" s="70">
        <v>19.5</v>
      </c>
      <c r="N19" s="70">
        <v>18.2</v>
      </c>
      <c r="O19" s="70">
        <v>19.5</v>
      </c>
      <c r="P19" s="70">
        <v>0</v>
      </c>
      <c r="Q19" s="70">
        <v>18.7</v>
      </c>
      <c r="R19" s="70">
        <v>19.5</v>
      </c>
      <c r="S19" s="70">
        <v>19.899999999999999</v>
      </c>
      <c r="T19" s="70">
        <v>19.100000000000001</v>
      </c>
      <c r="U19" s="70">
        <v>19.899999999999999</v>
      </c>
      <c r="V19" s="70">
        <v>18.5</v>
      </c>
      <c r="W19" s="70">
        <v>0</v>
      </c>
      <c r="X19" s="70">
        <v>18.2</v>
      </c>
      <c r="Y19" s="70">
        <v>17</v>
      </c>
      <c r="Z19" s="70">
        <v>18.899999999999999</v>
      </c>
      <c r="AA19" s="70">
        <v>17</v>
      </c>
      <c r="AB19" s="70">
        <v>18.2</v>
      </c>
      <c r="AC19" s="70">
        <v>18.5</v>
      </c>
      <c r="AD19" s="70">
        <v>0</v>
      </c>
      <c r="AE19" s="70">
        <v>17.2</v>
      </c>
      <c r="AF19" s="70">
        <v>17.600000000000001</v>
      </c>
      <c r="AG19" s="46">
        <f t="shared" si="1"/>
        <v>486.39999999999992</v>
      </c>
      <c r="AH19" s="48"/>
      <c r="AI19" s="48"/>
    </row>
    <row r="20" spans="1:35" s="44" customFormat="1" ht="18.75" customHeight="1" x14ac:dyDescent="0.35">
      <c r="A20" s="60" t="s">
        <v>92</v>
      </c>
      <c r="B20" s="70"/>
      <c r="C20" s="70"/>
      <c r="D20" s="70"/>
      <c r="E20" s="70"/>
      <c r="F20" s="70"/>
      <c r="G20" s="70"/>
      <c r="H20" s="70"/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46">
        <f t="shared" si="1"/>
        <v>0</v>
      </c>
      <c r="AH20" s="48"/>
      <c r="AI20" s="48"/>
    </row>
    <row r="21" spans="1:35" s="44" customFormat="1" ht="18.75" customHeight="1" x14ac:dyDescent="0.35">
      <c r="A21" s="60" t="s">
        <v>89</v>
      </c>
      <c r="B21" s="70">
        <f>6.53</f>
        <v>6.53</v>
      </c>
      <c r="C21" s="70">
        <f>5.3+2</f>
        <v>7.3</v>
      </c>
      <c r="D21" s="70">
        <v>8.1999999999999993</v>
      </c>
      <c r="E21" s="70">
        <v>6.5</v>
      </c>
      <c r="F21" s="70">
        <v>6.5</v>
      </c>
      <c r="G21" s="70">
        <v>4.8</v>
      </c>
      <c r="H21" s="70">
        <v>8.6999999999999993</v>
      </c>
      <c r="I21" s="70">
        <f>5.7+1.5</f>
        <v>7.2</v>
      </c>
      <c r="J21" s="70">
        <f>5.3+2.5</f>
        <v>7.8</v>
      </c>
      <c r="K21" s="70">
        <f>4.5+2.8</f>
        <v>7.3</v>
      </c>
      <c r="L21" s="70">
        <f>6.8+2.5</f>
        <v>9.3000000000000007</v>
      </c>
      <c r="M21" s="70">
        <f>7.3+1.5</f>
        <v>8.8000000000000007</v>
      </c>
      <c r="N21" s="70">
        <f>2.8+2.8</f>
        <v>5.6</v>
      </c>
      <c r="O21" s="70">
        <v>4.5</v>
      </c>
      <c r="P21" s="70">
        <f>2.8+1.8</f>
        <v>4.5999999999999996</v>
      </c>
      <c r="Q21" s="70">
        <f>2.7+1.1</f>
        <v>3.8000000000000003</v>
      </c>
      <c r="R21" s="70">
        <f>2.3+1.8</f>
        <v>4.0999999999999996</v>
      </c>
      <c r="S21" s="70">
        <f>3.1+1.8</f>
        <v>4.9000000000000004</v>
      </c>
      <c r="T21" s="70">
        <v>5</v>
      </c>
      <c r="U21" s="70">
        <v>9.1</v>
      </c>
      <c r="V21" s="70">
        <v>7.5</v>
      </c>
      <c r="W21" s="70">
        <f>6.7+3.1</f>
        <v>9.8000000000000007</v>
      </c>
      <c r="X21" s="70">
        <f>5.8+2.5</f>
        <v>8.3000000000000007</v>
      </c>
      <c r="Y21" s="70">
        <f>7.3+2.5</f>
        <v>9.8000000000000007</v>
      </c>
      <c r="Z21" s="70">
        <f>6.8+4.5</f>
        <v>11.3</v>
      </c>
      <c r="AA21" s="70">
        <f>7.5+6.5</f>
        <v>14</v>
      </c>
      <c r="AB21" s="70">
        <f>6.5+3.5</f>
        <v>10</v>
      </c>
      <c r="AC21" s="70">
        <f>7.5+2.3</f>
        <v>9.8000000000000007</v>
      </c>
      <c r="AD21" s="70">
        <f>5.5+2.2</f>
        <v>7.7</v>
      </c>
      <c r="AE21" s="70">
        <f>6.5+2.5</f>
        <v>9</v>
      </c>
      <c r="AF21" s="70">
        <f>5.7+2</f>
        <v>7.7</v>
      </c>
      <c r="AG21" s="46">
        <f t="shared" si="1"/>
        <v>235.43</v>
      </c>
      <c r="AH21" s="48"/>
      <c r="AI21" s="48"/>
    </row>
    <row r="22" spans="1:35" s="44" customFormat="1" ht="18.75" customHeight="1" x14ac:dyDescent="0.35">
      <c r="A22" s="60" t="s">
        <v>74</v>
      </c>
      <c r="B22" s="51">
        <v>3</v>
      </c>
      <c r="C22" s="51">
        <v>2.9</v>
      </c>
      <c r="D22" s="51">
        <v>4.0999999999999996</v>
      </c>
      <c r="E22" s="51">
        <v>3.1</v>
      </c>
      <c r="F22" s="51">
        <v>3.9</v>
      </c>
      <c r="G22" s="51">
        <v>2.6</v>
      </c>
      <c r="H22" s="51">
        <v>4.5999999999999996</v>
      </c>
      <c r="I22" s="51">
        <v>2.9</v>
      </c>
      <c r="J22" s="51">
        <v>3.6</v>
      </c>
      <c r="K22" s="51">
        <v>2.1</v>
      </c>
      <c r="L22" s="51">
        <v>3.6</v>
      </c>
      <c r="M22" s="51">
        <v>4</v>
      </c>
      <c r="N22" s="51">
        <v>3.4</v>
      </c>
      <c r="O22" s="51">
        <v>3.7</v>
      </c>
      <c r="P22" s="51">
        <v>2.8</v>
      </c>
      <c r="Q22" s="51">
        <v>3.9</v>
      </c>
      <c r="R22" s="51">
        <v>2.4</v>
      </c>
      <c r="S22" s="51">
        <v>3.7</v>
      </c>
      <c r="T22" s="51">
        <v>2.9</v>
      </c>
      <c r="U22" s="51">
        <v>3</v>
      </c>
      <c r="V22" s="51">
        <v>3.6</v>
      </c>
      <c r="W22" s="51">
        <v>3.4</v>
      </c>
      <c r="X22" s="51">
        <v>2.7</v>
      </c>
      <c r="Y22" s="51">
        <v>3.4</v>
      </c>
      <c r="Z22" s="51">
        <v>4.0999999999999996</v>
      </c>
      <c r="AA22" s="51">
        <v>3.5</v>
      </c>
      <c r="AB22" s="51">
        <v>0</v>
      </c>
      <c r="AC22" s="51">
        <v>0</v>
      </c>
      <c r="AD22" s="51">
        <v>0</v>
      </c>
      <c r="AE22" s="51">
        <v>3.1</v>
      </c>
      <c r="AF22" s="51">
        <v>2.9</v>
      </c>
      <c r="AG22" s="46">
        <f t="shared" si="1"/>
        <v>92.9</v>
      </c>
      <c r="AH22" s="48"/>
      <c r="AI22" s="48"/>
    </row>
    <row r="23" spans="1:35" s="44" customFormat="1" ht="18.75" customHeight="1" x14ac:dyDescent="0.35">
      <c r="A23" s="60" t="s">
        <v>75</v>
      </c>
      <c r="B23" s="51">
        <v>0</v>
      </c>
      <c r="C23" s="51">
        <v>0.3</v>
      </c>
      <c r="D23" s="51">
        <v>0.4</v>
      </c>
      <c r="E23" s="51">
        <v>0.5</v>
      </c>
      <c r="F23" s="51">
        <v>0</v>
      </c>
      <c r="G23" s="51">
        <v>0</v>
      </c>
      <c r="H23" s="51">
        <v>1</v>
      </c>
      <c r="I23" s="51">
        <v>0</v>
      </c>
      <c r="J23" s="51">
        <v>0</v>
      </c>
      <c r="K23" s="51">
        <v>1.8</v>
      </c>
      <c r="L23" s="51">
        <v>1.9</v>
      </c>
      <c r="M23" s="51">
        <v>2.4</v>
      </c>
      <c r="N23" s="51">
        <v>1.9</v>
      </c>
      <c r="O23" s="51">
        <v>1.8</v>
      </c>
      <c r="P23" s="51">
        <v>2.2999999999999998</v>
      </c>
      <c r="Q23" s="51">
        <v>1.9</v>
      </c>
      <c r="R23" s="51">
        <v>0.5</v>
      </c>
      <c r="S23" s="51">
        <v>0.4</v>
      </c>
      <c r="T23" s="51">
        <v>0.3</v>
      </c>
      <c r="U23" s="51">
        <v>0.2</v>
      </c>
      <c r="V23" s="51">
        <v>3.7</v>
      </c>
      <c r="W23" s="51">
        <v>0</v>
      </c>
      <c r="X23" s="51">
        <v>2.8</v>
      </c>
      <c r="Y23" s="51">
        <v>2.7</v>
      </c>
      <c r="Z23" s="51">
        <v>0.5</v>
      </c>
      <c r="AA23" s="51">
        <v>0.4</v>
      </c>
      <c r="AB23" s="51">
        <v>1.7</v>
      </c>
      <c r="AC23" s="51">
        <v>1</v>
      </c>
      <c r="AD23" s="51">
        <v>0</v>
      </c>
      <c r="AE23" s="51">
        <v>1.9</v>
      </c>
      <c r="AF23" s="51">
        <v>1.6</v>
      </c>
      <c r="AG23" s="46">
        <f t="shared" si="1"/>
        <v>33.9</v>
      </c>
      <c r="AH23" s="48"/>
      <c r="AI23" s="48"/>
    </row>
    <row r="24" spans="1:35" s="44" customFormat="1" ht="18.75" customHeight="1" x14ac:dyDescent="0.35">
      <c r="A24" s="60" t="s">
        <v>77</v>
      </c>
      <c r="B24" s="70">
        <v>2.2000000000000002</v>
      </c>
      <c r="C24" s="70">
        <v>2.2999999999999998</v>
      </c>
      <c r="D24" s="70">
        <v>2.4</v>
      </c>
      <c r="E24" s="70">
        <v>2.2000000000000002</v>
      </c>
      <c r="F24" s="70">
        <v>2.2999999999999998</v>
      </c>
      <c r="G24" s="70">
        <v>2.1</v>
      </c>
      <c r="H24" s="70">
        <v>2.4</v>
      </c>
      <c r="I24" s="70">
        <v>2.2000000000000002</v>
      </c>
      <c r="J24" s="70">
        <v>2.4</v>
      </c>
      <c r="K24" s="70">
        <v>2.2999999999999998</v>
      </c>
      <c r="L24" s="70">
        <v>2.4</v>
      </c>
      <c r="M24" s="70">
        <v>2.5</v>
      </c>
      <c r="N24" s="70">
        <v>2.2000000000000002</v>
      </c>
      <c r="O24" s="70">
        <v>2.2000000000000002</v>
      </c>
      <c r="P24" s="70">
        <v>2.2999999999999998</v>
      </c>
      <c r="Q24" s="70">
        <v>2.2000000000000002</v>
      </c>
      <c r="R24" s="70">
        <v>2.4</v>
      </c>
      <c r="S24" s="70">
        <v>2.2000000000000002</v>
      </c>
      <c r="T24" s="70">
        <v>2.4</v>
      </c>
      <c r="U24" s="70">
        <v>2.2999999999999998</v>
      </c>
      <c r="V24" s="70">
        <v>2.4</v>
      </c>
      <c r="W24" s="70">
        <v>2.2000000000000002</v>
      </c>
      <c r="X24" s="70">
        <v>2.1</v>
      </c>
      <c r="Y24" s="70">
        <v>2.2999999999999998</v>
      </c>
      <c r="Z24" s="70">
        <v>2.4</v>
      </c>
      <c r="AA24" s="70">
        <v>2.2999999999999998</v>
      </c>
      <c r="AB24" s="70">
        <v>2.1</v>
      </c>
      <c r="AC24" s="70">
        <v>2.4</v>
      </c>
      <c r="AD24" s="70">
        <v>2.2000000000000002</v>
      </c>
      <c r="AE24" s="70">
        <v>2.2000000000000002</v>
      </c>
      <c r="AF24" s="70">
        <v>2.4</v>
      </c>
      <c r="AG24" s="46">
        <f t="shared" si="1"/>
        <v>70.900000000000006</v>
      </c>
      <c r="AH24" s="48"/>
      <c r="AI24" s="48"/>
    </row>
    <row r="25" spans="1:35" s="44" customFormat="1" ht="18.75" customHeight="1" x14ac:dyDescent="0.35">
      <c r="A25" s="60" t="s">
        <v>78</v>
      </c>
      <c r="B25" s="51">
        <f>8.4+5</f>
        <v>13.4</v>
      </c>
      <c r="C25" s="51">
        <f>9.3+7</f>
        <v>16.3</v>
      </c>
      <c r="D25" s="51">
        <f>6.2+4.3</f>
        <v>10.5</v>
      </c>
      <c r="E25" s="51">
        <f>5.2+4+1</f>
        <v>10.199999999999999</v>
      </c>
      <c r="F25" s="51">
        <f>6.4+8+2</f>
        <v>16.399999999999999</v>
      </c>
      <c r="G25" s="51">
        <f>7.2+6.3</f>
        <v>13.5</v>
      </c>
      <c r="H25" s="51">
        <f>8.2+6.3</f>
        <v>14.5</v>
      </c>
      <c r="I25" s="51">
        <f>4+3.5</f>
        <v>7.5</v>
      </c>
      <c r="J25" s="51">
        <f>7.1+6</f>
        <v>13.1</v>
      </c>
      <c r="K25" s="51">
        <f>6.5+8</f>
        <v>14.5</v>
      </c>
      <c r="L25" s="51">
        <f>8.1+4</f>
        <v>12.1</v>
      </c>
      <c r="M25" s="51">
        <f>6.4+4</f>
        <v>10.4</v>
      </c>
      <c r="N25" s="51">
        <f>4.9+3</f>
        <v>7.9</v>
      </c>
      <c r="O25" s="51">
        <v>8.1999999999999993</v>
      </c>
      <c r="P25" s="51">
        <v>9.1</v>
      </c>
      <c r="Q25" s="51">
        <f>3.9+4</f>
        <v>7.9</v>
      </c>
      <c r="R25" s="51">
        <f>3.6+1.9</f>
        <v>5.5</v>
      </c>
      <c r="S25" s="51">
        <v>6.3</v>
      </c>
      <c r="T25" s="51">
        <v>3.6</v>
      </c>
      <c r="U25" s="51">
        <v>5.3</v>
      </c>
      <c r="V25" s="51">
        <f>1.9+2.4</f>
        <v>4.3</v>
      </c>
      <c r="W25" s="51">
        <f>2.9+1.3</f>
        <v>4.2</v>
      </c>
      <c r="X25" s="70">
        <f>1.8+2.3</f>
        <v>4.0999999999999996</v>
      </c>
      <c r="Y25" s="70">
        <f>7.9</f>
        <v>7.9</v>
      </c>
      <c r="Z25" s="70">
        <v>6.9</v>
      </c>
      <c r="AA25" s="70">
        <v>6</v>
      </c>
      <c r="AB25" s="70">
        <v>7.3</v>
      </c>
      <c r="AC25" s="70">
        <f>3.6+2.9</f>
        <v>6.5</v>
      </c>
      <c r="AD25" s="70">
        <f>3.8+3.3</f>
        <v>7.1</v>
      </c>
      <c r="AE25" s="70">
        <f>7.2</f>
        <v>7.2</v>
      </c>
      <c r="AF25" s="70">
        <v>4.9000000000000004</v>
      </c>
      <c r="AG25" s="46">
        <f t="shared" si="1"/>
        <v>272.60000000000002</v>
      </c>
      <c r="AH25" s="48"/>
      <c r="AI25" s="48"/>
    </row>
    <row r="26" spans="1:35" s="44" customFormat="1" ht="18.75" customHeight="1" x14ac:dyDescent="0.35">
      <c r="A26" s="60" t="s">
        <v>79</v>
      </c>
      <c r="B26" s="70"/>
      <c r="C26" s="70"/>
      <c r="D26" s="70"/>
      <c r="E26" s="70"/>
      <c r="F26" s="70"/>
      <c r="G26" s="70"/>
      <c r="H26" s="70"/>
      <c r="I26" s="70"/>
      <c r="J26" s="70"/>
      <c r="K26" s="70"/>
      <c r="L26" s="70"/>
      <c r="M26" s="70"/>
      <c r="N26" s="70"/>
      <c r="O26" s="70"/>
      <c r="P26" s="70"/>
      <c r="Q26" s="70"/>
      <c r="R26" s="70"/>
      <c r="S26" s="70"/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46">
        <f t="shared" si="1"/>
        <v>0</v>
      </c>
      <c r="AH26" s="48"/>
      <c r="AI26" s="48"/>
    </row>
    <row r="27" spans="1:35" s="44" customFormat="1" ht="18.75" customHeight="1" x14ac:dyDescent="0.35">
      <c r="A27" s="60" t="s">
        <v>154</v>
      </c>
      <c r="B27" s="52">
        <v>0</v>
      </c>
      <c r="C27" s="52">
        <v>3</v>
      </c>
      <c r="D27" s="52">
        <v>3.5</v>
      </c>
      <c r="E27" s="52">
        <v>3.5</v>
      </c>
      <c r="F27" s="52">
        <v>4</v>
      </c>
      <c r="G27" s="52">
        <v>2.7</v>
      </c>
      <c r="H27" s="52">
        <v>2</v>
      </c>
      <c r="I27" s="52">
        <v>0</v>
      </c>
      <c r="J27" s="52">
        <v>0</v>
      </c>
      <c r="K27" s="52">
        <v>3.9</v>
      </c>
      <c r="L27" s="52">
        <v>2.8</v>
      </c>
      <c r="M27" s="52">
        <v>3.9</v>
      </c>
      <c r="N27" s="52">
        <v>1.8</v>
      </c>
      <c r="O27" s="52">
        <v>2.9</v>
      </c>
      <c r="P27" s="52">
        <v>0</v>
      </c>
      <c r="Q27" s="52">
        <v>2.8</v>
      </c>
      <c r="R27" s="52">
        <v>4</v>
      </c>
      <c r="S27" s="52">
        <v>3</v>
      </c>
      <c r="T27" s="52">
        <v>3.5</v>
      </c>
      <c r="U27" s="52">
        <v>2.9</v>
      </c>
      <c r="V27" s="52">
        <v>1.8</v>
      </c>
      <c r="W27" s="52">
        <v>0</v>
      </c>
      <c r="X27" s="52">
        <v>2.9</v>
      </c>
      <c r="Y27" s="52">
        <v>2.8</v>
      </c>
      <c r="Z27" s="52">
        <v>2.9</v>
      </c>
      <c r="AA27" s="52">
        <v>1.8</v>
      </c>
      <c r="AB27" s="52">
        <v>0</v>
      </c>
      <c r="AC27" s="52">
        <v>0</v>
      </c>
      <c r="AD27" s="52">
        <v>0</v>
      </c>
      <c r="AE27" s="52">
        <v>4</v>
      </c>
      <c r="AF27" s="52">
        <v>1.8</v>
      </c>
      <c r="AG27" s="46">
        <f t="shared" si="1"/>
        <v>68.199999999999974</v>
      </c>
      <c r="AH27" s="48"/>
      <c r="AI27" s="48"/>
    </row>
    <row r="28" spans="1:35" s="44" customFormat="1" ht="18.75" customHeight="1" x14ac:dyDescent="0.35">
      <c r="A28" s="60" t="s">
        <v>80</v>
      </c>
      <c r="B28" s="52">
        <v>0</v>
      </c>
      <c r="C28" s="52">
        <v>2.1</v>
      </c>
      <c r="D28" s="52">
        <v>2.2000000000000002</v>
      </c>
      <c r="E28" s="52">
        <v>2.7</v>
      </c>
      <c r="F28" s="52">
        <v>2.2999999999999998</v>
      </c>
      <c r="G28" s="52">
        <v>1.4</v>
      </c>
      <c r="H28" s="52">
        <v>2.1</v>
      </c>
      <c r="I28" s="52">
        <v>0</v>
      </c>
      <c r="J28" s="52">
        <v>0.4</v>
      </c>
      <c r="K28" s="52">
        <v>0.9</v>
      </c>
      <c r="L28" s="52">
        <v>1.6</v>
      </c>
      <c r="M28" s="52">
        <v>1.9</v>
      </c>
      <c r="N28" s="52">
        <v>2.2000000000000002</v>
      </c>
      <c r="O28" s="52">
        <v>2.2999999999999998</v>
      </c>
      <c r="P28" s="52">
        <v>0</v>
      </c>
      <c r="Q28" s="52">
        <v>2.4</v>
      </c>
      <c r="R28" s="52">
        <v>2.2000000000000002</v>
      </c>
      <c r="S28" s="52">
        <v>3</v>
      </c>
      <c r="T28" s="52">
        <v>2.8</v>
      </c>
      <c r="U28" s="52">
        <v>4.3</v>
      </c>
      <c r="V28" s="52">
        <v>0.2</v>
      </c>
      <c r="W28" s="52">
        <v>0</v>
      </c>
      <c r="X28" s="52">
        <v>0.3</v>
      </c>
      <c r="Y28" s="52">
        <v>2.4</v>
      </c>
      <c r="Z28" s="52">
        <v>4.7</v>
      </c>
      <c r="AA28" s="52">
        <v>3.6</v>
      </c>
      <c r="AB28" s="52">
        <v>4.4000000000000004</v>
      </c>
      <c r="AC28" s="52">
        <v>3.6</v>
      </c>
      <c r="AD28" s="52">
        <v>0</v>
      </c>
      <c r="AE28" s="52">
        <v>3.5</v>
      </c>
      <c r="AF28" s="52">
        <v>2.4</v>
      </c>
      <c r="AG28" s="46">
        <f t="shared" si="1"/>
        <v>61.9</v>
      </c>
      <c r="AH28" s="48"/>
      <c r="AI28" s="48"/>
    </row>
    <row r="29" spans="1:35" s="44" customFormat="1" ht="18.75" customHeight="1" x14ac:dyDescent="0.35">
      <c r="A29" s="60" t="s">
        <v>76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1"/>
        <v>0</v>
      </c>
      <c r="AH29" s="48"/>
      <c r="AI29" s="48"/>
    </row>
    <row r="30" spans="1:35" s="44" customFormat="1" ht="18.75" customHeight="1" x14ac:dyDescent="0.35">
      <c r="A30" s="60" t="s">
        <v>81</v>
      </c>
      <c r="B30" s="76">
        <f>8.9+6.7+5.9</f>
        <v>21.5</v>
      </c>
      <c r="C30" s="76">
        <f>8.9+4.5+3.5</f>
        <v>16.899999999999999</v>
      </c>
      <c r="D30" s="76">
        <f>3.8+2.9</f>
        <v>6.6999999999999993</v>
      </c>
      <c r="E30" s="76">
        <v>7.5</v>
      </c>
      <c r="F30" s="76">
        <f>6.3+8.9+8.5</f>
        <v>23.7</v>
      </c>
      <c r="G30" s="76">
        <f>6.8+4.5+3.8</f>
        <v>15.100000000000001</v>
      </c>
      <c r="H30" s="76">
        <f>8+4.5+4.6</f>
        <v>17.100000000000001</v>
      </c>
      <c r="I30" s="76">
        <f>8.5+4.5+4.6</f>
        <v>17.600000000000001</v>
      </c>
      <c r="J30" s="76">
        <f>8.3+4.5+3.5</f>
        <v>16.3</v>
      </c>
      <c r="K30" s="76">
        <f>9+3.5+4.5</f>
        <v>17</v>
      </c>
      <c r="L30" s="76">
        <f>9.5</f>
        <v>9.5</v>
      </c>
      <c r="M30" s="76">
        <v>6.9</v>
      </c>
      <c r="N30" s="76">
        <f>3+4+5.2</f>
        <v>12.2</v>
      </c>
      <c r="O30" s="76">
        <f>6.7+6.5+5</f>
        <v>18.2</v>
      </c>
      <c r="P30" s="76">
        <f>6.3+6.5+4.5</f>
        <v>17.3</v>
      </c>
      <c r="Q30" s="76">
        <f>7.9+4.5+4.2</f>
        <v>16.600000000000001</v>
      </c>
      <c r="R30" s="76">
        <f>6+8+7</f>
        <v>21</v>
      </c>
      <c r="S30" s="76">
        <f>7.3+8.1+6.4</f>
        <v>21.799999999999997</v>
      </c>
      <c r="T30" s="76">
        <f>3.3+2.3</f>
        <v>5.6</v>
      </c>
      <c r="U30" s="76">
        <f>5.7</f>
        <v>5.7</v>
      </c>
      <c r="V30" s="76">
        <f>3.9+4+3.1</f>
        <v>11</v>
      </c>
      <c r="W30" s="76">
        <f>5+4.8+4.9</f>
        <v>14.700000000000001</v>
      </c>
      <c r="X30" s="76">
        <f>8+9.5+3.5</f>
        <v>21</v>
      </c>
      <c r="Y30" s="76">
        <f>9+4.6+5</f>
        <v>18.600000000000001</v>
      </c>
      <c r="Z30" s="76">
        <f>5.8+4.5+3.5</f>
        <v>13.8</v>
      </c>
      <c r="AA30" s="76">
        <f>8+8.6+4</f>
        <v>20.6</v>
      </c>
      <c r="AB30" s="76">
        <f>3.8+3.5</f>
        <v>7.3</v>
      </c>
      <c r="AC30" s="76">
        <v>7.5</v>
      </c>
      <c r="AD30" s="76">
        <f>6.5+7+6.9</f>
        <v>20.399999999999999</v>
      </c>
      <c r="AE30" s="76">
        <f>3.9+4.7+4</f>
        <v>12.6</v>
      </c>
      <c r="AF30" s="76">
        <f>6.5+5.6+3.7</f>
        <v>15.8</v>
      </c>
      <c r="AG30" s="46">
        <f t="shared" si="1"/>
        <v>457.50000000000011</v>
      </c>
      <c r="AH30" s="48"/>
      <c r="AI30" s="48"/>
    </row>
    <row r="31" spans="1:35" s="44" customFormat="1" ht="18.75" customHeight="1" x14ac:dyDescent="0.35">
      <c r="A31" s="60" t="s">
        <v>86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1"/>
        <v>0</v>
      </c>
      <c r="AH31" s="48"/>
      <c r="AI31" s="48"/>
    </row>
    <row r="32" spans="1:35" s="44" customFormat="1" ht="18.75" customHeight="1" x14ac:dyDescent="0.35">
      <c r="A32" s="60" t="s">
        <v>82</v>
      </c>
      <c r="B32" s="76">
        <f>9.55+11.55+10.55+1.3</f>
        <v>32.950000000000003</v>
      </c>
      <c r="C32" s="76">
        <f>11.3+9.8+10.4+1.6</f>
        <v>33.1</v>
      </c>
      <c r="D32" s="76">
        <f>15.55+10.53+11.53+2</f>
        <v>39.61</v>
      </c>
      <c r="E32" s="76">
        <f>9.5+8.5+9.5+1.3</f>
        <v>28.8</v>
      </c>
      <c r="F32" s="76">
        <f>11.1+9.8+7.8+1</f>
        <v>29.7</v>
      </c>
      <c r="G32" s="76">
        <f>9.15+10.1+8.9+2.5</f>
        <v>30.65</v>
      </c>
      <c r="H32" s="76">
        <f>10.55+9.55+7.8+1.2</f>
        <v>29.1</v>
      </c>
      <c r="I32" s="76">
        <f>10.9+9.2+6.7+1.8</f>
        <v>28.6</v>
      </c>
      <c r="J32" s="76">
        <f>5.4+3.2+4.1+2.7</f>
        <v>15.400000000000002</v>
      </c>
      <c r="K32" s="76">
        <f>9.45+10.55+11.38+1.4</f>
        <v>32.78</v>
      </c>
      <c r="L32" s="76">
        <f>11.9+9.3+2.4</f>
        <v>23.6</v>
      </c>
      <c r="M32" s="76">
        <f>10.55+12.35+10.55+5.3</f>
        <v>38.75</v>
      </c>
      <c r="N32" s="76">
        <f>10.55+9.8+10.55+4.3</f>
        <v>35.200000000000003</v>
      </c>
      <c r="O32" s="76">
        <f>11.55+12.58+13.35+5.6</f>
        <v>43.080000000000005</v>
      </c>
      <c r="P32" s="76">
        <f>12.55+13.55+14.35+3.3</f>
        <v>43.75</v>
      </c>
      <c r="Q32" s="76">
        <f>5.4+7.3+4+2.9</f>
        <v>19.599999999999998</v>
      </c>
      <c r="R32" s="76">
        <f>6.1+4.3+5.1+3.7</f>
        <v>19.2</v>
      </c>
      <c r="S32" s="76">
        <f>6.1+5.4+3.3+4.4</f>
        <v>19.200000000000003</v>
      </c>
      <c r="T32" s="76">
        <f>7.1+8.2+9+4.7</f>
        <v>28.999999999999996</v>
      </c>
      <c r="U32" s="76">
        <f>10+9+9.2+4.4</f>
        <v>32.6</v>
      </c>
      <c r="V32" s="76">
        <f>10.5+9+8.6+2.7</f>
        <v>30.8</v>
      </c>
      <c r="W32" s="76">
        <f>10.55+11.56+9.38+3.4</f>
        <v>34.89</v>
      </c>
      <c r="X32" s="76">
        <f>9.55+10.55+11.55+5.7</f>
        <v>37.35</v>
      </c>
      <c r="Y32" s="76">
        <f>10.55+9.55+7.65+4.7</f>
        <v>32.450000000000003</v>
      </c>
      <c r="Z32" s="76">
        <f>6.5+7+9+2.3</f>
        <v>24.8</v>
      </c>
      <c r="AA32" s="76">
        <f>10.55+8.53+9.33+3.9</f>
        <v>32.309999999999995</v>
      </c>
      <c r="AB32" s="76">
        <f>11.55+7.8+9.35+3.7</f>
        <v>32.400000000000006</v>
      </c>
      <c r="AC32" s="76">
        <f>11.55+12.55+10.58+2.8</f>
        <v>37.479999999999997</v>
      </c>
      <c r="AD32" s="76">
        <f>12.5+9.6+7.5+3.4</f>
        <v>33</v>
      </c>
      <c r="AE32" s="76">
        <f>11.55+10.35+9.52+2.7</f>
        <v>34.119999999999997</v>
      </c>
      <c r="AF32" s="76">
        <f>11.95+10.85+9.35+2.3</f>
        <v>34.449999999999996</v>
      </c>
      <c r="AG32" s="46">
        <f t="shared" si="1"/>
        <v>968.72</v>
      </c>
      <c r="AH32" s="48"/>
      <c r="AI32" s="48"/>
    </row>
    <row r="33" spans="1:35" s="44" customFormat="1" ht="18.75" customHeight="1" x14ac:dyDescent="0.35">
      <c r="A33" s="60" t="s">
        <v>178</v>
      </c>
      <c r="B33" s="70">
        <v>1</v>
      </c>
      <c r="C33" s="70">
        <v>1.5</v>
      </c>
      <c r="D33" s="70">
        <v>1.2</v>
      </c>
      <c r="E33" s="70">
        <v>1.4</v>
      </c>
      <c r="F33" s="70">
        <v>1.5</v>
      </c>
      <c r="G33" s="70">
        <v>0</v>
      </c>
      <c r="H33" s="70">
        <v>0</v>
      </c>
      <c r="I33" s="70">
        <v>1.4</v>
      </c>
      <c r="J33" s="70">
        <v>1.3</v>
      </c>
      <c r="K33" s="70">
        <v>1.5</v>
      </c>
      <c r="L33" s="70">
        <v>1.3</v>
      </c>
      <c r="M33" s="70">
        <v>1.6</v>
      </c>
      <c r="N33" s="70">
        <v>1.5</v>
      </c>
      <c r="O33" s="70">
        <v>1</v>
      </c>
      <c r="P33" s="70">
        <v>1.3</v>
      </c>
      <c r="Q33" s="70">
        <v>1.4</v>
      </c>
      <c r="R33" s="70">
        <v>1.2</v>
      </c>
      <c r="S33" s="70">
        <v>1.4</v>
      </c>
      <c r="T33" s="70">
        <v>1.7</v>
      </c>
      <c r="U33" s="70">
        <v>1</v>
      </c>
      <c r="V33" s="70">
        <v>1.4</v>
      </c>
      <c r="W33" s="70">
        <v>1.3</v>
      </c>
      <c r="X33" s="70">
        <v>1.5</v>
      </c>
      <c r="Y33" s="70">
        <v>1</v>
      </c>
      <c r="Z33" s="70">
        <v>1.5</v>
      </c>
      <c r="AA33" s="70">
        <v>1.6</v>
      </c>
      <c r="AB33" s="70">
        <v>2</v>
      </c>
      <c r="AC33" s="70">
        <v>1.5</v>
      </c>
      <c r="AD33" s="70">
        <v>1.6</v>
      </c>
      <c r="AE33" s="70">
        <v>2</v>
      </c>
      <c r="AF33" s="70">
        <v>1.8</v>
      </c>
      <c r="AG33" s="46">
        <f t="shared" si="1"/>
        <v>41.4</v>
      </c>
      <c r="AH33" s="48"/>
      <c r="AI33" s="48"/>
    </row>
    <row r="34" spans="1:35" s="44" customFormat="1" ht="18.75" customHeight="1" x14ac:dyDescent="0.35">
      <c r="A34" s="60" t="s">
        <v>251</v>
      </c>
      <c r="B34" s="70">
        <v>0</v>
      </c>
      <c r="C34" s="70">
        <v>1</v>
      </c>
      <c r="D34" s="70">
        <v>1</v>
      </c>
      <c r="E34" s="70">
        <v>0.5</v>
      </c>
      <c r="F34" s="70">
        <v>0.3</v>
      </c>
      <c r="G34" s="70">
        <v>0.6</v>
      </c>
      <c r="H34" s="70">
        <v>0.8</v>
      </c>
      <c r="I34" s="70">
        <v>0</v>
      </c>
      <c r="J34" s="70">
        <v>0</v>
      </c>
      <c r="K34" s="70">
        <v>0.9</v>
      </c>
      <c r="L34" s="70">
        <v>0.9</v>
      </c>
      <c r="M34" s="70">
        <v>1</v>
      </c>
      <c r="N34" s="70">
        <v>1.8</v>
      </c>
      <c r="O34" s="70">
        <v>0.9</v>
      </c>
      <c r="P34" s="70">
        <v>0</v>
      </c>
      <c r="Q34" s="70">
        <v>0.5</v>
      </c>
      <c r="R34" s="70">
        <v>0.3</v>
      </c>
      <c r="S34" s="70">
        <v>0.6</v>
      </c>
      <c r="T34" s="70">
        <v>0.8</v>
      </c>
      <c r="U34" s="70">
        <v>1</v>
      </c>
      <c r="V34" s="70">
        <v>0.8</v>
      </c>
      <c r="W34" s="70">
        <v>0</v>
      </c>
      <c r="X34" s="70">
        <v>0.9</v>
      </c>
      <c r="Y34" s="70">
        <v>0.8</v>
      </c>
      <c r="Z34" s="70">
        <v>0.8</v>
      </c>
      <c r="AA34" s="70">
        <v>0.9</v>
      </c>
      <c r="AB34" s="70">
        <v>0.8</v>
      </c>
      <c r="AC34" s="70">
        <v>1</v>
      </c>
      <c r="AD34" s="70">
        <v>0</v>
      </c>
      <c r="AE34" s="70">
        <v>0.5</v>
      </c>
      <c r="AF34" s="70">
        <v>0.9</v>
      </c>
      <c r="AG34" s="84">
        <f t="shared" si="1"/>
        <v>20.3</v>
      </c>
      <c r="AH34" s="48"/>
      <c r="AI34" s="48"/>
    </row>
    <row r="35" spans="1:35" s="44" customFormat="1" ht="18.75" customHeight="1" x14ac:dyDescent="0.35">
      <c r="A35" s="59" t="s">
        <v>155</v>
      </c>
      <c r="B35" s="51">
        <f t="shared" ref="B35:AF35" si="2">SUM(B3:B34)</f>
        <v>149.78000000000003</v>
      </c>
      <c r="C35" s="51">
        <f t="shared" si="2"/>
        <v>166.29999999999998</v>
      </c>
      <c r="D35" s="51">
        <f t="shared" si="2"/>
        <v>157.51</v>
      </c>
      <c r="E35" s="51">
        <f t="shared" si="2"/>
        <v>143.80000000000001</v>
      </c>
      <c r="F35" s="51">
        <f t="shared" si="2"/>
        <v>164.5</v>
      </c>
      <c r="G35" s="51">
        <f t="shared" si="2"/>
        <v>148.14999999999998</v>
      </c>
      <c r="H35" s="51">
        <f t="shared" si="2"/>
        <v>154.30000000000001</v>
      </c>
      <c r="I35" s="51">
        <f t="shared" si="2"/>
        <v>107.70000000000002</v>
      </c>
      <c r="J35" s="51">
        <f t="shared" si="2"/>
        <v>112</v>
      </c>
      <c r="K35" s="51">
        <f t="shared" si="2"/>
        <v>164.68</v>
      </c>
      <c r="L35" s="51">
        <f t="shared" si="2"/>
        <v>145.4</v>
      </c>
      <c r="M35" s="51">
        <f t="shared" si="2"/>
        <v>152.25000000000003</v>
      </c>
      <c r="N35" s="51">
        <f t="shared" si="2"/>
        <v>147.21000000000004</v>
      </c>
      <c r="O35" s="51">
        <f t="shared" si="2"/>
        <v>160.68</v>
      </c>
      <c r="P35" s="51">
        <f t="shared" si="2"/>
        <v>125.54999999999998</v>
      </c>
      <c r="Q35" s="51">
        <f t="shared" si="2"/>
        <v>141.50000000000003</v>
      </c>
      <c r="R35" s="51">
        <f t="shared" si="2"/>
        <v>127.50000000000001</v>
      </c>
      <c r="S35" s="51">
        <f t="shared" si="2"/>
        <v>141.90000000000003</v>
      </c>
      <c r="T35" s="51">
        <f t="shared" si="2"/>
        <v>124</v>
      </c>
      <c r="U35" s="51">
        <f t="shared" si="2"/>
        <v>140.6</v>
      </c>
      <c r="V35" s="51">
        <f t="shared" si="2"/>
        <v>131.70000000000002</v>
      </c>
      <c r="W35" s="51">
        <f t="shared" si="2"/>
        <v>119.18999999999998</v>
      </c>
      <c r="X35" s="51">
        <f t="shared" si="2"/>
        <v>150.85999999999999</v>
      </c>
      <c r="Y35" s="51">
        <f t="shared" si="2"/>
        <v>149.75</v>
      </c>
      <c r="Z35" s="51">
        <f t="shared" si="2"/>
        <v>185.3</v>
      </c>
      <c r="AA35" s="51">
        <f t="shared" si="2"/>
        <v>155.51</v>
      </c>
      <c r="AB35" s="51">
        <f t="shared" si="2"/>
        <v>136.92000000000002</v>
      </c>
      <c r="AC35" s="51">
        <f t="shared" si="2"/>
        <v>139.19</v>
      </c>
      <c r="AD35" s="51">
        <f t="shared" si="2"/>
        <v>109.21000000000001</v>
      </c>
      <c r="AE35" s="51">
        <f t="shared" si="2"/>
        <v>152.72999999999999</v>
      </c>
      <c r="AF35" s="51">
        <f t="shared" si="2"/>
        <v>143.86000000000004</v>
      </c>
      <c r="AG35" s="56">
        <f t="shared" si="1"/>
        <v>4449.53</v>
      </c>
      <c r="AH35" s="57"/>
      <c r="AI35" s="57"/>
    </row>
    <row r="36" spans="1:35" s="2" customFormat="1" ht="18.75" x14ac:dyDescent="0.3">
      <c r="AG36" s="168">
        <f>SUM(AG3:AG34)</f>
        <v>4612.63</v>
      </c>
    </row>
    <row r="37" spans="1:35" s="2" customFormat="1" x14ac:dyDescent="0.25"/>
    <row r="38" spans="1:35" s="2" customFormat="1" x14ac:dyDescent="0.25"/>
    <row r="39" spans="1:35" x14ac:dyDescent="0.25">
      <c r="AC39" t="s">
        <v>254</v>
      </c>
    </row>
  </sheetData>
  <mergeCells count="1">
    <mergeCell ref="A1:AG1"/>
  </mergeCells>
  <pageMargins left="0.7" right="0.7" top="0.75" bottom="0.75" header="0.3" footer="0.3"/>
  <pageSetup orientation="portrait" horizontalDpi="0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8"/>
  <sheetViews>
    <sheetView workbookViewId="0">
      <selection sqref="A1:AG1"/>
    </sheetView>
  </sheetViews>
  <sheetFormatPr baseColWidth="10" defaultRowHeight="15" x14ac:dyDescent="0.25"/>
  <cols>
    <col min="1" max="1" width="56.85546875" customWidth="1"/>
    <col min="2" max="11" width="9" bestFit="1" customWidth="1"/>
    <col min="12" max="12" width="8.7109375" customWidth="1"/>
    <col min="13" max="19" width="9" bestFit="1" customWidth="1"/>
    <col min="20" max="20" width="9.28515625" customWidth="1"/>
    <col min="21" max="29" width="9" bestFit="1" customWidth="1"/>
    <col min="30" max="30" width="8" customWidth="1"/>
    <col min="31" max="31" width="9" customWidth="1"/>
    <col min="32" max="32" width="8" customWidth="1"/>
    <col min="33" max="33" width="12.42578125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74">
        <f>4.9+3.5</f>
        <v>8.4</v>
      </c>
      <c r="C3" s="74">
        <v>10.1</v>
      </c>
      <c r="D3" s="74">
        <v>5.6</v>
      </c>
      <c r="E3" s="74">
        <v>8.5</v>
      </c>
      <c r="F3" s="74">
        <v>10.6</v>
      </c>
      <c r="G3" s="75">
        <v>10</v>
      </c>
      <c r="H3" s="75">
        <v>6</v>
      </c>
      <c r="I3" s="74">
        <v>8</v>
      </c>
      <c r="J3" s="74">
        <v>10.5</v>
      </c>
      <c r="K3" s="74">
        <v>12</v>
      </c>
      <c r="L3" s="74">
        <v>10.5</v>
      </c>
      <c r="M3" s="74">
        <v>9.8000000000000007</v>
      </c>
      <c r="N3" s="74">
        <v>9.6999999999999993</v>
      </c>
      <c r="O3" s="75">
        <v>12.2</v>
      </c>
      <c r="P3" s="74">
        <v>14</v>
      </c>
      <c r="Q3" s="74">
        <v>9</v>
      </c>
      <c r="R3" s="74">
        <v>11.1</v>
      </c>
      <c r="S3" s="74">
        <v>10.6</v>
      </c>
      <c r="T3" s="74">
        <v>7.5</v>
      </c>
      <c r="U3" s="74">
        <v>11</v>
      </c>
      <c r="V3" s="75">
        <v>6.5</v>
      </c>
      <c r="W3" s="74">
        <v>10.9</v>
      </c>
      <c r="X3" s="74">
        <v>9.4</v>
      </c>
      <c r="Y3" s="75">
        <v>11.1</v>
      </c>
      <c r="Z3" s="74">
        <v>12.5</v>
      </c>
      <c r="AA3" s="74">
        <v>13.2</v>
      </c>
      <c r="AB3" s="74">
        <v>7.7</v>
      </c>
      <c r="AC3" s="74">
        <v>9.1</v>
      </c>
      <c r="AD3" s="49"/>
      <c r="AE3" s="49"/>
      <c r="AF3" s="49"/>
      <c r="AG3" s="46">
        <f>SUM(B3:AF3)</f>
        <v>275.5</v>
      </c>
      <c r="AH3" s="47"/>
      <c r="AI3" s="48"/>
    </row>
    <row r="4" spans="1:35" s="44" customFormat="1" ht="18.75" customHeight="1" x14ac:dyDescent="0.35">
      <c r="A4" s="60" t="s">
        <v>241</v>
      </c>
      <c r="B4" s="74">
        <v>1.9</v>
      </c>
      <c r="C4" s="74">
        <v>1.7</v>
      </c>
      <c r="D4" s="74">
        <v>1.5</v>
      </c>
      <c r="E4" s="44">
        <v>1.3</v>
      </c>
      <c r="F4" s="74">
        <v>1.4</v>
      </c>
      <c r="G4" s="74">
        <v>2</v>
      </c>
      <c r="H4" s="74">
        <v>1.2</v>
      </c>
      <c r="I4" s="74">
        <v>4.5</v>
      </c>
      <c r="J4" s="74">
        <v>3.5</v>
      </c>
      <c r="K4" s="74">
        <v>8</v>
      </c>
      <c r="L4" s="74">
        <v>8</v>
      </c>
      <c r="M4" s="74">
        <v>0.9</v>
      </c>
      <c r="N4" s="74">
        <v>1</v>
      </c>
      <c r="O4" s="74">
        <v>1.2</v>
      </c>
      <c r="P4" s="74">
        <v>1.6</v>
      </c>
      <c r="Q4" s="74">
        <v>1.7</v>
      </c>
      <c r="R4" s="74">
        <v>1</v>
      </c>
      <c r="S4" s="74">
        <v>1</v>
      </c>
      <c r="T4" s="74">
        <v>1</v>
      </c>
      <c r="U4" s="74">
        <v>0.5</v>
      </c>
      <c r="V4" s="74">
        <v>1.5</v>
      </c>
      <c r="W4" s="74">
        <v>8.3000000000000007</v>
      </c>
      <c r="X4" s="74">
        <v>5.4</v>
      </c>
      <c r="Y4" s="74">
        <v>6.5</v>
      </c>
      <c r="Z4" s="74">
        <v>2.5</v>
      </c>
      <c r="AA4" s="74">
        <v>8</v>
      </c>
      <c r="AB4" s="74">
        <v>8</v>
      </c>
      <c r="AC4" s="74">
        <v>1.7</v>
      </c>
      <c r="AD4" s="51"/>
      <c r="AE4" s="51"/>
      <c r="AF4" s="51"/>
      <c r="AG4" s="46">
        <f>SUM(B4:AF4)</f>
        <v>86.8</v>
      </c>
      <c r="AH4" s="48"/>
      <c r="AI4" s="48"/>
    </row>
    <row r="5" spans="1:35" s="44" customFormat="1" ht="18.75" customHeight="1" x14ac:dyDescent="0.35">
      <c r="A5" s="60" t="s">
        <v>83</v>
      </c>
      <c r="B5" s="74">
        <v>2.7</v>
      </c>
      <c r="C5" s="74">
        <v>3.2</v>
      </c>
      <c r="D5" s="74">
        <f>1+0.9+0.8</f>
        <v>2.7</v>
      </c>
      <c r="E5" s="74">
        <v>1.4</v>
      </c>
      <c r="F5" s="74">
        <v>1</v>
      </c>
      <c r="G5" s="74">
        <v>2.8</v>
      </c>
      <c r="H5" s="74">
        <v>2.5</v>
      </c>
      <c r="I5" s="74">
        <v>2.6</v>
      </c>
      <c r="J5" s="74">
        <v>2.5</v>
      </c>
      <c r="K5" s="74">
        <v>1.7</v>
      </c>
      <c r="L5" s="74">
        <v>3</v>
      </c>
      <c r="M5" s="74">
        <v>2.9</v>
      </c>
      <c r="N5" s="74">
        <v>2.2999999999999998</v>
      </c>
      <c r="O5" s="74">
        <v>4</v>
      </c>
      <c r="P5" s="74">
        <v>4.9000000000000004</v>
      </c>
      <c r="Q5" s="74">
        <f>0.8+2.3+1.8</f>
        <v>4.8999999999999995</v>
      </c>
      <c r="R5" s="74">
        <f>1.3+0.9+2.5</f>
        <v>4.7</v>
      </c>
      <c r="S5" s="74">
        <f>2.3+1.9</f>
        <v>4.1999999999999993</v>
      </c>
      <c r="T5" s="74">
        <v>2</v>
      </c>
      <c r="U5" s="74">
        <v>2.9</v>
      </c>
      <c r="V5" s="74">
        <v>4.4000000000000004</v>
      </c>
      <c r="W5" s="74">
        <v>3</v>
      </c>
      <c r="X5" s="74">
        <v>2.2000000000000002</v>
      </c>
      <c r="Y5" s="74">
        <v>4</v>
      </c>
      <c r="Z5" s="74">
        <v>3</v>
      </c>
      <c r="AA5" s="74">
        <v>2.9</v>
      </c>
      <c r="AB5" s="74">
        <v>6.3</v>
      </c>
      <c r="AC5" s="74">
        <v>4.9000000000000004</v>
      </c>
      <c r="AD5" s="51"/>
      <c r="AE5" s="51"/>
      <c r="AF5" s="51"/>
      <c r="AG5" s="46">
        <f>SUM(B5:AF5)</f>
        <v>89.600000000000009</v>
      </c>
      <c r="AH5" s="48"/>
      <c r="AI5" s="48"/>
    </row>
    <row r="6" spans="1:35" s="44" customFormat="1" ht="18.75" customHeight="1" x14ac:dyDescent="0.35">
      <c r="A6" s="60" t="s">
        <v>84</v>
      </c>
      <c r="B6" s="70"/>
      <c r="C6" s="70"/>
      <c r="D6" s="70"/>
      <c r="E6" s="70"/>
      <c r="F6" s="70"/>
      <c r="G6" s="70"/>
      <c r="H6" s="70"/>
      <c r="I6" s="70"/>
      <c r="J6" s="70"/>
      <c r="K6" s="70"/>
      <c r="L6" s="70"/>
      <c r="M6" s="70"/>
      <c r="N6" s="70"/>
      <c r="O6" s="70"/>
      <c r="P6" s="70"/>
      <c r="Q6" s="70"/>
      <c r="R6" s="70"/>
      <c r="S6" s="70"/>
      <c r="T6" s="70"/>
      <c r="U6" s="70"/>
      <c r="V6" s="70"/>
      <c r="W6" s="70"/>
      <c r="X6" s="70"/>
      <c r="Y6" s="70"/>
      <c r="Z6" s="70"/>
      <c r="AA6" s="70"/>
      <c r="AB6" s="70"/>
      <c r="AC6" s="70"/>
      <c r="AD6" s="51"/>
      <c r="AE6" s="51"/>
      <c r="AF6" s="51"/>
      <c r="AG6" s="46">
        <f t="shared" ref="AG6:AG31" si="0">SUM(B6:AF6)</f>
        <v>0</v>
      </c>
      <c r="AH6" s="48"/>
      <c r="AI6" s="48"/>
    </row>
    <row r="7" spans="1:35" s="44" customFormat="1" ht="18.75" customHeight="1" x14ac:dyDescent="0.35">
      <c r="A7" s="60" t="s">
        <v>64</v>
      </c>
      <c r="B7" s="74">
        <v>3.5</v>
      </c>
      <c r="C7" s="74">
        <v>4</v>
      </c>
      <c r="D7" s="74">
        <v>3.9</v>
      </c>
      <c r="E7" s="74">
        <v>3.6</v>
      </c>
      <c r="F7" s="74">
        <v>2.1</v>
      </c>
      <c r="G7" s="74">
        <v>3.9</v>
      </c>
      <c r="H7" s="74">
        <v>2.7</v>
      </c>
      <c r="I7" s="74">
        <v>3.7</v>
      </c>
      <c r="J7" s="74">
        <v>3.9</v>
      </c>
      <c r="K7" s="74">
        <v>3.8</v>
      </c>
      <c r="L7" s="74">
        <v>3.5</v>
      </c>
      <c r="M7" s="74">
        <v>3.9</v>
      </c>
      <c r="N7" s="74">
        <v>3.5</v>
      </c>
      <c r="O7" s="74">
        <v>3.8</v>
      </c>
      <c r="P7" s="74">
        <v>4.5</v>
      </c>
      <c r="Q7" s="74">
        <v>3.8</v>
      </c>
      <c r="R7" s="74">
        <v>3.5</v>
      </c>
      <c r="S7" s="74">
        <v>3.9</v>
      </c>
      <c r="T7" s="74">
        <v>3.7</v>
      </c>
      <c r="U7" s="74">
        <v>3.5</v>
      </c>
      <c r="V7" s="74">
        <v>3.9</v>
      </c>
      <c r="W7" s="74">
        <v>3.5</v>
      </c>
      <c r="X7" s="74">
        <v>3.9</v>
      </c>
      <c r="Y7" s="74">
        <v>3.5</v>
      </c>
      <c r="Z7" s="74">
        <v>3.7</v>
      </c>
      <c r="AA7" s="74">
        <v>3.2</v>
      </c>
      <c r="AB7" s="74">
        <v>3.9</v>
      </c>
      <c r="AC7" s="74">
        <v>3.7</v>
      </c>
      <c r="AD7" s="51"/>
      <c r="AE7" s="51"/>
      <c r="AF7" s="51"/>
      <c r="AG7" s="46">
        <f t="shared" ref="AG7:AG20" si="1">SUM(B7:AF7)</f>
        <v>102.00000000000001</v>
      </c>
      <c r="AH7" s="48"/>
      <c r="AI7" s="48"/>
    </row>
    <row r="8" spans="1:35" s="44" customFormat="1" ht="18.75" customHeight="1" x14ac:dyDescent="0.35">
      <c r="A8" s="60" t="s">
        <v>65</v>
      </c>
      <c r="B8" s="75">
        <f>3.9+3.8</f>
        <v>7.6999999999999993</v>
      </c>
      <c r="C8" s="74">
        <f>3.9+2.5</f>
        <v>6.4</v>
      </c>
      <c r="D8" s="74">
        <f>4.3+2.9</f>
        <v>7.1999999999999993</v>
      </c>
      <c r="E8" s="74">
        <f>3.9+2.2</f>
        <v>6.1</v>
      </c>
      <c r="F8" s="74">
        <f>3.9+2.9</f>
        <v>6.8</v>
      </c>
      <c r="G8" s="75">
        <f>6</f>
        <v>6</v>
      </c>
      <c r="H8" s="74">
        <v>5.9</v>
      </c>
      <c r="I8" s="74">
        <v>6.9</v>
      </c>
      <c r="J8" s="74">
        <v>7.2</v>
      </c>
      <c r="K8" s="74">
        <v>6</v>
      </c>
      <c r="L8" s="74">
        <f>2.9+1.8</f>
        <v>4.7</v>
      </c>
      <c r="M8" s="74">
        <v>5.9</v>
      </c>
      <c r="N8" s="74">
        <v>6</v>
      </c>
      <c r="O8" s="74">
        <f>3.8+2.8</f>
        <v>6.6</v>
      </c>
      <c r="P8" s="74">
        <v>6.3</v>
      </c>
      <c r="Q8" s="75">
        <v>5.9</v>
      </c>
      <c r="R8" s="114">
        <v>6.5</v>
      </c>
      <c r="S8" s="144">
        <f>4.8+2.5</f>
        <v>7.3</v>
      </c>
      <c r="T8" s="52">
        <f>5.8+2.9</f>
        <v>8.6999999999999993</v>
      </c>
      <c r="U8" s="52">
        <v>8</v>
      </c>
      <c r="V8" s="52">
        <v>7</v>
      </c>
      <c r="W8" s="52">
        <v>8.1999999999999993</v>
      </c>
      <c r="X8" s="52">
        <v>7.7</v>
      </c>
      <c r="Y8" s="52">
        <v>7.7</v>
      </c>
      <c r="Z8" s="52">
        <v>7.9</v>
      </c>
      <c r="AA8" s="114">
        <v>9.5</v>
      </c>
      <c r="AB8" s="52">
        <v>8.8000000000000007</v>
      </c>
      <c r="AC8" s="52">
        <v>7.2</v>
      </c>
      <c r="AD8" s="51"/>
      <c r="AE8" s="51"/>
      <c r="AF8" s="51"/>
      <c r="AG8" s="46">
        <f t="shared" si="1"/>
        <v>196.09999999999997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5"/>
      <c r="M9" s="74"/>
      <c r="N9" s="75"/>
      <c r="O9" s="74"/>
      <c r="P9" s="74"/>
      <c r="Q9" s="74"/>
      <c r="R9" s="74"/>
      <c r="S9" s="75"/>
      <c r="T9" s="74"/>
      <c r="U9" s="74"/>
      <c r="V9" s="74"/>
      <c r="W9" s="75"/>
      <c r="X9" s="74"/>
      <c r="Y9" s="74"/>
      <c r="Z9" s="74"/>
      <c r="AA9" s="74"/>
      <c r="AB9" s="75"/>
      <c r="AC9" s="74"/>
      <c r="AD9" s="52"/>
      <c r="AE9" s="52"/>
      <c r="AF9" s="52"/>
      <c r="AG9" s="46">
        <f t="shared" si="1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4">
        <f>8.6+5.2</f>
        <v>13.8</v>
      </c>
      <c r="C10" s="74">
        <f>7.4+4.2</f>
        <v>11.600000000000001</v>
      </c>
      <c r="D10" s="74">
        <v>7.21</v>
      </c>
      <c r="E10" s="74">
        <v>7.18</v>
      </c>
      <c r="F10" s="74">
        <v>6.21</v>
      </c>
      <c r="G10" s="74">
        <v>7.31</v>
      </c>
      <c r="H10" s="74">
        <v>8.1</v>
      </c>
      <c r="I10" s="74">
        <v>15.8</v>
      </c>
      <c r="J10" s="74">
        <f>6.5+4.9</f>
        <v>11.4</v>
      </c>
      <c r="K10" s="74">
        <f>17.44</f>
        <v>17.440000000000001</v>
      </c>
      <c r="L10" s="74">
        <v>13.6</v>
      </c>
      <c r="M10" s="74">
        <v>13.6</v>
      </c>
      <c r="N10" s="74">
        <v>17.5</v>
      </c>
      <c r="O10" s="74">
        <v>19.5</v>
      </c>
      <c r="P10" s="74">
        <v>16.7</v>
      </c>
      <c r="Q10" s="74">
        <v>5.3</v>
      </c>
      <c r="R10" s="74">
        <v>16.399999999999999</v>
      </c>
      <c r="S10" s="74">
        <v>12.6</v>
      </c>
      <c r="T10" s="74">
        <v>15.1</v>
      </c>
      <c r="U10" s="74">
        <v>18</v>
      </c>
      <c r="V10" s="74">
        <v>15.4</v>
      </c>
      <c r="W10" s="74">
        <v>18.7</v>
      </c>
      <c r="X10" s="74">
        <v>17.899999999999999</v>
      </c>
      <c r="Y10" s="74">
        <v>14.8</v>
      </c>
      <c r="Z10" s="74">
        <v>15.7</v>
      </c>
      <c r="AA10" s="74">
        <v>16.7</v>
      </c>
      <c r="AB10" s="74">
        <v>16.600000000000001</v>
      </c>
      <c r="AC10" s="74">
        <v>15.1</v>
      </c>
      <c r="AD10" s="51"/>
      <c r="AE10" s="51"/>
      <c r="AF10" s="51"/>
      <c r="AG10" s="46">
        <f t="shared" si="1"/>
        <v>385.25</v>
      </c>
      <c r="AH10" s="48"/>
      <c r="AI10" s="48"/>
    </row>
    <row r="11" spans="1:35" s="44" customFormat="1" ht="20.25" customHeight="1" x14ac:dyDescent="0.35">
      <c r="A11" s="60" t="s">
        <v>152</v>
      </c>
      <c r="B11" s="74">
        <v>2</v>
      </c>
      <c r="C11" s="74">
        <v>2</v>
      </c>
      <c r="D11" s="74">
        <v>3.1</v>
      </c>
      <c r="E11" s="74">
        <v>1</v>
      </c>
      <c r="F11" s="74">
        <v>1</v>
      </c>
      <c r="G11" s="75">
        <v>3.5</v>
      </c>
      <c r="H11" s="74">
        <v>2.8</v>
      </c>
      <c r="I11" s="74">
        <v>3</v>
      </c>
      <c r="J11" s="74">
        <v>3</v>
      </c>
      <c r="K11" s="74">
        <v>2.9</v>
      </c>
      <c r="L11" s="75">
        <v>1</v>
      </c>
      <c r="M11" s="74">
        <v>1</v>
      </c>
      <c r="N11" s="75">
        <v>3.9</v>
      </c>
      <c r="O11" s="75">
        <v>2.9</v>
      </c>
      <c r="P11" s="75">
        <v>2.8</v>
      </c>
      <c r="Q11" s="75">
        <v>2.5</v>
      </c>
      <c r="R11" s="75">
        <v>2.2000000000000002</v>
      </c>
      <c r="S11" s="74">
        <v>1</v>
      </c>
      <c r="T11" s="74">
        <v>1</v>
      </c>
      <c r="U11" s="75">
        <v>3.9</v>
      </c>
      <c r="V11" s="74">
        <v>3.5</v>
      </c>
      <c r="W11" s="74">
        <v>2.9</v>
      </c>
      <c r="X11" s="75">
        <v>2.8</v>
      </c>
      <c r="Y11" s="74">
        <v>1</v>
      </c>
      <c r="Z11" s="74">
        <v>1</v>
      </c>
      <c r="AA11" s="74">
        <v>1</v>
      </c>
      <c r="AB11" s="75">
        <v>3.8</v>
      </c>
      <c r="AC11" s="74">
        <v>3.7</v>
      </c>
      <c r="AD11" s="51"/>
      <c r="AE11" s="51"/>
      <c r="AF11" s="51"/>
      <c r="AG11" s="46">
        <f t="shared" si="1"/>
        <v>66.199999999999989</v>
      </c>
      <c r="AH11" s="48"/>
      <c r="AI11" s="48"/>
    </row>
    <row r="12" spans="1:35" s="44" customFormat="1" ht="18.75" customHeight="1" x14ac:dyDescent="0.35">
      <c r="A12" s="60" t="s">
        <v>91</v>
      </c>
      <c r="B12" s="75">
        <v>7.4</v>
      </c>
      <c r="C12" s="75">
        <v>7.3</v>
      </c>
      <c r="D12" s="75">
        <v>7.7</v>
      </c>
      <c r="E12" s="75">
        <v>8.3000000000000007</v>
      </c>
      <c r="F12" s="75">
        <v>7.7</v>
      </c>
      <c r="G12" s="75">
        <v>6.2</v>
      </c>
      <c r="H12" s="75">
        <v>8.6</v>
      </c>
      <c r="I12" s="75">
        <v>8.1999999999999993</v>
      </c>
      <c r="J12" s="75">
        <v>4.8</v>
      </c>
      <c r="K12" s="75">
        <v>3.9</v>
      </c>
      <c r="L12" s="75">
        <v>5.3</v>
      </c>
      <c r="M12" s="75">
        <v>7.2</v>
      </c>
      <c r="N12" s="75">
        <v>7.9</v>
      </c>
      <c r="O12" s="75">
        <v>7.7</v>
      </c>
      <c r="P12" s="75">
        <v>8</v>
      </c>
      <c r="Q12" s="75">
        <v>8.6</v>
      </c>
      <c r="R12" s="75">
        <v>8.4</v>
      </c>
      <c r="S12" s="75">
        <v>7.3</v>
      </c>
      <c r="T12" s="75">
        <v>6.2</v>
      </c>
      <c r="U12" s="75">
        <v>6.3</v>
      </c>
      <c r="V12" s="75">
        <v>8.1</v>
      </c>
      <c r="W12" s="75">
        <v>6</v>
      </c>
      <c r="X12" s="75">
        <v>6.5</v>
      </c>
      <c r="Y12" s="75">
        <v>9.4</v>
      </c>
      <c r="Z12" s="74">
        <v>7.3</v>
      </c>
      <c r="AA12" s="75">
        <v>8.1999999999999993</v>
      </c>
      <c r="AB12" s="75">
        <v>10.3</v>
      </c>
      <c r="AC12" s="75">
        <v>8.6999999999999993</v>
      </c>
      <c r="AD12" s="51"/>
      <c r="AE12" s="51"/>
      <c r="AF12" s="51"/>
      <c r="AG12" s="46">
        <f t="shared" si="1"/>
        <v>207.50000000000003</v>
      </c>
      <c r="AH12" s="48"/>
      <c r="AI12" s="48"/>
    </row>
    <row r="13" spans="1:35" s="44" customFormat="1" ht="18.75" customHeight="1" x14ac:dyDescent="0.35">
      <c r="A13" s="60" t="s">
        <v>69</v>
      </c>
      <c r="B13" s="74">
        <v>2.2999999999999998</v>
      </c>
      <c r="C13" s="74">
        <v>2.2000000000000002</v>
      </c>
      <c r="D13" s="74">
        <v>2.4</v>
      </c>
      <c r="E13" s="74">
        <v>2.5</v>
      </c>
      <c r="F13" s="74">
        <v>2.6</v>
      </c>
      <c r="G13" s="74">
        <v>2.1</v>
      </c>
      <c r="H13" s="74">
        <v>2.2000000000000002</v>
      </c>
      <c r="I13" s="74">
        <v>2.2999999999999998</v>
      </c>
      <c r="J13" s="74">
        <v>2.2000000000000002</v>
      </c>
      <c r="K13" s="74">
        <v>2.2999999999999998</v>
      </c>
      <c r="L13" s="74">
        <v>2.4</v>
      </c>
      <c r="M13" s="74">
        <v>2.4</v>
      </c>
      <c r="N13" s="74">
        <v>2.5</v>
      </c>
      <c r="O13" s="74">
        <v>2.5</v>
      </c>
      <c r="P13" s="74">
        <v>2.8</v>
      </c>
      <c r="Q13" s="74">
        <v>2.4</v>
      </c>
      <c r="R13" s="74">
        <v>2.6</v>
      </c>
      <c r="S13" s="74">
        <v>2.5</v>
      </c>
      <c r="T13" s="74">
        <v>2.4</v>
      </c>
      <c r="U13" s="74">
        <v>2.6</v>
      </c>
      <c r="V13" s="74">
        <v>2.2999999999999998</v>
      </c>
      <c r="W13" s="74">
        <v>2.2999999999999998</v>
      </c>
      <c r="X13" s="74">
        <v>2.1</v>
      </c>
      <c r="Y13" s="74">
        <v>2.4</v>
      </c>
      <c r="Z13" s="74">
        <v>2.4</v>
      </c>
      <c r="AA13" s="74">
        <v>2.6</v>
      </c>
      <c r="AB13" s="74">
        <v>2.2000000000000002</v>
      </c>
      <c r="AC13" s="74">
        <v>2.2999999999999998</v>
      </c>
      <c r="AD13" s="55"/>
      <c r="AE13" s="55"/>
      <c r="AF13" s="55"/>
      <c r="AG13" s="46">
        <f t="shared" si="1"/>
        <v>66.799999999999983</v>
      </c>
      <c r="AH13" s="48"/>
      <c r="AI13" s="48"/>
    </row>
    <row r="14" spans="1:35" s="44" customFormat="1" ht="18.75" customHeight="1" x14ac:dyDescent="0.35">
      <c r="A14" s="60" t="s">
        <v>71</v>
      </c>
      <c r="B14" s="74">
        <v>2.5</v>
      </c>
      <c r="C14" s="74">
        <v>2</v>
      </c>
      <c r="D14" s="74">
        <v>1.9</v>
      </c>
      <c r="E14" s="74">
        <v>1.6</v>
      </c>
      <c r="F14" s="74">
        <v>1.8</v>
      </c>
      <c r="G14" s="74">
        <v>3</v>
      </c>
      <c r="H14" s="74">
        <v>3.5</v>
      </c>
      <c r="I14" s="74">
        <v>3.4</v>
      </c>
      <c r="J14" s="74">
        <v>2.7</v>
      </c>
      <c r="K14" s="74">
        <v>3.2</v>
      </c>
      <c r="L14" s="74">
        <v>2.9</v>
      </c>
      <c r="M14" s="74">
        <v>3.4</v>
      </c>
      <c r="N14" s="74">
        <v>3.7</v>
      </c>
      <c r="O14" s="74">
        <v>2.9</v>
      </c>
      <c r="P14" s="74">
        <v>3.7</v>
      </c>
      <c r="Q14" s="74">
        <v>6</v>
      </c>
      <c r="R14" s="74">
        <v>2.0499999999999998</v>
      </c>
      <c r="S14" s="74">
        <v>2.35</v>
      </c>
      <c r="T14" s="74">
        <v>4.0999999999999996</v>
      </c>
      <c r="U14" s="74">
        <v>4.0999999999999996</v>
      </c>
      <c r="V14" s="74">
        <v>6</v>
      </c>
      <c r="W14" s="74">
        <v>6.5</v>
      </c>
      <c r="X14" s="74">
        <v>4</v>
      </c>
      <c r="Y14" s="74">
        <v>4.45</v>
      </c>
      <c r="Z14" s="74">
        <v>6.1</v>
      </c>
      <c r="AA14" s="74">
        <v>3</v>
      </c>
      <c r="AB14" s="74">
        <f>1.7+1.6</f>
        <v>3.3</v>
      </c>
      <c r="AC14" s="74">
        <v>1.6</v>
      </c>
      <c r="AD14" s="55"/>
      <c r="AE14" s="55"/>
      <c r="AF14" s="55"/>
      <c r="AG14" s="46">
        <f t="shared" si="1"/>
        <v>95.749999999999986</v>
      </c>
      <c r="AH14" s="48"/>
      <c r="AI14" s="48"/>
    </row>
    <row r="15" spans="1:35" s="44" customFormat="1" ht="18.75" customHeight="1" x14ac:dyDescent="0.35">
      <c r="A15" s="60" t="s">
        <v>240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5"/>
      <c r="P15" s="74"/>
      <c r="Q15" s="74"/>
      <c r="R15" s="74"/>
      <c r="S15" s="74"/>
      <c r="T15" s="75"/>
      <c r="U15" s="74"/>
      <c r="V15" s="74"/>
      <c r="W15" s="74"/>
      <c r="X15" s="75"/>
      <c r="Y15" s="74"/>
      <c r="Z15" s="75"/>
      <c r="AA15" s="75"/>
      <c r="AB15" s="75"/>
      <c r="AC15" s="74"/>
      <c r="AD15" s="52"/>
      <c r="AE15" s="52"/>
      <c r="AF15" s="52"/>
      <c r="AG15" s="46">
        <f t="shared" si="1"/>
        <v>0</v>
      </c>
      <c r="AH15" s="48"/>
      <c r="AI15" s="48"/>
    </row>
    <row r="16" spans="1:35" s="44" customFormat="1" ht="18.75" customHeight="1" x14ac:dyDescent="0.35">
      <c r="A16" s="60" t="s">
        <v>72</v>
      </c>
      <c r="B16" s="74"/>
      <c r="C16" s="75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5"/>
      <c r="P16" s="74"/>
      <c r="Q16" s="74"/>
      <c r="R16" s="75"/>
      <c r="S16" s="74"/>
      <c r="T16" s="74"/>
      <c r="U16" s="74"/>
      <c r="V16" s="74"/>
      <c r="W16" s="74"/>
      <c r="X16" s="74"/>
      <c r="Y16" s="74"/>
      <c r="Z16" s="74"/>
      <c r="AA16" s="74"/>
      <c r="AB16" s="74"/>
      <c r="AC16" s="74"/>
      <c r="AD16" s="51"/>
      <c r="AE16" s="51"/>
      <c r="AF16" s="51"/>
      <c r="AG16" s="46">
        <f t="shared" si="1"/>
        <v>0</v>
      </c>
      <c r="AH16" s="48"/>
      <c r="AI16" s="48"/>
    </row>
    <row r="17" spans="1:35" s="44" customFormat="1" ht="18.75" customHeight="1" x14ac:dyDescent="0.35">
      <c r="A17" s="60" t="s">
        <v>85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1"/>
        <v>0</v>
      </c>
      <c r="AH17" s="48"/>
      <c r="AI17" s="48"/>
    </row>
    <row r="18" spans="1:35" s="44" customFormat="1" ht="18.75" customHeight="1" x14ac:dyDescent="0.35">
      <c r="A18" s="60" t="s">
        <v>153</v>
      </c>
      <c r="B18" s="74">
        <v>1.7</v>
      </c>
      <c r="C18" s="74">
        <v>1.9</v>
      </c>
      <c r="D18" s="74">
        <v>1.9</v>
      </c>
      <c r="E18" s="74">
        <v>1.9</v>
      </c>
      <c r="F18" s="74">
        <v>2.4</v>
      </c>
      <c r="G18" s="75">
        <v>0.4</v>
      </c>
      <c r="H18" s="74">
        <v>1.9</v>
      </c>
      <c r="I18" s="74">
        <v>0.7</v>
      </c>
      <c r="J18" s="74">
        <v>6</v>
      </c>
      <c r="K18" s="74">
        <v>4</v>
      </c>
      <c r="L18" s="74">
        <v>5.4</v>
      </c>
      <c r="M18" s="74">
        <v>0.6</v>
      </c>
      <c r="N18" s="74">
        <v>1.7</v>
      </c>
      <c r="O18" s="74">
        <v>1.8</v>
      </c>
      <c r="P18" s="74">
        <v>1.7</v>
      </c>
      <c r="Q18" s="74">
        <v>1.9</v>
      </c>
      <c r="R18" s="75">
        <v>1.9</v>
      </c>
      <c r="S18" s="74">
        <v>1.7</v>
      </c>
      <c r="T18" s="74">
        <v>1</v>
      </c>
      <c r="U18" s="74">
        <v>0.4</v>
      </c>
      <c r="V18" s="74">
        <v>5</v>
      </c>
      <c r="W18" s="74">
        <v>6.1</v>
      </c>
      <c r="X18" s="74">
        <v>3.4</v>
      </c>
      <c r="Y18" s="74">
        <v>1.9</v>
      </c>
      <c r="Z18" s="74">
        <v>0.8</v>
      </c>
      <c r="AA18" s="74">
        <v>0</v>
      </c>
      <c r="AB18" s="74">
        <v>1</v>
      </c>
      <c r="AC18" s="75">
        <v>1.6</v>
      </c>
      <c r="AD18" s="51"/>
      <c r="AE18" s="51"/>
      <c r="AF18" s="51"/>
      <c r="AG18" s="46">
        <f t="shared" si="1"/>
        <v>60.7</v>
      </c>
      <c r="AH18" s="48"/>
      <c r="AI18" s="48"/>
    </row>
    <row r="19" spans="1:35" s="44" customFormat="1" ht="18.75" customHeight="1" x14ac:dyDescent="0.35">
      <c r="A19" s="60" t="s">
        <v>73</v>
      </c>
      <c r="B19" s="74"/>
      <c r="C19" s="51"/>
      <c r="D19" s="51"/>
      <c r="E19" s="51"/>
      <c r="F19" s="51"/>
      <c r="G19" s="51"/>
      <c r="H19" s="51"/>
      <c r="I19" s="51"/>
      <c r="J19" s="51"/>
      <c r="K19" s="51"/>
      <c r="L19" s="51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  <c r="AA19" s="74"/>
      <c r="AB19" s="74"/>
      <c r="AC19" s="74"/>
      <c r="AD19" s="51"/>
      <c r="AE19" s="51"/>
      <c r="AF19" s="51"/>
      <c r="AG19" s="46">
        <f t="shared" si="1"/>
        <v>0</v>
      </c>
      <c r="AH19" s="48"/>
      <c r="AI19" s="48"/>
    </row>
    <row r="20" spans="1:35" s="44" customFormat="1" ht="18.75" customHeight="1" x14ac:dyDescent="0.35">
      <c r="A20" s="60" t="s">
        <v>92</v>
      </c>
      <c r="B20" s="74">
        <f>9.2+8.3</f>
        <v>17.5</v>
      </c>
      <c r="C20" s="74">
        <f>9+8.2</f>
        <v>17.2</v>
      </c>
      <c r="D20" s="74">
        <f>9.5+9.1</f>
        <v>18.600000000000001</v>
      </c>
      <c r="E20" s="74">
        <v>17.2</v>
      </c>
      <c r="F20" s="74">
        <v>0</v>
      </c>
      <c r="G20" s="74">
        <v>16.100000000000001</v>
      </c>
      <c r="H20" s="74">
        <v>17.100000000000001</v>
      </c>
      <c r="I20" s="74">
        <v>17.3</v>
      </c>
      <c r="J20" s="74">
        <v>17.5</v>
      </c>
      <c r="K20" s="74">
        <v>17.3</v>
      </c>
      <c r="L20" s="74">
        <v>17.100000000000001</v>
      </c>
      <c r="M20" s="74">
        <v>0</v>
      </c>
      <c r="N20" s="74">
        <v>9.5</v>
      </c>
      <c r="O20" s="74">
        <v>13.6</v>
      </c>
      <c r="P20" s="74">
        <v>17.100000000000001</v>
      </c>
      <c r="Q20" s="74">
        <v>17.2</v>
      </c>
      <c r="R20" s="74">
        <v>13.4</v>
      </c>
      <c r="S20" s="74">
        <v>14.4</v>
      </c>
      <c r="T20" s="74">
        <v>0</v>
      </c>
      <c r="U20" s="74">
        <v>14.5</v>
      </c>
      <c r="V20" s="74">
        <v>17.3</v>
      </c>
      <c r="W20" s="74">
        <v>17.3</v>
      </c>
      <c r="X20" s="74">
        <v>17.2</v>
      </c>
      <c r="Y20" s="74">
        <v>17.2</v>
      </c>
      <c r="Z20" s="74">
        <v>17.3</v>
      </c>
      <c r="AA20" s="74">
        <v>0</v>
      </c>
      <c r="AB20" s="74">
        <v>17.5</v>
      </c>
      <c r="AC20" s="74">
        <v>18.7</v>
      </c>
      <c r="AD20" s="51"/>
      <c r="AE20" s="51"/>
      <c r="AF20" s="51"/>
      <c r="AG20" s="46">
        <f t="shared" si="1"/>
        <v>395.09999999999997</v>
      </c>
      <c r="AH20" s="48"/>
      <c r="AI20" s="48"/>
    </row>
    <row r="21" spans="1:35" s="44" customFormat="1" ht="18.75" customHeight="1" x14ac:dyDescent="0.35">
      <c r="A21" s="60" t="s">
        <v>89</v>
      </c>
      <c r="B21" s="74">
        <v>4.8</v>
      </c>
      <c r="C21" s="74">
        <v>4</v>
      </c>
      <c r="D21" s="74">
        <v>3</v>
      </c>
      <c r="E21" s="74">
        <f>2.5+7.8</f>
        <v>10.3</v>
      </c>
      <c r="F21" s="74">
        <f>3.5+5.6</f>
        <v>9.1</v>
      </c>
      <c r="G21" s="74">
        <f>4.5+5.3</f>
        <v>9.8000000000000007</v>
      </c>
      <c r="H21" s="74">
        <v>10.199999999999999</v>
      </c>
      <c r="I21" s="74">
        <f>7.1+5.8</f>
        <v>12.899999999999999</v>
      </c>
      <c r="J21" s="74">
        <f>6.2+8.1</f>
        <v>14.3</v>
      </c>
      <c r="K21" s="74">
        <f>8.2+7.2</f>
        <v>15.399999999999999</v>
      </c>
      <c r="L21" s="74">
        <f>8.1+6.3</f>
        <v>14.399999999999999</v>
      </c>
      <c r="M21" s="74">
        <f>4.3+4.8</f>
        <v>9.1</v>
      </c>
      <c r="N21" s="74">
        <v>9.1</v>
      </c>
      <c r="O21" s="74">
        <v>8.6</v>
      </c>
      <c r="P21" s="74">
        <v>6.3</v>
      </c>
      <c r="Q21" s="74">
        <v>6.4</v>
      </c>
      <c r="R21" s="74">
        <v>7.7</v>
      </c>
      <c r="S21" s="74">
        <v>7.9</v>
      </c>
      <c r="T21" s="74">
        <v>7.5</v>
      </c>
      <c r="U21" s="74">
        <v>0</v>
      </c>
      <c r="V21" s="74">
        <v>6.6</v>
      </c>
      <c r="W21" s="74">
        <v>6.3</v>
      </c>
      <c r="X21" s="74">
        <v>7.8</v>
      </c>
      <c r="Y21" s="74">
        <v>9.6</v>
      </c>
      <c r="Z21" s="74">
        <v>9</v>
      </c>
      <c r="AA21" s="74">
        <v>6.3</v>
      </c>
      <c r="AB21" s="74">
        <v>5.2</v>
      </c>
      <c r="AC21" s="74">
        <v>5.8</v>
      </c>
      <c r="AD21" s="51"/>
      <c r="AE21" s="51"/>
      <c r="AF21" s="51"/>
      <c r="AG21" s="46">
        <f>SUM(B21:AF21)</f>
        <v>227.4</v>
      </c>
      <c r="AH21" s="48"/>
      <c r="AI21" s="48"/>
    </row>
    <row r="22" spans="1:35" s="44" customFormat="1" ht="18.75" customHeight="1" x14ac:dyDescent="0.35">
      <c r="A22" s="60" t="s">
        <v>74</v>
      </c>
      <c r="B22" s="51">
        <v>2</v>
      </c>
      <c r="C22" s="51">
        <v>1.9</v>
      </c>
      <c r="D22" s="51">
        <v>2.4</v>
      </c>
      <c r="E22" s="51">
        <v>2.6</v>
      </c>
      <c r="F22" s="51">
        <v>2.7</v>
      </c>
      <c r="G22" s="51">
        <v>3</v>
      </c>
      <c r="H22" s="51">
        <v>2.6</v>
      </c>
      <c r="I22" s="51">
        <v>2</v>
      </c>
      <c r="J22" s="51">
        <v>2</v>
      </c>
      <c r="K22" s="51">
        <v>2.6</v>
      </c>
      <c r="L22" s="51">
        <v>3.1</v>
      </c>
      <c r="M22" s="51">
        <v>2.9</v>
      </c>
      <c r="N22" s="51">
        <v>2.6</v>
      </c>
      <c r="O22" s="51">
        <v>3.7</v>
      </c>
      <c r="P22" s="51">
        <v>3.1</v>
      </c>
      <c r="Q22" s="51">
        <v>6.4</v>
      </c>
      <c r="R22" s="51">
        <v>0.95</v>
      </c>
      <c r="S22" s="51">
        <v>2.6</v>
      </c>
      <c r="T22" s="51">
        <v>6</v>
      </c>
      <c r="U22" s="51">
        <v>2.6</v>
      </c>
      <c r="V22" s="51">
        <v>2.8</v>
      </c>
      <c r="W22" s="51">
        <v>3</v>
      </c>
      <c r="X22" s="51">
        <v>3</v>
      </c>
      <c r="Y22" s="51">
        <v>6</v>
      </c>
      <c r="Z22" s="51">
        <v>3.5</v>
      </c>
      <c r="AA22" s="51">
        <v>7.8</v>
      </c>
      <c r="AB22" s="51">
        <v>11.6</v>
      </c>
      <c r="AC22" s="51">
        <v>8</v>
      </c>
      <c r="AD22" s="51"/>
      <c r="AE22" s="51"/>
      <c r="AF22" s="51"/>
      <c r="AG22" s="46">
        <f t="shared" si="0"/>
        <v>103.45</v>
      </c>
      <c r="AH22" s="48"/>
      <c r="AI22" s="48"/>
    </row>
    <row r="23" spans="1:35" s="44" customFormat="1" ht="18.75" customHeight="1" x14ac:dyDescent="0.35">
      <c r="A23" s="60" t="s">
        <v>75</v>
      </c>
      <c r="B23" s="74">
        <v>0.4</v>
      </c>
      <c r="C23" s="74">
        <v>0.5</v>
      </c>
      <c r="D23" s="74">
        <v>5</v>
      </c>
      <c r="E23" s="74">
        <v>0.6</v>
      </c>
      <c r="F23" s="74">
        <v>0</v>
      </c>
      <c r="G23" s="74">
        <v>1.9</v>
      </c>
      <c r="H23" s="74">
        <v>1.6</v>
      </c>
      <c r="I23" s="74">
        <v>1.3</v>
      </c>
      <c r="J23" s="74">
        <v>1.6</v>
      </c>
      <c r="K23" s="74">
        <v>1.7</v>
      </c>
      <c r="L23" s="74">
        <v>0</v>
      </c>
      <c r="M23" s="74">
        <v>0</v>
      </c>
      <c r="N23" s="74">
        <v>0.3</v>
      </c>
      <c r="O23" s="74">
        <v>0.4</v>
      </c>
      <c r="P23" s="74">
        <v>5.0999999999999996</v>
      </c>
      <c r="Q23" s="74">
        <v>0.4</v>
      </c>
      <c r="R23" s="74">
        <v>6.1</v>
      </c>
      <c r="S23" s="74">
        <v>7</v>
      </c>
      <c r="T23" s="74">
        <v>0</v>
      </c>
      <c r="U23" s="74">
        <v>1.3</v>
      </c>
      <c r="V23" s="74">
        <v>1.7</v>
      </c>
      <c r="W23" s="74">
        <v>1.6</v>
      </c>
      <c r="X23" s="74">
        <v>1.7</v>
      </c>
      <c r="Y23" s="74">
        <v>0.9</v>
      </c>
      <c r="Z23" s="74">
        <v>0.8</v>
      </c>
      <c r="AA23" s="74">
        <v>0</v>
      </c>
      <c r="AB23" s="74">
        <v>1.7</v>
      </c>
      <c r="AC23" s="74">
        <v>1.8</v>
      </c>
      <c r="AD23" s="51"/>
      <c r="AE23" s="51"/>
      <c r="AF23" s="51"/>
      <c r="AG23" s="46">
        <f t="shared" ref="AG23:AG30" si="2">SUM(B23:AF23)</f>
        <v>45.4</v>
      </c>
      <c r="AH23" s="48"/>
      <c r="AI23" s="48"/>
    </row>
    <row r="24" spans="1:35" s="44" customFormat="1" ht="18.75" customHeight="1" x14ac:dyDescent="0.35">
      <c r="A24" s="60" t="s">
        <v>77</v>
      </c>
      <c r="B24" s="74">
        <v>2.1</v>
      </c>
      <c r="C24" s="74">
        <v>2.2000000000000002</v>
      </c>
      <c r="D24" s="74">
        <v>1.3</v>
      </c>
      <c r="E24" s="74">
        <v>0</v>
      </c>
      <c r="F24" s="74">
        <v>0</v>
      </c>
      <c r="G24" s="74">
        <v>2.2000000000000002</v>
      </c>
      <c r="H24" s="74">
        <v>2.4</v>
      </c>
      <c r="I24" s="74">
        <v>2.1</v>
      </c>
      <c r="J24" s="75">
        <v>1.5</v>
      </c>
      <c r="K24" s="74">
        <v>1.3</v>
      </c>
      <c r="L24" s="74">
        <v>0</v>
      </c>
      <c r="M24" s="74">
        <v>0</v>
      </c>
      <c r="N24" s="74">
        <v>2.5</v>
      </c>
      <c r="O24" s="74">
        <v>2.6</v>
      </c>
      <c r="P24" s="74">
        <v>1.5</v>
      </c>
      <c r="Q24" s="74">
        <v>1.3</v>
      </c>
      <c r="R24" s="74">
        <v>2.2000000000000002</v>
      </c>
      <c r="S24" s="74">
        <v>0</v>
      </c>
      <c r="T24" s="74">
        <v>0</v>
      </c>
      <c r="U24" s="74">
        <v>2.1</v>
      </c>
      <c r="V24" s="74">
        <v>2.2000000000000002</v>
      </c>
      <c r="W24" s="74">
        <v>2.2999999999999998</v>
      </c>
      <c r="X24" s="74">
        <v>2.1</v>
      </c>
      <c r="Y24" s="75">
        <v>2.2000000000000002</v>
      </c>
      <c r="Z24" s="74">
        <v>0</v>
      </c>
      <c r="AA24" s="74">
        <v>0</v>
      </c>
      <c r="AB24" s="74">
        <v>2.2000000000000002</v>
      </c>
      <c r="AC24" s="74">
        <v>2.2999999999999998</v>
      </c>
      <c r="AD24" s="51"/>
      <c r="AE24" s="51"/>
      <c r="AF24" s="51"/>
      <c r="AG24" s="46">
        <f t="shared" si="2"/>
        <v>40.600000000000009</v>
      </c>
      <c r="AH24" s="48"/>
      <c r="AI24" s="48"/>
    </row>
    <row r="25" spans="1:35" s="44" customFormat="1" ht="18.75" customHeight="1" x14ac:dyDescent="0.35">
      <c r="A25" s="60" t="s">
        <v>78</v>
      </c>
      <c r="B25" s="74">
        <v>8.6</v>
      </c>
      <c r="C25" s="74">
        <v>8.6</v>
      </c>
      <c r="D25" s="74">
        <v>7.6</v>
      </c>
      <c r="E25" s="74">
        <v>6.6</v>
      </c>
      <c r="F25" s="74">
        <v>6.5</v>
      </c>
      <c r="G25" s="74">
        <v>7.7</v>
      </c>
      <c r="H25" s="74">
        <v>8.9</v>
      </c>
      <c r="I25" s="74">
        <v>11.1</v>
      </c>
      <c r="J25" s="74">
        <v>10.1</v>
      </c>
      <c r="K25" s="74">
        <v>9.9</v>
      </c>
      <c r="L25" s="74">
        <v>9</v>
      </c>
      <c r="M25" s="74">
        <v>9.1999999999999993</v>
      </c>
      <c r="N25" s="74">
        <v>9.3000000000000007</v>
      </c>
      <c r="O25" s="74">
        <v>10.3</v>
      </c>
      <c r="P25" s="74">
        <v>5.9</v>
      </c>
      <c r="Q25" s="74">
        <v>6.9</v>
      </c>
      <c r="R25" s="74">
        <v>8.4</v>
      </c>
      <c r="S25" s="74">
        <v>9.6999999999999993</v>
      </c>
      <c r="T25" s="74">
        <v>8.6999999999999993</v>
      </c>
      <c r="U25" s="74">
        <v>8.4</v>
      </c>
      <c r="V25" s="74">
        <v>7.9</v>
      </c>
      <c r="W25" s="74">
        <v>8</v>
      </c>
      <c r="X25" s="74">
        <v>6.1</v>
      </c>
      <c r="Y25" s="74">
        <v>6.6</v>
      </c>
      <c r="Z25" s="74">
        <v>7.8</v>
      </c>
      <c r="AA25" s="74">
        <v>6.9</v>
      </c>
      <c r="AB25" s="74">
        <v>6.5</v>
      </c>
      <c r="AC25" s="74">
        <v>8.1</v>
      </c>
      <c r="AD25" s="51"/>
      <c r="AE25" s="51"/>
      <c r="AF25" s="51"/>
      <c r="AG25" s="46">
        <f t="shared" si="2"/>
        <v>229.29999999999998</v>
      </c>
      <c r="AH25" s="48"/>
      <c r="AI25" s="48"/>
    </row>
    <row r="26" spans="1:35" s="44" customFormat="1" ht="18.75" customHeight="1" x14ac:dyDescent="0.35">
      <c r="A26" s="60" t="s">
        <v>79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51"/>
      <c r="AE26" s="51"/>
      <c r="AF26" s="51"/>
      <c r="AG26" s="46">
        <f t="shared" si="2"/>
        <v>0</v>
      </c>
      <c r="AH26" s="48"/>
      <c r="AI26" s="48"/>
    </row>
    <row r="27" spans="1:35" s="44" customFormat="1" ht="18.75" customHeight="1" x14ac:dyDescent="0.35">
      <c r="A27" s="60" t="s">
        <v>154</v>
      </c>
      <c r="B27" s="74">
        <v>1.8</v>
      </c>
      <c r="C27" s="74">
        <v>2.5</v>
      </c>
      <c r="D27" s="74">
        <v>3</v>
      </c>
      <c r="E27" s="74">
        <v>2</v>
      </c>
      <c r="F27" s="74">
        <v>0</v>
      </c>
      <c r="G27" s="74">
        <v>2.9</v>
      </c>
      <c r="H27" s="74">
        <v>2</v>
      </c>
      <c r="I27" s="74">
        <v>2.9</v>
      </c>
      <c r="J27" s="74">
        <v>2.9</v>
      </c>
      <c r="K27" s="74">
        <v>2.9</v>
      </c>
      <c r="L27" s="74">
        <v>2.8</v>
      </c>
      <c r="M27" s="74">
        <v>3.6</v>
      </c>
      <c r="N27" s="74">
        <v>4.2</v>
      </c>
      <c r="O27" s="74">
        <v>2.1</v>
      </c>
      <c r="P27" s="74">
        <v>1.8</v>
      </c>
      <c r="Q27" s="74">
        <v>2</v>
      </c>
      <c r="R27" s="74">
        <v>2.6</v>
      </c>
      <c r="S27" s="74">
        <v>2.8</v>
      </c>
      <c r="T27" s="74">
        <v>0</v>
      </c>
      <c r="U27" s="74">
        <v>3</v>
      </c>
      <c r="V27" s="74">
        <v>2.9</v>
      </c>
      <c r="W27" s="74">
        <v>2.8</v>
      </c>
      <c r="X27" s="74">
        <v>2.8</v>
      </c>
      <c r="Y27" s="74">
        <v>2.9</v>
      </c>
      <c r="Z27" s="74">
        <v>2.8</v>
      </c>
      <c r="AA27" s="74">
        <v>0</v>
      </c>
      <c r="AB27" s="74">
        <v>0</v>
      </c>
      <c r="AC27" s="74">
        <v>3.5</v>
      </c>
      <c r="AD27" s="52"/>
      <c r="AE27" s="52"/>
      <c r="AF27" s="52"/>
      <c r="AG27" s="46">
        <f t="shared" si="2"/>
        <v>65.499999999999986</v>
      </c>
      <c r="AH27" s="48"/>
      <c r="AI27" s="48"/>
    </row>
    <row r="28" spans="1:35" s="44" customFormat="1" ht="18.75" customHeight="1" x14ac:dyDescent="0.35">
      <c r="A28" s="60" t="s">
        <v>80</v>
      </c>
      <c r="B28" s="74">
        <v>3.4</v>
      </c>
      <c r="C28" s="74">
        <v>4.3</v>
      </c>
      <c r="D28" s="74">
        <v>4.5999999999999996</v>
      </c>
      <c r="E28" s="74">
        <v>4.9000000000000004</v>
      </c>
      <c r="F28" s="74">
        <v>0</v>
      </c>
      <c r="G28" s="74">
        <v>4.8</v>
      </c>
      <c r="H28" s="74">
        <v>4.3</v>
      </c>
      <c r="I28" s="74">
        <v>4.2</v>
      </c>
      <c r="J28" s="74">
        <v>4.2</v>
      </c>
      <c r="K28" s="74">
        <v>4.9000000000000004</v>
      </c>
      <c r="L28" s="74">
        <v>2.2000000000000002</v>
      </c>
      <c r="M28" s="74">
        <v>0</v>
      </c>
      <c r="N28" s="74">
        <v>3.1</v>
      </c>
      <c r="O28" s="74">
        <v>2.2999999999999998</v>
      </c>
      <c r="P28" s="74">
        <v>5</v>
      </c>
      <c r="Q28" s="74">
        <v>4.0999999999999996</v>
      </c>
      <c r="R28" s="74">
        <v>0.7</v>
      </c>
      <c r="S28" s="74">
        <v>0.2</v>
      </c>
      <c r="T28" s="74">
        <v>0</v>
      </c>
      <c r="U28" s="74">
        <v>0.3</v>
      </c>
      <c r="V28" s="74">
        <v>0.5</v>
      </c>
      <c r="W28" s="74">
        <v>0</v>
      </c>
      <c r="X28" s="74">
        <v>0</v>
      </c>
      <c r="Y28" s="74">
        <v>0</v>
      </c>
      <c r="Z28" s="74">
        <v>0</v>
      </c>
      <c r="AA28" s="74">
        <v>0</v>
      </c>
      <c r="AB28" s="74">
        <v>0</v>
      </c>
      <c r="AC28" s="74">
        <v>0</v>
      </c>
      <c r="AD28" s="52"/>
      <c r="AE28" s="52"/>
      <c r="AF28" s="52"/>
      <c r="AG28" s="46">
        <f t="shared" si="2"/>
        <v>58.000000000000007</v>
      </c>
      <c r="AH28" s="48"/>
      <c r="AI28" s="48"/>
    </row>
    <row r="29" spans="1:35" s="44" customFormat="1" ht="18.75" customHeight="1" x14ac:dyDescent="0.35">
      <c r="A29" s="60" t="s">
        <v>76</v>
      </c>
      <c r="B29" s="74">
        <v>2.5</v>
      </c>
      <c r="C29" s="74">
        <v>2.5</v>
      </c>
      <c r="D29" s="74">
        <v>2</v>
      </c>
      <c r="E29" s="74">
        <v>2.5</v>
      </c>
      <c r="F29" s="74">
        <v>2</v>
      </c>
      <c r="G29" s="74">
        <v>2</v>
      </c>
      <c r="H29" s="74">
        <v>1.5</v>
      </c>
      <c r="I29" s="74">
        <v>1.5</v>
      </c>
      <c r="J29" s="74">
        <v>2</v>
      </c>
      <c r="K29" s="74">
        <v>1.9</v>
      </c>
      <c r="L29" s="74">
        <v>2</v>
      </c>
      <c r="M29" s="74">
        <v>0.9</v>
      </c>
      <c r="N29" s="74">
        <v>2</v>
      </c>
      <c r="O29" s="74">
        <v>2</v>
      </c>
      <c r="P29" s="74">
        <v>2</v>
      </c>
      <c r="Q29" s="74">
        <v>2</v>
      </c>
      <c r="R29" s="74">
        <v>0.3</v>
      </c>
      <c r="S29" s="74">
        <v>2</v>
      </c>
      <c r="T29" s="74">
        <v>1.4</v>
      </c>
      <c r="U29" s="74">
        <v>1</v>
      </c>
      <c r="V29" s="74">
        <v>1.8</v>
      </c>
      <c r="W29" s="74">
        <v>1.8</v>
      </c>
      <c r="X29" s="74">
        <v>0.5</v>
      </c>
      <c r="Y29" s="74">
        <v>0.3</v>
      </c>
      <c r="Z29" s="74">
        <v>2</v>
      </c>
      <c r="AA29" s="74">
        <v>0.95</v>
      </c>
      <c r="AB29" s="74">
        <v>3.9</v>
      </c>
      <c r="AC29" s="74">
        <v>0</v>
      </c>
      <c r="AD29" s="52"/>
      <c r="AE29" s="52"/>
      <c r="AF29" s="52"/>
      <c r="AG29" s="46">
        <f t="shared" si="2"/>
        <v>47.249999999999986</v>
      </c>
      <c r="AH29" s="48"/>
      <c r="AI29" s="48"/>
    </row>
    <row r="30" spans="1:35" s="44" customFormat="1" ht="18.75" customHeight="1" x14ac:dyDescent="0.35">
      <c r="A30" s="60" t="s">
        <v>81</v>
      </c>
      <c r="B30" s="74">
        <f>3.1+1.3+6.3+4.3+4.3</f>
        <v>19.3</v>
      </c>
      <c r="C30" s="74">
        <f>2.7+1.9+8+4.3+4.8</f>
        <v>21.7</v>
      </c>
      <c r="D30" s="74">
        <f>3.1+3.4+9+4.3+4.7</f>
        <v>24.5</v>
      </c>
      <c r="E30" s="74">
        <f>3.7+2.1+3.1+3.5</f>
        <v>12.4</v>
      </c>
      <c r="F30" s="74">
        <f>8.9+3+3.2+3</f>
        <v>18.100000000000001</v>
      </c>
      <c r="G30" s="74">
        <f>3.9+5+6+6.8</f>
        <v>21.7</v>
      </c>
      <c r="H30" s="74">
        <f>6+5.8+6.5+6.9</f>
        <v>25.200000000000003</v>
      </c>
      <c r="I30" s="74">
        <f>6.9+6.7+4.5+8+3.9</f>
        <v>30</v>
      </c>
      <c r="J30" s="75">
        <f>3.9+2.8+6.5+4.5+4.6</f>
        <v>22.299999999999997</v>
      </c>
      <c r="K30" s="74">
        <f>7.8+7.5+11.5+3.5</f>
        <v>30.3</v>
      </c>
      <c r="L30" s="74">
        <f>4.3+3.8+8+7.5+6.9</f>
        <v>30.5</v>
      </c>
      <c r="M30" s="75">
        <f>8.5+4.3</f>
        <v>12.8</v>
      </c>
      <c r="N30" s="74">
        <f xml:space="preserve"> 5+3.5+3+3.3+2.7</f>
        <v>17.5</v>
      </c>
      <c r="O30" s="74">
        <f>6.5+7.9+3.7+4.1+2.4</f>
        <v>24.6</v>
      </c>
      <c r="P30" s="74">
        <f>5.6+4.5+7+2.1+2</f>
        <v>21.200000000000003</v>
      </c>
      <c r="Q30" s="75">
        <f>4.4+6.9+5.9+6.1</f>
        <v>23.300000000000004</v>
      </c>
      <c r="R30" s="74">
        <f>6.1+4.2+5.6+6.8</f>
        <v>22.7</v>
      </c>
      <c r="S30" s="74">
        <f>8+4.5+4.6+3.7+1.9</f>
        <v>22.7</v>
      </c>
      <c r="T30" s="74">
        <f>8+4.5+4.6+3.9</f>
        <v>21</v>
      </c>
      <c r="U30" s="75">
        <f>3.9+3+3.2+7.8</f>
        <v>17.900000000000002</v>
      </c>
      <c r="V30" s="74">
        <f>5.9+7.6</f>
        <v>13.5</v>
      </c>
      <c r="W30" s="75">
        <f>6+6.1+4.4+7.9</f>
        <v>24.4</v>
      </c>
      <c r="X30" s="74">
        <f>6.7+5.8+4.3+3.3+1.2</f>
        <v>21.3</v>
      </c>
      <c r="Y30" s="74">
        <f>6.3+4.8+5+3.9+1.3</f>
        <v>21.3</v>
      </c>
      <c r="Z30" s="75">
        <f>6.5+5.6+5.7+1.5+2.7</f>
        <v>22</v>
      </c>
      <c r="AA30" s="74">
        <f>6.7+3.6+3.7+3.7</f>
        <v>17.7</v>
      </c>
      <c r="AB30" s="74">
        <f>15+4.4</f>
        <v>19.399999999999999</v>
      </c>
      <c r="AC30" s="74">
        <f>7+5+3+3.1+1.7</f>
        <v>19.8</v>
      </c>
      <c r="AD30" s="52"/>
      <c r="AE30" s="52"/>
      <c r="AF30" s="52"/>
      <c r="AG30" s="46">
        <f t="shared" si="2"/>
        <v>599.09999999999991</v>
      </c>
      <c r="AH30" s="48"/>
      <c r="AI30" s="48"/>
    </row>
    <row r="31" spans="1:35" s="44" customFormat="1" ht="18.75" customHeight="1" x14ac:dyDescent="0.35">
      <c r="A31" s="60" t="s">
        <v>86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82</v>
      </c>
      <c r="B32" s="74">
        <f>5.4+3.4+7</f>
        <v>15.8</v>
      </c>
      <c r="C32" s="74">
        <f>5.4+4.1+5.1</f>
        <v>14.6</v>
      </c>
      <c r="D32" s="74">
        <f>5.4+3.2+4.1</f>
        <v>12.700000000000001</v>
      </c>
      <c r="E32" s="74">
        <f>6.9+7.9+8.9</f>
        <v>23.700000000000003</v>
      </c>
      <c r="F32" s="74">
        <f>7.9+8.9+9.5</f>
        <v>26.3</v>
      </c>
      <c r="G32" s="74">
        <f>6.9+3.4+7</f>
        <v>17.3</v>
      </c>
      <c r="H32" s="74">
        <f>11.55+10.5+11.5</f>
        <v>33.549999999999997</v>
      </c>
      <c r="I32" s="74">
        <f>10.55+11.55+10.65</f>
        <v>32.75</v>
      </c>
      <c r="J32" s="74">
        <f>11.57+10.5+11.5</f>
        <v>33.57</v>
      </c>
      <c r="K32" s="74">
        <f>11.4+7.5+4.3</f>
        <v>23.2</v>
      </c>
      <c r="L32" s="74">
        <v>30</v>
      </c>
      <c r="M32" s="74">
        <f>10.55+9.85+7.95</f>
        <v>28.349999999999998</v>
      </c>
      <c r="N32" s="74">
        <f>7.9+8.9+9.55</f>
        <v>26.35</v>
      </c>
      <c r="O32" s="74">
        <f>8.9+7.6+8.9</f>
        <v>25.4</v>
      </c>
      <c r="P32" s="74">
        <f>11.5+0.9+7.3</f>
        <v>19.7</v>
      </c>
      <c r="Q32" s="74">
        <f>15.25+7+8</f>
        <v>30.25</v>
      </c>
      <c r="R32" s="74">
        <f>5.4+3.2+4.2</f>
        <v>12.8</v>
      </c>
      <c r="S32" s="74">
        <f>7.4+6.1+5.4</f>
        <v>18.899999999999999</v>
      </c>
      <c r="T32" s="74">
        <f>11.4+9.6+4.3</f>
        <v>25.3</v>
      </c>
      <c r="U32" s="74">
        <f>11.2+10.2+9.4</f>
        <v>30.799999999999997</v>
      </c>
      <c r="V32" s="74">
        <f>15.3+11.2+10.2</f>
        <v>36.700000000000003</v>
      </c>
      <c r="W32" s="74">
        <f>12.55+9.5+7.55</f>
        <v>29.6</v>
      </c>
      <c r="X32" s="74">
        <f>4+7+8</f>
        <v>19</v>
      </c>
      <c r="Y32" s="74">
        <f>9.55+7.55+9.58</f>
        <v>26.68</v>
      </c>
      <c r="Z32" s="74">
        <f>11.55+10.55+9.35</f>
        <v>31.450000000000003</v>
      </c>
      <c r="AA32" s="74">
        <f>8.4+7.2+5.1</f>
        <v>20.700000000000003</v>
      </c>
      <c r="AB32" s="74">
        <f>11+7.2</f>
        <v>18.2</v>
      </c>
      <c r="AC32" s="74">
        <f>11.55+10.55+9.38</f>
        <v>31.480000000000004</v>
      </c>
      <c r="AD32" s="52"/>
      <c r="AE32" s="52"/>
      <c r="AF32" s="52"/>
      <c r="AG32" s="46">
        <f>SUM(B32:AF32)</f>
        <v>695.13000000000011</v>
      </c>
      <c r="AH32" s="48"/>
      <c r="AI32" s="48"/>
    </row>
    <row r="33" spans="1:35" s="44" customFormat="1" ht="18.75" customHeight="1" x14ac:dyDescent="0.35">
      <c r="A33" s="60" t="s">
        <v>178</v>
      </c>
      <c r="B33" s="74">
        <v>2</v>
      </c>
      <c r="C33" s="74">
        <v>1.5</v>
      </c>
      <c r="D33" s="74">
        <v>2.1</v>
      </c>
      <c r="E33" s="74">
        <v>2.2000000000000002</v>
      </c>
      <c r="F33" s="74">
        <v>2.2999999999999998</v>
      </c>
      <c r="G33" s="74">
        <v>1.2</v>
      </c>
      <c r="H33" s="74">
        <v>1.5</v>
      </c>
      <c r="I33" s="74">
        <v>1.4</v>
      </c>
      <c r="J33" s="74">
        <v>1.2</v>
      </c>
      <c r="K33" s="74">
        <v>1</v>
      </c>
      <c r="L33" s="74">
        <v>1.1000000000000001</v>
      </c>
      <c r="M33" s="74">
        <v>1.5</v>
      </c>
      <c r="N33" s="74">
        <v>1.9</v>
      </c>
      <c r="O33" s="74">
        <v>1.6</v>
      </c>
      <c r="P33" s="74">
        <v>1</v>
      </c>
      <c r="Q33" s="74">
        <v>1.3</v>
      </c>
      <c r="R33" s="74">
        <v>1.5</v>
      </c>
      <c r="S33" s="74">
        <v>1.6</v>
      </c>
      <c r="T33" s="74">
        <v>1.5</v>
      </c>
      <c r="U33" s="74">
        <v>1.5</v>
      </c>
      <c r="V33" s="74">
        <v>1.3</v>
      </c>
      <c r="W33" s="74">
        <v>1.3</v>
      </c>
      <c r="X33" s="74">
        <v>0.9</v>
      </c>
      <c r="Y33" s="74">
        <v>2.5</v>
      </c>
      <c r="Z33" s="74">
        <v>1.3</v>
      </c>
      <c r="AA33" s="74">
        <v>1.5</v>
      </c>
      <c r="AB33" s="74">
        <v>1</v>
      </c>
      <c r="AC33" s="74">
        <v>1.3</v>
      </c>
      <c r="AD33" s="52"/>
      <c r="AE33" s="52"/>
      <c r="AF33" s="52"/>
      <c r="AG33" s="46">
        <f>SUM(B33:AF33)</f>
        <v>41.999999999999993</v>
      </c>
      <c r="AH33" s="48"/>
      <c r="AI33" s="48"/>
    </row>
    <row r="34" spans="1:35" s="44" customFormat="1" ht="18.75" customHeight="1" x14ac:dyDescent="0.35">
      <c r="A34" s="60" t="s">
        <v>251</v>
      </c>
      <c r="B34" s="74">
        <v>1</v>
      </c>
      <c r="C34" s="74">
        <v>1.8</v>
      </c>
      <c r="D34" s="74">
        <v>0.2</v>
      </c>
      <c r="E34" s="74">
        <v>0.6</v>
      </c>
      <c r="F34" s="74">
        <v>0</v>
      </c>
      <c r="G34" s="74">
        <v>0.9</v>
      </c>
      <c r="H34" s="74">
        <v>0.8</v>
      </c>
      <c r="I34" s="74">
        <v>0.9</v>
      </c>
      <c r="J34" s="74">
        <v>0.8</v>
      </c>
      <c r="K34" s="74">
        <v>0.9</v>
      </c>
      <c r="L34" s="74">
        <v>1</v>
      </c>
      <c r="M34" s="74">
        <v>0</v>
      </c>
      <c r="N34" s="74">
        <v>0</v>
      </c>
      <c r="O34" s="74">
        <v>0.5</v>
      </c>
      <c r="P34" s="74">
        <v>0.7</v>
      </c>
      <c r="Q34" s="74">
        <v>0.8</v>
      </c>
      <c r="R34" s="74">
        <v>0.3</v>
      </c>
      <c r="S34" s="74">
        <v>0.5</v>
      </c>
      <c r="T34" s="74">
        <v>0</v>
      </c>
      <c r="U34" s="74">
        <v>0.9</v>
      </c>
      <c r="V34" s="74">
        <v>0.8</v>
      </c>
      <c r="W34" s="74">
        <v>0.9</v>
      </c>
      <c r="X34" s="74">
        <v>0.8</v>
      </c>
      <c r="Y34" s="74">
        <v>0.9</v>
      </c>
      <c r="Z34" s="74">
        <v>1</v>
      </c>
      <c r="AA34" s="74">
        <v>0</v>
      </c>
      <c r="AB34" s="74">
        <v>1</v>
      </c>
      <c r="AC34" s="74">
        <v>0.5</v>
      </c>
      <c r="AD34" s="52"/>
      <c r="AE34" s="52"/>
      <c r="AF34" s="52"/>
      <c r="AG34" s="46">
        <f>SUM(B34:AF34)</f>
        <v>18.500000000000004</v>
      </c>
      <c r="AH34" s="48"/>
      <c r="AI34" s="48"/>
    </row>
    <row r="35" spans="1:35" s="44" customFormat="1" ht="18.75" customHeight="1" x14ac:dyDescent="0.35">
      <c r="A35" s="59" t="s">
        <v>155</v>
      </c>
      <c r="B35" s="51">
        <f t="shared" ref="B35" si="3">SUM(B3:B34)</f>
        <v>135.1</v>
      </c>
      <c r="C35" s="51">
        <f t="shared" ref="C35" si="4">SUM(C3:C34)</f>
        <v>135.70000000000002</v>
      </c>
      <c r="D35" s="51">
        <f t="shared" ref="D35" si="5">SUM(D3:D34)</f>
        <v>132.10999999999999</v>
      </c>
      <c r="E35" s="51">
        <f t="shared" ref="E35" si="6">SUM(E3:E34)</f>
        <v>128.97999999999999</v>
      </c>
      <c r="F35" s="51">
        <f t="shared" ref="F35" si="7">SUM(F3:F34)</f>
        <v>110.61</v>
      </c>
      <c r="G35" s="51">
        <f t="shared" ref="G35" si="8">SUM(G3:G34)</f>
        <v>138.71</v>
      </c>
      <c r="H35" s="51">
        <f t="shared" ref="H35" si="9">SUM(H3:H34)</f>
        <v>157.05000000000001</v>
      </c>
      <c r="I35" s="51">
        <f t="shared" ref="I35" si="10">SUM(I3:I34)</f>
        <v>179.45000000000002</v>
      </c>
      <c r="J35" s="51">
        <f t="shared" ref="J35" si="11">SUM(J3:J34)</f>
        <v>171.67</v>
      </c>
      <c r="K35" s="51">
        <f t="shared" ref="K35" si="12">SUM(K3:K34)</f>
        <v>178.54000000000002</v>
      </c>
      <c r="L35" s="51">
        <f t="shared" ref="L35" si="13">SUM(L3:L34)</f>
        <v>173.49999999999997</v>
      </c>
      <c r="M35" s="51">
        <f t="shared" ref="M35" si="14">SUM(M3:M34)</f>
        <v>119.94999999999999</v>
      </c>
      <c r="N35" s="51">
        <f t="shared" ref="N35" si="15">SUM(N3:N34)</f>
        <v>148.04999999999998</v>
      </c>
      <c r="O35" s="51">
        <f t="shared" ref="O35" si="16">SUM(O3:O34)</f>
        <v>162.79999999999998</v>
      </c>
      <c r="P35" s="51">
        <f t="shared" ref="P35" si="17">SUM(P3:P34)</f>
        <v>157.39999999999998</v>
      </c>
      <c r="Q35" s="51">
        <f t="shared" ref="Q35" si="18">SUM(Q3:Q34)</f>
        <v>154.35000000000002</v>
      </c>
      <c r="R35" s="51">
        <f t="shared" ref="R35" si="19">SUM(R3:R34)</f>
        <v>140.00000000000003</v>
      </c>
      <c r="S35" s="51">
        <f t="shared" ref="S35" si="20">SUM(S3:S34)</f>
        <v>144.75</v>
      </c>
      <c r="T35" s="51">
        <f t="shared" ref="T35" si="21">SUM(T3:T34)</f>
        <v>124.10000000000001</v>
      </c>
      <c r="U35" s="51">
        <f t="shared" ref="U35" si="22">SUM(U3:U34)</f>
        <v>145.49999999999997</v>
      </c>
      <c r="V35" s="51">
        <f t="shared" ref="V35:AA35" si="23">SUM(V3:V34)</f>
        <v>159.60000000000002</v>
      </c>
      <c r="W35" s="51">
        <f t="shared" si="23"/>
        <v>175.7</v>
      </c>
      <c r="X35" s="51">
        <f t="shared" si="23"/>
        <v>148.5</v>
      </c>
      <c r="Y35" s="51">
        <f t="shared" si="23"/>
        <v>163.83000000000004</v>
      </c>
      <c r="Z35" s="51">
        <f t="shared" si="23"/>
        <v>161.84999999999997</v>
      </c>
      <c r="AA35" s="51">
        <f t="shared" si="23"/>
        <v>130.15</v>
      </c>
      <c r="AB35" s="51">
        <f>SUM(AB3:AB34)</f>
        <v>160.1</v>
      </c>
      <c r="AC35" s="51">
        <f t="shared" ref="AC35" si="24">SUM(AC3:AC33)</f>
        <v>160.38</v>
      </c>
      <c r="AD35" s="51">
        <f t="shared" ref="AD35:AF35" si="25">SUM(AD3:AD33)</f>
        <v>0</v>
      </c>
      <c r="AE35" s="51">
        <f t="shared" si="25"/>
        <v>0</v>
      </c>
      <c r="AF35" s="51">
        <f t="shared" si="25"/>
        <v>0</v>
      </c>
      <c r="AG35" s="56">
        <f>SUM(B35:AF35)</f>
        <v>4198.4299999999994</v>
      </c>
      <c r="AH35" s="57"/>
      <c r="AI35" s="57"/>
    </row>
    <row r="36" spans="1:35" s="2" customFormat="1" x14ac:dyDescent="0.25">
      <c r="AG36" s="24">
        <f>SUM(AG3:AG33)</f>
        <v>4180.43</v>
      </c>
    </row>
    <row r="37" spans="1:35" s="2" customFormat="1" x14ac:dyDescent="0.25"/>
    <row r="38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36.42578125" customWidth="1"/>
    <col min="2" max="32" width="8.5703125" customWidth="1"/>
    <col min="33" max="33" width="13.7109375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40.5" x14ac:dyDescent="0.35">
      <c r="A3" s="63" t="s">
        <v>94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50"/>
      <c r="W3" s="49"/>
      <c r="X3" s="49"/>
      <c r="Y3" s="49"/>
      <c r="Z3" s="49"/>
      <c r="AA3" s="49"/>
      <c r="AB3" s="49"/>
      <c r="AC3" s="50"/>
      <c r="AD3" s="49"/>
      <c r="AE3" s="49"/>
      <c r="AF3" s="49"/>
      <c r="AG3" s="82">
        <f t="shared" ref="AG3:AG32" si="0">SUM(B3:AF3)</f>
        <v>0</v>
      </c>
      <c r="AH3" s="47"/>
      <c r="AI3" s="48"/>
    </row>
    <row r="4" spans="1:35" s="44" customFormat="1" ht="39" customHeight="1" x14ac:dyDescent="0.35">
      <c r="A4" s="60" t="s">
        <v>241</v>
      </c>
      <c r="B4" s="49">
        <v>5</v>
      </c>
      <c r="C4" s="49">
        <v>9</v>
      </c>
      <c r="D4" s="49">
        <v>9</v>
      </c>
      <c r="E4" s="49">
        <v>8</v>
      </c>
      <c r="F4" s="49">
        <v>10</v>
      </c>
      <c r="G4" s="49">
        <v>8</v>
      </c>
      <c r="H4" s="49">
        <v>7</v>
      </c>
      <c r="I4" s="49">
        <v>7</v>
      </c>
      <c r="J4" s="49">
        <v>5</v>
      </c>
      <c r="K4" s="49">
        <v>7</v>
      </c>
      <c r="L4" s="49">
        <v>5</v>
      </c>
      <c r="M4" s="49">
        <v>6</v>
      </c>
      <c r="N4" s="49">
        <v>7</v>
      </c>
      <c r="O4" s="49">
        <v>8</v>
      </c>
      <c r="P4" s="49">
        <v>9.5</v>
      </c>
      <c r="Q4" s="49">
        <v>8</v>
      </c>
      <c r="R4" s="49">
        <v>11</v>
      </c>
      <c r="S4" s="49">
        <v>6</v>
      </c>
      <c r="T4" s="49">
        <v>4.5</v>
      </c>
      <c r="U4" s="49">
        <v>7.5</v>
      </c>
      <c r="V4" s="49">
        <v>5.5</v>
      </c>
      <c r="W4" s="49">
        <v>5.5</v>
      </c>
      <c r="X4" s="49">
        <v>8.6</v>
      </c>
      <c r="Y4" s="49">
        <v>0</v>
      </c>
      <c r="Z4" s="49">
        <v>11</v>
      </c>
      <c r="AA4" s="49">
        <v>7</v>
      </c>
      <c r="AB4" s="49">
        <v>4</v>
      </c>
      <c r="AC4" s="49">
        <v>6</v>
      </c>
      <c r="AD4" s="49">
        <v>9</v>
      </c>
      <c r="AE4" s="49">
        <v>8</v>
      </c>
      <c r="AF4" s="49">
        <v>6</v>
      </c>
      <c r="AG4" s="82">
        <f t="shared" si="0"/>
        <v>218.1</v>
      </c>
      <c r="AH4" s="47"/>
      <c r="AI4" s="48"/>
    </row>
    <row r="5" spans="1:35" s="44" customFormat="1" ht="18.75" customHeight="1" x14ac:dyDescent="0.35">
      <c r="A5" s="171" t="s">
        <v>83</v>
      </c>
      <c r="B5" s="49">
        <f>1.3+0.9+1.9</f>
        <v>4.0999999999999996</v>
      </c>
      <c r="C5" s="49">
        <f>1+1+2.9</f>
        <v>4.9000000000000004</v>
      </c>
      <c r="D5" s="49">
        <v>4.9000000000000004</v>
      </c>
      <c r="E5" s="49">
        <v>2.8</v>
      </c>
      <c r="F5" s="49">
        <v>0</v>
      </c>
      <c r="G5" s="49">
        <v>3.4</v>
      </c>
      <c r="H5" s="49">
        <v>3.5</v>
      </c>
      <c r="I5" s="49">
        <v>4.0999999999999996</v>
      </c>
      <c r="J5" s="49">
        <v>3.2</v>
      </c>
      <c r="K5" s="49">
        <v>3.4</v>
      </c>
      <c r="L5" s="49">
        <v>4.0999999999999996</v>
      </c>
      <c r="M5" s="49">
        <v>3.6</v>
      </c>
      <c r="N5" s="49">
        <v>3.1</v>
      </c>
      <c r="O5" s="49">
        <v>2.7</v>
      </c>
      <c r="P5" s="49">
        <v>2.7</v>
      </c>
      <c r="Q5" s="49">
        <v>4.9000000000000004</v>
      </c>
      <c r="R5" s="49">
        <v>3</v>
      </c>
      <c r="S5" s="49">
        <v>2.9</v>
      </c>
      <c r="T5" s="49">
        <v>2.2999999999999998</v>
      </c>
      <c r="U5" s="49">
        <v>3.8</v>
      </c>
      <c r="V5" s="49">
        <v>4.4000000000000004</v>
      </c>
      <c r="W5" s="49">
        <v>4.5999999999999996</v>
      </c>
      <c r="X5" s="49">
        <v>4.4000000000000004</v>
      </c>
      <c r="Y5" s="49">
        <v>2.2999999999999998</v>
      </c>
      <c r="Z5" s="49">
        <v>3.3</v>
      </c>
      <c r="AA5" s="49">
        <v>0</v>
      </c>
      <c r="AB5" s="49">
        <v>4</v>
      </c>
      <c r="AC5" s="49">
        <v>4.0999999999999996</v>
      </c>
      <c r="AD5" s="49">
        <v>4.2</v>
      </c>
      <c r="AE5" s="49">
        <v>3.9</v>
      </c>
      <c r="AF5" s="49">
        <v>3.2</v>
      </c>
      <c r="AG5" s="82">
        <f t="shared" si="0"/>
        <v>105.80000000000001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82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>
        <v>3.5</v>
      </c>
      <c r="C7" s="51">
        <v>3.7</v>
      </c>
      <c r="D7" s="51">
        <v>3</v>
      </c>
      <c r="E7" s="51">
        <v>3.9</v>
      </c>
      <c r="F7" s="51">
        <v>3.5</v>
      </c>
      <c r="G7" s="51">
        <v>3.8</v>
      </c>
      <c r="H7" s="51">
        <v>3</v>
      </c>
      <c r="I7" s="51">
        <v>3.5</v>
      </c>
      <c r="J7" s="51">
        <v>3.5</v>
      </c>
      <c r="K7" s="51">
        <v>3.7</v>
      </c>
      <c r="L7" s="51">
        <v>3.5</v>
      </c>
      <c r="M7" s="51">
        <v>2.9</v>
      </c>
      <c r="N7" s="51">
        <v>3</v>
      </c>
      <c r="O7" s="51">
        <v>3.5</v>
      </c>
      <c r="P7" s="51">
        <v>3.8</v>
      </c>
      <c r="Q7" s="51">
        <v>3</v>
      </c>
      <c r="R7" s="51">
        <v>3.9</v>
      </c>
      <c r="S7" s="51">
        <v>3</v>
      </c>
      <c r="T7" s="51">
        <v>3.6</v>
      </c>
      <c r="U7" s="51">
        <v>3</v>
      </c>
      <c r="V7" s="51">
        <v>3.7</v>
      </c>
      <c r="W7" s="51">
        <v>3.8</v>
      </c>
      <c r="X7" s="51">
        <v>3</v>
      </c>
      <c r="Y7" s="51">
        <v>3.7</v>
      </c>
      <c r="Z7" s="51">
        <v>3</v>
      </c>
      <c r="AA7" s="51">
        <v>3.7</v>
      </c>
      <c r="AB7" s="51">
        <v>2.9</v>
      </c>
      <c r="AC7" s="51">
        <v>3.5</v>
      </c>
      <c r="AD7" s="51">
        <v>3.9</v>
      </c>
      <c r="AE7" s="51">
        <v>3</v>
      </c>
      <c r="AF7" s="51">
        <v>2.7</v>
      </c>
      <c r="AG7" s="82">
        <f t="shared" si="0"/>
        <v>105.20000000000002</v>
      </c>
      <c r="AH7" s="48"/>
      <c r="AI7" s="48"/>
    </row>
    <row r="8" spans="1:35" s="44" customFormat="1" ht="18.75" customHeight="1" x14ac:dyDescent="0.35">
      <c r="A8" s="60" t="s">
        <v>65</v>
      </c>
      <c r="B8" s="49">
        <v>9</v>
      </c>
      <c r="C8" s="49">
        <v>8</v>
      </c>
      <c r="D8" s="49">
        <v>8</v>
      </c>
      <c r="E8" s="49">
        <v>8</v>
      </c>
      <c r="F8" s="49">
        <v>7.6</v>
      </c>
      <c r="G8" s="49">
        <v>6.6</v>
      </c>
      <c r="H8" s="49">
        <v>7.9</v>
      </c>
      <c r="I8" s="49">
        <v>6.4</v>
      </c>
      <c r="J8" s="49">
        <v>9</v>
      </c>
      <c r="K8" s="49">
        <v>8.4</v>
      </c>
      <c r="L8" s="49">
        <v>7.5</v>
      </c>
      <c r="M8" s="49">
        <v>8.5</v>
      </c>
      <c r="N8" s="49">
        <v>7.3</v>
      </c>
      <c r="O8" s="49">
        <v>6.2</v>
      </c>
      <c r="P8" s="49">
        <v>7.4</v>
      </c>
      <c r="Q8" s="49">
        <v>7.9</v>
      </c>
      <c r="R8" s="49">
        <v>10.1</v>
      </c>
      <c r="S8" s="49">
        <v>8.3000000000000007</v>
      </c>
      <c r="T8" s="50">
        <v>8.8000000000000007</v>
      </c>
      <c r="U8" s="49">
        <v>10.1</v>
      </c>
      <c r="V8" s="49">
        <v>7.5</v>
      </c>
      <c r="W8" s="49">
        <v>8.5</v>
      </c>
      <c r="X8" s="49">
        <f>7.2+2.9</f>
        <v>10.1</v>
      </c>
      <c r="Y8" s="49">
        <v>8.9</v>
      </c>
      <c r="Z8" s="49">
        <v>9.3000000000000007</v>
      </c>
      <c r="AA8" s="50">
        <v>13.9</v>
      </c>
      <c r="AB8" s="49">
        <v>12.8</v>
      </c>
      <c r="AC8" s="49">
        <v>9.9</v>
      </c>
      <c r="AD8" s="49">
        <v>13.8</v>
      </c>
      <c r="AE8" s="49">
        <v>12.2</v>
      </c>
      <c r="AF8" s="49">
        <v>13.2</v>
      </c>
      <c r="AG8" s="82">
        <f t="shared" si="0"/>
        <v>281.10000000000008</v>
      </c>
      <c r="AH8" s="48"/>
      <c r="AI8" s="48"/>
    </row>
    <row r="9" spans="1:35" s="44" customFormat="1" ht="18.75" customHeight="1" x14ac:dyDescent="0.35">
      <c r="A9" s="60" t="s">
        <v>66</v>
      </c>
      <c r="B9" s="52">
        <v>8.9</v>
      </c>
      <c r="C9" s="52">
        <v>6.9</v>
      </c>
      <c r="D9" s="52">
        <v>8.8000000000000007</v>
      </c>
      <c r="E9" s="52">
        <v>3.6</v>
      </c>
      <c r="F9" s="52">
        <v>0</v>
      </c>
      <c r="G9" s="52">
        <v>8.9</v>
      </c>
      <c r="H9" s="52">
        <v>9.6</v>
      </c>
      <c r="I9" s="52">
        <v>9.8000000000000007</v>
      </c>
      <c r="J9" s="52">
        <v>8.9</v>
      </c>
      <c r="K9" s="52">
        <v>9.9</v>
      </c>
      <c r="L9" s="52">
        <v>1.9</v>
      </c>
      <c r="M9" s="52">
        <v>0</v>
      </c>
      <c r="N9" s="52">
        <v>8.1999999999999993</v>
      </c>
      <c r="O9" s="52">
        <v>8.1999999999999993</v>
      </c>
      <c r="P9" s="52">
        <v>9.4</v>
      </c>
      <c r="Q9" s="52">
        <v>6.5</v>
      </c>
      <c r="R9" s="52">
        <v>4.3</v>
      </c>
      <c r="S9" s="52">
        <v>2.2000000000000002</v>
      </c>
      <c r="T9" s="52">
        <v>0</v>
      </c>
      <c r="U9" s="52">
        <v>0</v>
      </c>
      <c r="V9" s="52">
        <v>4.7</v>
      </c>
      <c r="W9" s="52">
        <v>8.9</v>
      </c>
      <c r="X9" s="52">
        <v>6.9</v>
      </c>
      <c r="Y9" s="52">
        <v>4.4000000000000004</v>
      </c>
      <c r="Z9" s="52">
        <v>2.6</v>
      </c>
      <c r="AA9" s="52">
        <v>0</v>
      </c>
      <c r="AB9" s="52">
        <v>4.3</v>
      </c>
      <c r="AC9" s="52">
        <v>5.9</v>
      </c>
      <c r="AD9" s="52">
        <v>4.3</v>
      </c>
      <c r="AE9" s="52">
        <v>3.9</v>
      </c>
      <c r="AF9" s="52">
        <v>5.5</v>
      </c>
      <c r="AG9" s="82">
        <f t="shared" si="0"/>
        <v>167.40000000000006</v>
      </c>
      <c r="AH9" s="48"/>
      <c r="AI9" s="48"/>
    </row>
    <row r="10" spans="1:35" s="44" customFormat="1" ht="18.75" customHeight="1" x14ac:dyDescent="0.35">
      <c r="A10" s="60" t="s">
        <v>67</v>
      </c>
      <c r="B10" s="49">
        <v>16</v>
      </c>
      <c r="C10" s="49">
        <v>16.600000000000001</v>
      </c>
      <c r="D10" s="49">
        <v>13</v>
      </c>
      <c r="E10" s="49">
        <f>9.7+5.4</f>
        <v>15.1</v>
      </c>
      <c r="F10" s="49">
        <v>14.4</v>
      </c>
      <c r="G10" s="49">
        <v>15.43</v>
      </c>
      <c r="H10" s="49">
        <v>17.2</v>
      </c>
      <c r="I10" s="49">
        <v>16.7</v>
      </c>
      <c r="J10" s="49">
        <v>15.7</v>
      </c>
      <c r="K10" s="49">
        <v>13.7</v>
      </c>
      <c r="L10" s="49">
        <f>9.7+5.4</f>
        <v>15.1</v>
      </c>
      <c r="M10" s="49">
        <v>16.399999999999999</v>
      </c>
      <c r="N10" s="49">
        <v>15.2</v>
      </c>
      <c r="O10" s="49">
        <v>16.8</v>
      </c>
      <c r="P10" s="49">
        <v>12.3</v>
      </c>
      <c r="Q10" s="49">
        <v>7.5</v>
      </c>
      <c r="R10" s="49">
        <v>16.36</v>
      </c>
      <c r="S10" s="49">
        <v>14.36</v>
      </c>
      <c r="T10" s="49">
        <v>12.92</v>
      </c>
      <c r="U10" s="49">
        <v>18.329999999999998</v>
      </c>
      <c r="V10" s="49">
        <v>21.23</v>
      </c>
      <c r="W10" s="49">
        <v>23.23</v>
      </c>
      <c r="X10" s="49">
        <v>19.329999999999998</v>
      </c>
      <c r="Y10" s="49">
        <v>14.33</v>
      </c>
      <c r="Z10" s="49">
        <v>14.42</v>
      </c>
      <c r="AA10" s="49">
        <v>20.329999999999998</v>
      </c>
      <c r="AB10" s="49">
        <v>20.420000000000002</v>
      </c>
      <c r="AC10" s="49">
        <v>14.33</v>
      </c>
      <c r="AD10" s="49">
        <v>20.149999999999999</v>
      </c>
      <c r="AE10" s="49">
        <v>21.61</v>
      </c>
      <c r="AF10" s="49">
        <v>17.71</v>
      </c>
      <c r="AG10" s="82">
        <f t="shared" si="0"/>
        <v>506.19</v>
      </c>
      <c r="AH10" s="48"/>
      <c r="AI10" s="48"/>
    </row>
    <row r="11" spans="1:35" s="44" customFormat="1" ht="18.75" customHeight="1" x14ac:dyDescent="0.35">
      <c r="A11" s="60" t="s">
        <v>152</v>
      </c>
      <c r="B11" s="50">
        <v>4</v>
      </c>
      <c r="C11" s="49">
        <v>3.9</v>
      </c>
      <c r="D11" s="49">
        <v>2.9</v>
      </c>
      <c r="E11" s="49">
        <v>1</v>
      </c>
      <c r="F11" s="49">
        <v>1</v>
      </c>
      <c r="G11" s="49">
        <v>3.3</v>
      </c>
      <c r="H11" s="49">
        <v>2.9</v>
      </c>
      <c r="I11" s="49">
        <v>3</v>
      </c>
      <c r="J11" s="49">
        <v>3</v>
      </c>
      <c r="K11" s="49">
        <v>3</v>
      </c>
      <c r="L11" s="49">
        <v>1</v>
      </c>
      <c r="M11" s="49">
        <v>1</v>
      </c>
      <c r="N11" s="49">
        <v>3.9</v>
      </c>
      <c r="O11" s="49">
        <v>3.5</v>
      </c>
      <c r="P11" s="49">
        <v>3.9</v>
      </c>
      <c r="Q11" s="49">
        <v>3.5</v>
      </c>
      <c r="R11" s="49">
        <v>3</v>
      </c>
      <c r="S11" s="49">
        <v>2.5</v>
      </c>
      <c r="T11" s="49">
        <v>1</v>
      </c>
      <c r="U11" s="49">
        <v>1</v>
      </c>
      <c r="V11" s="49">
        <v>3.5</v>
      </c>
      <c r="W11" s="49">
        <v>3</v>
      </c>
      <c r="X11" s="49">
        <v>2.9</v>
      </c>
      <c r="Y11" s="49">
        <v>1</v>
      </c>
      <c r="Z11" s="49">
        <v>1</v>
      </c>
      <c r="AA11" s="49">
        <v>1.9</v>
      </c>
      <c r="AB11" s="49">
        <v>3.9</v>
      </c>
      <c r="AC11" s="49">
        <v>3.5</v>
      </c>
      <c r="AD11" s="49">
        <v>1.5</v>
      </c>
      <c r="AE11" s="49">
        <v>2.9</v>
      </c>
      <c r="AF11" s="49">
        <v>2.9</v>
      </c>
      <c r="AG11" s="82">
        <f t="shared" si="0"/>
        <v>80.300000000000011</v>
      </c>
      <c r="AH11" s="48"/>
      <c r="AI11" s="48"/>
    </row>
    <row r="12" spans="1:35" s="44" customFormat="1" ht="33" customHeight="1" x14ac:dyDescent="0.35">
      <c r="A12" s="60" t="s">
        <v>91</v>
      </c>
      <c r="B12" s="50">
        <v>9.4</v>
      </c>
      <c r="C12" s="50">
        <v>8.6</v>
      </c>
      <c r="D12" s="50">
        <v>9.4</v>
      </c>
      <c r="E12" s="50">
        <v>7.4</v>
      </c>
      <c r="F12" s="50">
        <v>8.3000000000000007</v>
      </c>
      <c r="G12" s="50">
        <v>8.4</v>
      </c>
      <c r="H12" s="50">
        <v>7.9</v>
      </c>
      <c r="I12" s="50">
        <v>8.3000000000000007</v>
      </c>
      <c r="J12" s="50">
        <v>7.8</v>
      </c>
      <c r="K12" s="50">
        <v>9.4</v>
      </c>
      <c r="L12" s="50">
        <v>9.3000000000000007</v>
      </c>
      <c r="M12" s="50">
        <v>7.9</v>
      </c>
      <c r="N12" s="50">
        <v>9.1999999999999993</v>
      </c>
      <c r="O12" s="50">
        <v>7.9</v>
      </c>
      <c r="P12" s="50">
        <v>10</v>
      </c>
      <c r="Q12" s="50">
        <v>7.3</v>
      </c>
      <c r="R12" s="50">
        <v>9</v>
      </c>
      <c r="S12" s="50">
        <v>7.5</v>
      </c>
      <c r="T12" s="50">
        <v>9.1999999999999993</v>
      </c>
      <c r="U12" s="50">
        <v>5.0999999999999996</v>
      </c>
      <c r="V12" s="50">
        <v>8</v>
      </c>
      <c r="W12" s="50">
        <v>8.6999999999999993</v>
      </c>
      <c r="X12" s="50">
        <v>10.199999999999999</v>
      </c>
      <c r="Y12" s="50">
        <v>9.1</v>
      </c>
      <c r="Z12" s="50">
        <v>7.6</v>
      </c>
      <c r="AA12" s="50">
        <v>9</v>
      </c>
      <c r="AB12" s="50">
        <v>10.6</v>
      </c>
      <c r="AC12" s="50">
        <v>8.3000000000000007</v>
      </c>
      <c r="AD12" s="49">
        <v>9.1</v>
      </c>
      <c r="AE12" s="49">
        <v>10</v>
      </c>
      <c r="AF12" s="49">
        <v>7.5</v>
      </c>
      <c r="AG12" s="82">
        <f t="shared" si="0"/>
        <v>265.39999999999998</v>
      </c>
    </row>
    <row r="13" spans="1:35" s="44" customFormat="1" ht="21" x14ac:dyDescent="0.35">
      <c r="A13" s="60" t="s">
        <v>69</v>
      </c>
      <c r="B13" s="49">
        <v>2.2000000000000002</v>
      </c>
      <c r="C13" s="49">
        <v>2.2999999999999998</v>
      </c>
      <c r="D13" s="49">
        <v>2.4</v>
      </c>
      <c r="E13" s="49">
        <v>2.5</v>
      </c>
      <c r="F13" s="49">
        <v>2.2000000000000002</v>
      </c>
      <c r="G13" s="49">
        <v>2.4</v>
      </c>
      <c r="H13" s="49">
        <v>2.2999999999999998</v>
      </c>
      <c r="I13" s="49">
        <v>2.4</v>
      </c>
      <c r="J13" s="49">
        <v>2.2000000000000002</v>
      </c>
      <c r="K13" s="49">
        <v>2.2000000000000002</v>
      </c>
      <c r="L13" s="49">
        <v>2.1</v>
      </c>
      <c r="M13" s="49">
        <v>2.2999999999999998</v>
      </c>
      <c r="N13" s="49">
        <v>2.4</v>
      </c>
      <c r="O13" s="49">
        <v>2.4</v>
      </c>
      <c r="P13" s="49">
        <v>2.1</v>
      </c>
      <c r="Q13" s="49">
        <v>2.2999999999999998</v>
      </c>
      <c r="R13" s="49">
        <v>2.2999999999999998</v>
      </c>
      <c r="S13" s="49">
        <v>2.2000000000000002</v>
      </c>
      <c r="T13" s="49">
        <v>2.2000000000000002</v>
      </c>
      <c r="U13" s="49">
        <v>2.1</v>
      </c>
      <c r="V13" s="49">
        <v>2.2999999999999998</v>
      </c>
      <c r="W13" s="49">
        <v>2.2999999999999998</v>
      </c>
      <c r="X13" s="49">
        <v>2.2000000000000002</v>
      </c>
      <c r="Y13" s="49">
        <v>2.4</v>
      </c>
      <c r="Z13" s="49">
        <v>2.1</v>
      </c>
      <c r="AA13" s="49">
        <v>2.2999999999999998</v>
      </c>
      <c r="AB13" s="49">
        <v>2.2000000000000002</v>
      </c>
      <c r="AC13" s="49">
        <v>2.1</v>
      </c>
      <c r="AD13" s="49">
        <v>2.2999999999999998</v>
      </c>
      <c r="AE13" s="49">
        <v>2.2000000000000002</v>
      </c>
      <c r="AF13" s="49">
        <v>2.2999999999999998</v>
      </c>
      <c r="AG13" s="82">
        <f t="shared" si="0"/>
        <v>70.2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82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82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82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>
        <v>2.6</v>
      </c>
      <c r="C17" s="49">
        <v>2.5</v>
      </c>
      <c r="D17" s="49">
        <v>2.4</v>
      </c>
      <c r="E17" s="49">
        <v>2.6</v>
      </c>
      <c r="F17" s="49">
        <v>1.5</v>
      </c>
      <c r="G17" s="50">
        <v>1.5</v>
      </c>
      <c r="H17" s="50">
        <v>1.6</v>
      </c>
      <c r="I17" s="49">
        <v>1.9</v>
      </c>
      <c r="J17" s="49">
        <v>1.5</v>
      </c>
      <c r="K17" s="49">
        <v>1.6</v>
      </c>
      <c r="L17" s="49">
        <v>2.5</v>
      </c>
      <c r="M17" s="49">
        <v>2.2999999999999998</v>
      </c>
      <c r="N17" s="49">
        <v>3.4</v>
      </c>
      <c r="O17" s="49">
        <v>3.2</v>
      </c>
      <c r="P17" s="50">
        <v>3.9</v>
      </c>
      <c r="Q17" s="49">
        <v>1.6</v>
      </c>
      <c r="R17" s="49">
        <v>1.6</v>
      </c>
      <c r="S17" s="50">
        <v>1.7</v>
      </c>
      <c r="T17" s="49">
        <v>1.9</v>
      </c>
      <c r="U17" s="49">
        <v>2.1</v>
      </c>
      <c r="V17" s="49">
        <v>1.7</v>
      </c>
      <c r="W17" s="49">
        <v>1.6</v>
      </c>
      <c r="X17" s="49">
        <v>2.1</v>
      </c>
      <c r="Y17" s="49">
        <v>1.7</v>
      </c>
      <c r="Z17" s="49">
        <v>1.89</v>
      </c>
      <c r="AA17" s="49">
        <v>1.7</v>
      </c>
      <c r="AB17" s="49">
        <v>1.7</v>
      </c>
      <c r="AC17" s="50">
        <v>1.5</v>
      </c>
      <c r="AD17" s="49">
        <v>1.6</v>
      </c>
      <c r="AE17" s="49">
        <v>3.1</v>
      </c>
      <c r="AF17" s="49">
        <v>4.2</v>
      </c>
      <c r="AG17" s="82">
        <f t="shared" si="0"/>
        <v>66.690000000000026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82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82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>
        <v>9.3000000000000007</v>
      </c>
      <c r="C20" s="49">
        <v>12.5</v>
      </c>
      <c r="D20" s="49">
        <v>8.5</v>
      </c>
      <c r="E20" s="49">
        <v>12.3</v>
      </c>
      <c r="F20" s="49">
        <v>9.1</v>
      </c>
      <c r="G20" s="49">
        <v>6</v>
      </c>
      <c r="H20" s="49">
        <v>6.2</v>
      </c>
      <c r="I20" s="49">
        <v>7.2</v>
      </c>
      <c r="J20" s="49">
        <v>7.5</v>
      </c>
      <c r="K20" s="49">
        <v>6.6</v>
      </c>
      <c r="L20" s="49">
        <v>5.0999999999999996</v>
      </c>
      <c r="M20" s="49">
        <v>3.9</v>
      </c>
      <c r="N20" s="49">
        <v>5.2</v>
      </c>
      <c r="O20" s="49">
        <v>7.7</v>
      </c>
      <c r="P20" s="49">
        <v>8.5</v>
      </c>
      <c r="Q20" s="49">
        <v>9.4</v>
      </c>
      <c r="R20" s="49">
        <v>7.8</v>
      </c>
      <c r="S20" s="49">
        <v>9.4</v>
      </c>
      <c r="T20" s="49">
        <v>8.8000000000000007</v>
      </c>
      <c r="U20" s="49">
        <v>9.8000000000000007</v>
      </c>
      <c r="V20" s="49">
        <v>6.2</v>
      </c>
      <c r="W20" s="49">
        <v>6.3</v>
      </c>
      <c r="X20" s="49">
        <v>6.5</v>
      </c>
      <c r="Y20" s="49">
        <v>9.1999999999999993</v>
      </c>
      <c r="Z20" s="49">
        <v>7.3</v>
      </c>
      <c r="AA20" s="49">
        <v>5.5</v>
      </c>
      <c r="AB20" s="49">
        <v>7.3</v>
      </c>
      <c r="AC20" s="49">
        <v>9.6999999999999993</v>
      </c>
      <c r="AD20" s="49">
        <v>10.6</v>
      </c>
      <c r="AE20" s="49">
        <v>11.2</v>
      </c>
      <c r="AF20" s="49">
        <v>10.8</v>
      </c>
      <c r="AG20" s="82">
        <f t="shared" si="0"/>
        <v>251.40000000000003</v>
      </c>
      <c r="AH20" s="48"/>
      <c r="AI20" s="48"/>
    </row>
    <row r="21" spans="1:35" s="44" customFormat="1" ht="18.75" customHeight="1" x14ac:dyDescent="0.35">
      <c r="A21" s="60" t="s">
        <v>74</v>
      </c>
      <c r="B21" s="49">
        <v>9</v>
      </c>
      <c r="C21" s="49">
        <v>6.3</v>
      </c>
      <c r="D21" s="49">
        <v>7.1</v>
      </c>
      <c r="E21" s="49">
        <v>8.6</v>
      </c>
      <c r="F21" s="49">
        <v>6.3</v>
      </c>
      <c r="G21" s="49">
        <v>0</v>
      </c>
      <c r="H21" s="49">
        <v>8.0500000000000007</v>
      </c>
      <c r="I21" s="49">
        <v>7</v>
      </c>
      <c r="J21" s="49">
        <v>8.5</v>
      </c>
      <c r="K21" s="49">
        <v>7.5</v>
      </c>
      <c r="L21" s="49">
        <v>9</v>
      </c>
      <c r="M21" s="49">
        <v>3</v>
      </c>
      <c r="N21" s="49">
        <v>0</v>
      </c>
      <c r="O21" s="49">
        <v>11.7</v>
      </c>
      <c r="P21" s="49">
        <v>7.55</v>
      </c>
      <c r="Q21" s="49">
        <v>5.65</v>
      </c>
      <c r="R21" s="49">
        <v>7.3</v>
      </c>
      <c r="S21" s="49">
        <v>6.4</v>
      </c>
      <c r="T21" s="49">
        <v>9.3000000000000007</v>
      </c>
      <c r="U21" s="49">
        <v>9.8000000000000007</v>
      </c>
      <c r="V21" s="49">
        <v>9.5</v>
      </c>
      <c r="W21" s="49">
        <v>9</v>
      </c>
      <c r="X21" s="49">
        <v>8.5</v>
      </c>
      <c r="Y21" s="49">
        <v>9.5</v>
      </c>
      <c r="Z21" s="49">
        <v>8.5</v>
      </c>
      <c r="AA21" s="49">
        <v>0</v>
      </c>
      <c r="AB21" s="49">
        <v>9.1</v>
      </c>
      <c r="AC21" s="49">
        <v>10.4</v>
      </c>
      <c r="AD21" s="49">
        <v>11.6</v>
      </c>
      <c r="AE21" s="49">
        <v>9.6</v>
      </c>
      <c r="AF21" s="49">
        <v>3.4</v>
      </c>
      <c r="AG21" s="82">
        <f t="shared" si="0"/>
        <v>227.15</v>
      </c>
      <c r="AH21" s="48"/>
      <c r="AI21" s="48"/>
    </row>
    <row r="22" spans="1:35" s="44" customFormat="1" ht="18.75" customHeight="1" x14ac:dyDescent="0.35">
      <c r="A22" s="60" t="s">
        <v>75</v>
      </c>
      <c r="B22" s="50">
        <v>0.7</v>
      </c>
      <c r="C22" s="50">
        <v>0.4</v>
      </c>
      <c r="D22" s="50">
        <v>0.5</v>
      </c>
      <c r="E22" s="50">
        <v>6.1</v>
      </c>
      <c r="F22" s="50">
        <v>5.3</v>
      </c>
      <c r="G22" s="50">
        <v>1.7</v>
      </c>
      <c r="H22" s="50">
        <v>1.5</v>
      </c>
      <c r="I22" s="50">
        <v>2</v>
      </c>
      <c r="J22" s="50">
        <v>1.6</v>
      </c>
      <c r="K22" s="50">
        <v>1.7</v>
      </c>
      <c r="L22" s="50">
        <v>1</v>
      </c>
      <c r="M22" s="50">
        <v>1.9</v>
      </c>
      <c r="N22" s="50">
        <v>1.8</v>
      </c>
      <c r="O22" s="50">
        <v>0.7</v>
      </c>
      <c r="P22" s="50">
        <v>0.6</v>
      </c>
      <c r="Q22" s="50">
        <v>0.4</v>
      </c>
      <c r="R22" s="50">
        <v>0.8</v>
      </c>
      <c r="S22" s="50">
        <v>0.4</v>
      </c>
      <c r="T22" s="50">
        <v>0</v>
      </c>
      <c r="U22" s="50">
        <v>0</v>
      </c>
      <c r="V22" s="50">
        <v>1.6</v>
      </c>
      <c r="W22" s="50">
        <v>2.7</v>
      </c>
      <c r="X22" s="50">
        <v>2.4</v>
      </c>
      <c r="Y22" s="50">
        <v>1.7</v>
      </c>
      <c r="Z22" s="50">
        <v>0</v>
      </c>
      <c r="AA22" s="50">
        <v>0</v>
      </c>
      <c r="AB22" s="50">
        <v>0.5</v>
      </c>
      <c r="AC22" s="50">
        <v>6</v>
      </c>
      <c r="AD22" s="49">
        <v>7.1</v>
      </c>
      <c r="AE22" s="49">
        <v>5.0999999999999996</v>
      </c>
      <c r="AF22" s="49">
        <v>5.2</v>
      </c>
      <c r="AG22" s="82">
        <f t="shared" si="0"/>
        <v>61.400000000000006</v>
      </c>
      <c r="AH22" s="48"/>
      <c r="AI22" s="48"/>
    </row>
    <row r="23" spans="1:35" s="44" customFormat="1" ht="18.75" customHeight="1" x14ac:dyDescent="0.35">
      <c r="A23" s="60" t="s">
        <v>77</v>
      </c>
      <c r="B23" s="51">
        <v>2.1</v>
      </c>
      <c r="C23" s="51">
        <v>2.2000000000000002</v>
      </c>
      <c r="D23" s="51">
        <v>2.1</v>
      </c>
      <c r="E23" s="51">
        <v>0</v>
      </c>
      <c r="F23" s="51">
        <v>0</v>
      </c>
      <c r="G23" s="51">
        <v>2.1</v>
      </c>
      <c r="H23" s="51">
        <v>2.2999999999999998</v>
      </c>
      <c r="I23" s="51">
        <v>2.2000000000000002</v>
      </c>
      <c r="J23" s="51">
        <v>2.2999999999999998</v>
      </c>
      <c r="K23" s="51">
        <v>2.11</v>
      </c>
      <c r="L23" s="51">
        <v>0</v>
      </c>
      <c r="M23" s="51">
        <v>0</v>
      </c>
      <c r="N23" s="51">
        <v>2.2000000000000002</v>
      </c>
      <c r="O23" s="51">
        <v>2.2999999999999998</v>
      </c>
      <c r="P23" s="51">
        <v>2.1</v>
      </c>
      <c r="Q23" s="51">
        <v>2.2000000000000002</v>
      </c>
      <c r="R23" s="51">
        <v>0</v>
      </c>
      <c r="S23" s="51">
        <v>0</v>
      </c>
      <c r="T23" s="51">
        <v>0</v>
      </c>
      <c r="U23" s="51">
        <v>2.2000000000000002</v>
      </c>
      <c r="V23" s="51">
        <v>2.4</v>
      </c>
      <c r="W23" s="51">
        <v>2.2999999999999998</v>
      </c>
      <c r="X23" s="51">
        <v>2.1</v>
      </c>
      <c r="Y23" s="51">
        <v>2.2000000000000002</v>
      </c>
      <c r="Z23" s="51">
        <v>0</v>
      </c>
      <c r="AA23" s="51">
        <v>0</v>
      </c>
      <c r="AB23" s="51">
        <v>2.2999999999999998</v>
      </c>
      <c r="AC23" s="51">
        <v>2.4</v>
      </c>
      <c r="AD23" s="51">
        <v>2.2999999999999998</v>
      </c>
      <c r="AE23" s="51">
        <v>2.2000000000000002</v>
      </c>
      <c r="AF23" s="51">
        <v>2</v>
      </c>
      <c r="AG23" s="82">
        <f t="shared" si="0"/>
        <v>48.61</v>
      </c>
      <c r="AH23" s="48"/>
      <c r="AI23" s="48"/>
    </row>
    <row r="24" spans="1:35" s="44" customFormat="1" ht="18.75" customHeight="1" x14ac:dyDescent="0.35">
      <c r="A24" s="60" t="s">
        <v>78</v>
      </c>
      <c r="B24" s="49">
        <v>8.1999999999999993</v>
      </c>
      <c r="C24" s="49">
        <v>8.9</v>
      </c>
      <c r="D24" s="49">
        <v>7.2</v>
      </c>
      <c r="E24" s="49">
        <v>7.5</v>
      </c>
      <c r="F24" s="49">
        <v>5.5</v>
      </c>
      <c r="G24" s="49">
        <v>6.7</v>
      </c>
      <c r="H24" s="49">
        <v>6.7</v>
      </c>
      <c r="I24" s="49">
        <v>8.5</v>
      </c>
      <c r="J24" s="49">
        <v>8</v>
      </c>
      <c r="K24" s="49">
        <v>8.3000000000000007</v>
      </c>
      <c r="L24" s="49">
        <v>6.4</v>
      </c>
      <c r="M24" s="49">
        <v>11.6</v>
      </c>
      <c r="N24" s="49">
        <v>10.6</v>
      </c>
      <c r="O24" s="49">
        <v>7.8</v>
      </c>
      <c r="P24" s="49">
        <v>5.5</v>
      </c>
      <c r="Q24" s="49">
        <v>7</v>
      </c>
      <c r="R24" s="49">
        <v>6.9</v>
      </c>
      <c r="S24" s="49">
        <v>6.5</v>
      </c>
      <c r="T24" s="49">
        <v>7.1</v>
      </c>
      <c r="U24" s="49">
        <v>7.5</v>
      </c>
      <c r="V24" s="49">
        <v>6.2</v>
      </c>
      <c r="W24" s="49">
        <v>5.7</v>
      </c>
      <c r="X24" s="49">
        <v>6.5</v>
      </c>
      <c r="Y24" s="49">
        <v>6.7</v>
      </c>
      <c r="Z24" s="49">
        <v>5.9</v>
      </c>
      <c r="AA24" s="49">
        <v>6.1</v>
      </c>
      <c r="AB24" s="49">
        <v>7</v>
      </c>
      <c r="AC24" s="49">
        <v>6.5</v>
      </c>
      <c r="AD24" s="49">
        <v>6.3</v>
      </c>
      <c r="AE24" s="49">
        <v>4.7</v>
      </c>
      <c r="AF24" s="49">
        <v>6.6</v>
      </c>
      <c r="AG24" s="82">
        <f t="shared" si="0"/>
        <v>220.59999999999994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82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>
        <v>0.4</v>
      </c>
      <c r="C26" s="52">
        <v>0.3</v>
      </c>
      <c r="D26" s="52">
        <v>0.7</v>
      </c>
      <c r="E26" s="52">
        <v>0.5</v>
      </c>
      <c r="F26" s="52">
        <v>0</v>
      </c>
      <c r="G26" s="52">
        <v>0.9</v>
      </c>
      <c r="H26" s="52">
        <v>0.9</v>
      </c>
      <c r="I26" s="52">
        <v>0.8</v>
      </c>
      <c r="J26" s="52">
        <v>0.9</v>
      </c>
      <c r="K26" s="52">
        <v>0.8</v>
      </c>
      <c r="L26" s="52">
        <v>0.8</v>
      </c>
      <c r="M26" s="52">
        <v>0</v>
      </c>
      <c r="N26" s="52">
        <v>1</v>
      </c>
      <c r="O26" s="52">
        <v>1.3</v>
      </c>
      <c r="P26" s="52">
        <v>0.8</v>
      </c>
      <c r="Q26" s="52">
        <v>0.9</v>
      </c>
      <c r="R26" s="52">
        <v>0.8</v>
      </c>
      <c r="S26" s="52">
        <v>0.7</v>
      </c>
      <c r="T26" s="52">
        <v>0</v>
      </c>
      <c r="U26" s="52">
        <v>0</v>
      </c>
      <c r="V26" s="52">
        <v>0.9</v>
      </c>
      <c r="W26" s="52">
        <v>0.9</v>
      </c>
      <c r="X26" s="52">
        <v>0.8</v>
      </c>
      <c r="Y26" s="52">
        <v>0.9</v>
      </c>
      <c r="Z26" s="52">
        <v>1</v>
      </c>
      <c r="AA26" s="52">
        <v>0</v>
      </c>
      <c r="AB26" s="52">
        <v>0.9</v>
      </c>
      <c r="AC26" s="52">
        <v>0.9</v>
      </c>
      <c r="AD26" s="52">
        <v>0.9</v>
      </c>
      <c r="AE26" s="52">
        <v>0.9</v>
      </c>
      <c r="AF26" s="52">
        <v>1.3</v>
      </c>
      <c r="AG26" s="82">
        <f t="shared" si="0"/>
        <v>21.9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82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>
        <v>2</v>
      </c>
      <c r="C28" s="49">
        <v>2.5</v>
      </c>
      <c r="D28" s="49">
        <v>3</v>
      </c>
      <c r="E28" s="49">
        <v>2</v>
      </c>
      <c r="F28" s="49">
        <v>1.2</v>
      </c>
      <c r="G28" s="49">
        <v>0</v>
      </c>
      <c r="H28" s="49">
        <v>3</v>
      </c>
      <c r="I28" s="49">
        <v>2</v>
      </c>
      <c r="J28" s="49">
        <v>2.5</v>
      </c>
      <c r="K28" s="49">
        <v>3</v>
      </c>
      <c r="L28" s="49">
        <v>2.5</v>
      </c>
      <c r="M28" s="49">
        <v>3</v>
      </c>
      <c r="N28" s="49">
        <v>0</v>
      </c>
      <c r="O28" s="49">
        <v>1.5</v>
      </c>
      <c r="P28" s="49">
        <v>2.95</v>
      </c>
      <c r="Q28" s="49">
        <v>0.35</v>
      </c>
      <c r="R28" s="49">
        <v>2.6</v>
      </c>
      <c r="S28" s="49">
        <v>1.9</v>
      </c>
      <c r="T28" s="49">
        <v>1</v>
      </c>
      <c r="U28" s="49">
        <v>2.5</v>
      </c>
      <c r="V28" s="49">
        <v>2.5</v>
      </c>
      <c r="W28" s="49">
        <v>2.8</v>
      </c>
      <c r="X28" s="49">
        <v>4.25</v>
      </c>
      <c r="Y28" s="49">
        <v>1.45</v>
      </c>
      <c r="Z28" s="49">
        <v>1.45</v>
      </c>
      <c r="AA28" s="49">
        <v>0</v>
      </c>
      <c r="AB28" s="49">
        <v>1.9</v>
      </c>
      <c r="AC28" s="49">
        <v>1</v>
      </c>
      <c r="AD28" s="49">
        <v>1.4</v>
      </c>
      <c r="AE28" s="49">
        <v>1.9</v>
      </c>
      <c r="AF28" s="49">
        <v>1.4</v>
      </c>
      <c r="AG28" s="82">
        <f t="shared" si="0"/>
        <v>59.55</v>
      </c>
      <c r="AH28" s="48"/>
      <c r="AI28" s="48"/>
    </row>
    <row r="29" spans="1:35" s="44" customFormat="1" ht="18.75" customHeight="1" x14ac:dyDescent="0.35">
      <c r="A29" s="60" t="s">
        <v>81</v>
      </c>
      <c r="B29" s="49">
        <f>2.1+1.7+6.3+3.8+2.8</f>
        <v>16.7</v>
      </c>
      <c r="C29" s="49">
        <f>2.3+1.9+7+7.5+1.5</f>
        <v>20.2</v>
      </c>
      <c r="D29" s="49">
        <f>1.9+2.7+6.5+7.5+3.5</f>
        <v>22.1</v>
      </c>
      <c r="E29" s="49">
        <f>3.9+1.7+3.5+3.5+4</f>
        <v>16.600000000000001</v>
      </c>
      <c r="F29" s="49">
        <f>3.1+7.5+3+7.6</f>
        <v>21.2</v>
      </c>
      <c r="G29" s="49">
        <f>5.7+1.9+5+3+3.6</f>
        <v>19.2</v>
      </c>
      <c r="H29" s="49">
        <f>5.3+1+4.5+4.6+4.2</f>
        <v>19.600000000000001</v>
      </c>
      <c r="I29" s="49">
        <f>5.6+1.2+6.7+4+2.8</f>
        <v>20.3</v>
      </c>
      <c r="J29" s="49">
        <f>1.9+5.7+3+2.5</f>
        <v>13.1</v>
      </c>
      <c r="K29" s="49">
        <f>3.1+1.7+6+5+4.8</f>
        <v>20.6</v>
      </c>
      <c r="L29" s="49">
        <f>5.3+5+4.9+5.7+1.7</f>
        <v>22.6</v>
      </c>
      <c r="M29" s="49">
        <f>2.7+4.5+4.6+4.7</f>
        <v>16.5</v>
      </c>
      <c r="N29" s="49">
        <f>8+3.5+4.5+5.6+3.1</f>
        <v>24.700000000000003</v>
      </c>
      <c r="O29" s="49">
        <f>2.7+1.3+7.9+3+7.5</f>
        <v>22.4</v>
      </c>
      <c r="P29" s="49">
        <f>8+7.3+5.2+3.8+2.7</f>
        <v>27</v>
      </c>
      <c r="Q29" s="49">
        <f>5.6+0.4+3.8+5.3+4.9</f>
        <v>20</v>
      </c>
      <c r="R29" s="49">
        <f>1.9+3.1+3.7+2.9+3.9</f>
        <v>15.5</v>
      </c>
      <c r="S29" s="49">
        <f>2.7+1.1+4.5+3.2+4.3</f>
        <v>15.8</v>
      </c>
      <c r="T29" s="49">
        <f>4+5.3+7.3+2.4+2.7</f>
        <v>21.7</v>
      </c>
      <c r="U29" s="49">
        <f>2.3+1.9+6.5+5+4.5</f>
        <v>20.2</v>
      </c>
      <c r="V29" s="49">
        <f>8.5+8.7+4.5+2.9+2.1</f>
        <v>26.7</v>
      </c>
      <c r="W29" s="49">
        <f>4.1+3.5+3.6+3.2</f>
        <v>14.399999999999999</v>
      </c>
      <c r="X29" s="49">
        <f>3.5+3+4.3+2.1+0.7</f>
        <v>13.6</v>
      </c>
      <c r="Y29" s="49">
        <f>5+0.3+3.9+3.2</f>
        <v>12.399999999999999</v>
      </c>
      <c r="Z29" s="49">
        <f>2.3+3.9+3.1+2.3+2.7</f>
        <v>14.299999999999997</v>
      </c>
      <c r="AA29" s="49">
        <f>5.7+1+8+5.7+5</f>
        <v>25.4</v>
      </c>
      <c r="AB29" s="49">
        <f>1.2+1.5+6.5+5.4+6.3</f>
        <v>20.9</v>
      </c>
      <c r="AC29" s="49">
        <f>5.6+1.1+6.5+4.3+4.3</f>
        <v>21.8</v>
      </c>
      <c r="AD29" s="49">
        <f>2.1+1.9+8.4+4.6+4.3</f>
        <v>21.3</v>
      </c>
      <c r="AE29" s="49">
        <f>2.7+3.1+3+4.5+3.6</f>
        <v>16.900000000000002</v>
      </c>
      <c r="AF29" s="49">
        <f>3.5+2.7+3.6+2.3+3.1</f>
        <v>15.200000000000001</v>
      </c>
      <c r="AG29" s="82">
        <f t="shared" si="0"/>
        <v>598.89999999999986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49"/>
      <c r="AG30" s="82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>
        <f>11.85+9.66+7.85</f>
        <v>29.36</v>
      </c>
      <c r="C31" s="49">
        <f>12.9+8.9+10</f>
        <v>31.8</v>
      </c>
      <c r="D31" s="49">
        <f>10.55+9.55+11.55</f>
        <v>31.650000000000002</v>
      </c>
      <c r="E31" s="49">
        <f>10.55+11.35+9.45</f>
        <v>31.349999999999998</v>
      </c>
      <c r="F31" s="49">
        <f>5.4+7.1+6.4</f>
        <v>18.899999999999999</v>
      </c>
      <c r="G31" s="49">
        <f>7+6.4+5.4</f>
        <v>18.8</v>
      </c>
      <c r="H31" s="49">
        <f>9.5+6.5+5.4</f>
        <v>21.4</v>
      </c>
      <c r="I31" s="49">
        <f>9.5+6.5+7.3</f>
        <v>23.3</v>
      </c>
      <c r="J31" s="49">
        <f>11.9+9.8+7.3</f>
        <v>29.000000000000004</v>
      </c>
      <c r="K31" s="49">
        <f>11.8+9.7+6.9</f>
        <v>28.4</v>
      </c>
      <c r="L31" s="49">
        <f>11.85+11.95+6.75</f>
        <v>30.549999999999997</v>
      </c>
      <c r="M31" s="49">
        <f>12.55+9.55+7.35</f>
        <v>29.450000000000003</v>
      </c>
      <c r="N31" s="49">
        <f>8.4+10.3+4</f>
        <v>22.700000000000003</v>
      </c>
      <c r="O31" s="49">
        <f>10.4+9.5+9.6</f>
        <v>29.5</v>
      </c>
      <c r="P31" s="49">
        <f>10.4+7.3+5.6</f>
        <v>23.299999999999997</v>
      </c>
      <c r="Q31" s="49">
        <f>10.4+9.3+7.3</f>
        <v>27.000000000000004</v>
      </c>
      <c r="R31" s="49">
        <f>11.9+9.8+8.3</f>
        <v>30.000000000000004</v>
      </c>
      <c r="S31" s="49">
        <f>11.95+10.35+9.85</f>
        <v>32.15</v>
      </c>
      <c r="T31" s="49">
        <f>11.55+10.35+9.45</f>
        <v>31.349999999999998</v>
      </c>
      <c r="U31" s="49">
        <f>11.85+10.95+9.35</f>
        <v>32.15</v>
      </c>
      <c r="V31" s="49">
        <f>8+6.4+7.1</f>
        <v>21.5</v>
      </c>
      <c r="W31" s="49">
        <f>7+4.6+8.1</f>
        <v>19.7</v>
      </c>
      <c r="X31" s="49">
        <f>9.4+5.1+3.1</f>
        <v>17.600000000000001</v>
      </c>
      <c r="Y31" s="49">
        <f>10.3+9.3+7.3</f>
        <v>26.900000000000002</v>
      </c>
      <c r="Z31" s="49">
        <f>11.55+12.1</f>
        <v>23.65</v>
      </c>
      <c r="AA31" s="49">
        <f>11.2+9.4+8.7</f>
        <v>29.3</v>
      </c>
      <c r="AB31" s="49">
        <f>11.55+10.55+10.55</f>
        <v>32.650000000000006</v>
      </c>
      <c r="AC31" s="49">
        <f>8.55+7.55+6.75</f>
        <v>22.85</v>
      </c>
      <c r="AD31" s="49">
        <f>8+9+7</f>
        <v>24</v>
      </c>
      <c r="AE31" s="49">
        <f>8+7.1+5.4</f>
        <v>20.5</v>
      </c>
      <c r="AF31" s="49">
        <f>10.4+9+7.3</f>
        <v>26.7</v>
      </c>
      <c r="AG31" s="82">
        <f t="shared" si="0"/>
        <v>817.46</v>
      </c>
      <c r="AH31" s="48"/>
      <c r="AI31" s="48"/>
    </row>
    <row r="32" spans="1:35" s="44" customFormat="1" ht="18.75" customHeight="1" x14ac:dyDescent="0.35">
      <c r="A32" s="60" t="s">
        <v>178</v>
      </c>
      <c r="B32" s="52">
        <v>1.2</v>
      </c>
      <c r="C32" s="52">
        <v>1.5</v>
      </c>
      <c r="D32" s="52">
        <v>1</v>
      </c>
      <c r="E32" s="52">
        <v>1.1000000000000001</v>
      </c>
      <c r="F32" s="52">
        <v>1.2</v>
      </c>
      <c r="G32" s="52">
        <v>0.8</v>
      </c>
      <c r="H32" s="52">
        <v>1</v>
      </c>
      <c r="I32" s="52">
        <v>0.9</v>
      </c>
      <c r="J32" s="52">
        <v>1.5</v>
      </c>
      <c r="K32" s="52">
        <v>1</v>
      </c>
      <c r="L32" s="52">
        <v>1</v>
      </c>
      <c r="M32" s="52">
        <v>1.5</v>
      </c>
      <c r="N32" s="52">
        <v>1</v>
      </c>
      <c r="O32" s="52">
        <v>1.3</v>
      </c>
      <c r="P32" s="52">
        <v>1.3</v>
      </c>
      <c r="Q32" s="52">
        <v>1.2</v>
      </c>
      <c r="R32" s="52">
        <v>1</v>
      </c>
      <c r="S32" s="52">
        <v>1.2</v>
      </c>
      <c r="T32" s="52">
        <v>0.8</v>
      </c>
      <c r="U32" s="52">
        <v>1</v>
      </c>
      <c r="V32" s="52">
        <v>1</v>
      </c>
      <c r="W32" s="52">
        <v>0.8</v>
      </c>
      <c r="X32" s="52">
        <v>1.2</v>
      </c>
      <c r="Y32" s="52">
        <v>1.5</v>
      </c>
      <c r="Z32" s="52">
        <v>1</v>
      </c>
      <c r="AA32" s="52">
        <v>1.2</v>
      </c>
      <c r="AB32" s="52">
        <v>1</v>
      </c>
      <c r="AC32" s="52">
        <v>1.6</v>
      </c>
      <c r="AD32" s="52">
        <v>1.3</v>
      </c>
      <c r="AE32" s="52">
        <v>1.2</v>
      </c>
      <c r="AF32" s="52">
        <v>2</v>
      </c>
      <c r="AG32" s="82">
        <f t="shared" si="0"/>
        <v>36.300000000000004</v>
      </c>
      <c r="AH32" s="48"/>
      <c r="AI32" s="48"/>
    </row>
    <row r="33" spans="1:35" s="44" customFormat="1" ht="18.75" customHeight="1" x14ac:dyDescent="0.35">
      <c r="A33" s="59" t="s">
        <v>155</v>
      </c>
      <c r="B33" s="177">
        <f t="shared" ref="B33:AF33" si="1">SUM(B3:B32)</f>
        <v>143.66</v>
      </c>
      <c r="C33" s="177">
        <f t="shared" si="1"/>
        <v>153.00000000000003</v>
      </c>
      <c r="D33" s="177">
        <f t="shared" si="1"/>
        <v>147.65</v>
      </c>
      <c r="E33" s="177">
        <f t="shared" si="1"/>
        <v>140.94999999999999</v>
      </c>
      <c r="F33" s="177">
        <f t="shared" si="1"/>
        <v>117.2</v>
      </c>
      <c r="G33" s="177">
        <f t="shared" si="1"/>
        <v>117.92999999999999</v>
      </c>
      <c r="H33" s="177">
        <f t="shared" si="1"/>
        <v>133.55000000000001</v>
      </c>
      <c r="I33" s="177">
        <f t="shared" si="1"/>
        <v>137.30000000000001</v>
      </c>
      <c r="J33" s="177">
        <f t="shared" si="1"/>
        <v>134.69999999999999</v>
      </c>
      <c r="K33" s="177">
        <f t="shared" si="1"/>
        <v>142.31</v>
      </c>
      <c r="L33" s="177">
        <f t="shared" si="1"/>
        <v>130.94999999999999</v>
      </c>
      <c r="M33" s="177">
        <f t="shared" si="1"/>
        <v>121.74999999999999</v>
      </c>
      <c r="N33" s="177">
        <f t="shared" si="1"/>
        <v>131.89999999999998</v>
      </c>
      <c r="O33" s="177">
        <f t="shared" si="1"/>
        <v>148.6</v>
      </c>
      <c r="P33" s="177">
        <f t="shared" si="1"/>
        <v>144.6</v>
      </c>
      <c r="Q33" s="177">
        <f t="shared" si="1"/>
        <v>126.60000000000001</v>
      </c>
      <c r="R33" s="177">
        <f t="shared" si="1"/>
        <v>137.26</v>
      </c>
      <c r="S33" s="177">
        <f t="shared" si="1"/>
        <v>125.11000000000003</v>
      </c>
      <c r="T33" s="177">
        <f t="shared" si="1"/>
        <v>126.47</v>
      </c>
      <c r="U33" s="177">
        <f t="shared" si="1"/>
        <v>138.18</v>
      </c>
      <c r="V33" s="177">
        <f t="shared" si="1"/>
        <v>141.03000000000003</v>
      </c>
      <c r="W33" s="177">
        <f t="shared" si="1"/>
        <v>134.72999999999999</v>
      </c>
      <c r="X33" s="177">
        <f t="shared" si="1"/>
        <v>133.17999999999998</v>
      </c>
      <c r="Y33" s="177">
        <f t="shared" si="1"/>
        <v>120.28000000000003</v>
      </c>
      <c r="Z33" s="177">
        <f t="shared" si="1"/>
        <v>119.31</v>
      </c>
      <c r="AA33" s="177">
        <f t="shared" si="1"/>
        <v>127.32999999999998</v>
      </c>
      <c r="AB33" s="177">
        <f t="shared" si="1"/>
        <v>150.37</v>
      </c>
      <c r="AC33" s="177">
        <f t="shared" si="1"/>
        <v>142.28</v>
      </c>
      <c r="AD33" s="177">
        <f t="shared" si="1"/>
        <v>156.64999999999998</v>
      </c>
      <c r="AE33" s="177">
        <f t="shared" si="1"/>
        <v>145.01</v>
      </c>
      <c r="AF33" s="177">
        <f t="shared" si="1"/>
        <v>139.81</v>
      </c>
      <c r="AG33" s="83">
        <f>SUM(B33:AF33)</f>
        <v>4209.6500000000005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169">
        <f>SUM(AG3:AG31)</f>
        <v>4173.3500000000004</v>
      </c>
      <c r="AH34" s="48"/>
      <c r="AI34" s="48"/>
    </row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36.42578125" customWidth="1"/>
    <col min="2" max="32" width="7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40.5" x14ac:dyDescent="0.35">
      <c r="A3" s="63" t="s">
        <v>94</v>
      </c>
      <c r="B3" s="49">
        <v>3</v>
      </c>
      <c r="C3" s="49">
        <v>2.5</v>
      </c>
      <c r="D3" s="49">
        <v>1.8</v>
      </c>
      <c r="E3" s="49">
        <v>2</v>
      </c>
      <c r="F3" s="49">
        <v>3.5</v>
      </c>
      <c r="G3" s="49">
        <v>4</v>
      </c>
      <c r="H3" s="49">
        <v>0</v>
      </c>
      <c r="I3" s="49">
        <v>3</v>
      </c>
      <c r="J3" s="49">
        <v>3.5</v>
      </c>
      <c r="K3" s="49">
        <v>4.5</v>
      </c>
      <c r="L3" s="49">
        <v>5</v>
      </c>
      <c r="M3" s="49">
        <v>3.5</v>
      </c>
      <c r="N3" s="49">
        <v>3.5</v>
      </c>
      <c r="O3" s="50">
        <v>4</v>
      </c>
      <c r="P3" s="49">
        <v>4</v>
      </c>
      <c r="Q3" s="49">
        <v>3.5</v>
      </c>
      <c r="R3" s="49">
        <v>3.5</v>
      </c>
      <c r="S3" s="49">
        <v>2.8</v>
      </c>
      <c r="T3" s="49">
        <v>2.5</v>
      </c>
      <c r="U3" s="49">
        <v>3.5</v>
      </c>
      <c r="V3" s="50">
        <v>4</v>
      </c>
      <c r="W3" s="49">
        <v>3.5</v>
      </c>
      <c r="X3" s="49">
        <v>0</v>
      </c>
      <c r="Y3" s="49">
        <v>3.5</v>
      </c>
      <c r="Z3" s="49">
        <v>2</v>
      </c>
      <c r="AA3" s="49">
        <v>1.5</v>
      </c>
      <c r="AB3" s="49">
        <v>2.8</v>
      </c>
      <c r="AC3" s="50">
        <v>4</v>
      </c>
      <c r="AD3" s="49">
        <v>3.5</v>
      </c>
      <c r="AE3" s="49">
        <v>3.8</v>
      </c>
      <c r="AF3" s="49"/>
      <c r="AG3" s="82">
        <f t="shared" ref="AG3:AG31" si="0">SUM(B3:AF3)</f>
        <v>92.199999999999989</v>
      </c>
      <c r="AH3" s="47"/>
      <c r="AI3" s="48"/>
    </row>
    <row r="4" spans="1:35" s="44" customFormat="1" ht="30.75" customHeight="1" x14ac:dyDescent="0.35">
      <c r="A4" s="60" t="s">
        <v>247</v>
      </c>
      <c r="B4" s="49">
        <v>4</v>
      </c>
      <c r="C4" s="49">
        <v>5</v>
      </c>
      <c r="D4" s="49">
        <v>4</v>
      </c>
      <c r="E4" s="49">
        <v>3</v>
      </c>
      <c r="F4" s="49">
        <v>4.5999999999999996</v>
      </c>
      <c r="G4" s="49">
        <v>5</v>
      </c>
      <c r="H4" s="175">
        <v>5</v>
      </c>
      <c r="I4" s="49">
        <v>4</v>
      </c>
      <c r="J4" s="49">
        <v>3</v>
      </c>
      <c r="K4" s="49">
        <v>4</v>
      </c>
      <c r="L4" s="49">
        <v>4</v>
      </c>
      <c r="M4" s="49">
        <v>3</v>
      </c>
      <c r="N4" s="49">
        <v>4</v>
      </c>
      <c r="O4" s="49">
        <v>3</v>
      </c>
      <c r="P4" s="49">
        <v>5</v>
      </c>
      <c r="Q4" s="49">
        <v>5</v>
      </c>
      <c r="R4" s="49">
        <v>4</v>
      </c>
      <c r="S4" s="49">
        <v>5</v>
      </c>
      <c r="T4" s="49">
        <v>5</v>
      </c>
      <c r="U4" s="49">
        <v>4</v>
      </c>
      <c r="V4" s="49">
        <v>5</v>
      </c>
      <c r="W4" s="49">
        <v>5</v>
      </c>
      <c r="X4" s="49">
        <v>4</v>
      </c>
      <c r="Y4" s="49">
        <v>5</v>
      </c>
      <c r="Z4" s="49">
        <v>4</v>
      </c>
      <c r="AA4" s="49">
        <v>4</v>
      </c>
      <c r="AB4" s="49">
        <v>5</v>
      </c>
      <c r="AC4" s="49">
        <v>3</v>
      </c>
      <c r="AD4" s="49">
        <v>3</v>
      </c>
      <c r="AE4" s="49">
        <v>5</v>
      </c>
      <c r="AF4" s="49"/>
      <c r="AG4" s="82">
        <f t="shared" si="0"/>
        <v>126.6</v>
      </c>
      <c r="AH4" s="47"/>
      <c r="AI4" s="48"/>
    </row>
    <row r="5" spans="1:35" s="44" customFormat="1" ht="18.75" customHeight="1" x14ac:dyDescent="0.35">
      <c r="A5" s="81" t="s">
        <v>83</v>
      </c>
      <c r="B5" s="49">
        <v>2.2999999999999998</v>
      </c>
      <c r="C5" s="49">
        <v>2.4</v>
      </c>
      <c r="D5" s="49">
        <v>3.9</v>
      </c>
      <c r="E5" s="49">
        <v>4.0999999999999996</v>
      </c>
      <c r="F5" s="49">
        <v>4.2</v>
      </c>
      <c r="G5" s="49">
        <v>2.9</v>
      </c>
      <c r="H5" s="49">
        <v>2.2999999999999998</v>
      </c>
      <c r="I5" s="49">
        <v>2.4</v>
      </c>
      <c r="J5" s="49">
        <v>2.2999999999999998</v>
      </c>
      <c r="K5" s="49">
        <v>2.7</v>
      </c>
      <c r="L5" s="49">
        <v>1.8</v>
      </c>
      <c r="M5" s="49">
        <v>2.8</v>
      </c>
      <c r="N5" s="49">
        <v>2.2999999999999998</v>
      </c>
      <c r="O5" s="49">
        <v>3.2</v>
      </c>
      <c r="P5" s="49">
        <v>2.8</v>
      </c>
      <c r="Q5" s="49">
        <v>2</v>
      </c>
      <c r="R5" s="49">
        <v>3.9</v>
      </c>
      <c r="S5" s="49">
        <v>3.6</v>
      </c>
      <c r="T5" s="49">
        <v>2.2999999999999998</v>
      </c>
      <c r="U5" s="49">
        <v>2.2000000000000002</v>
      </c>
      <c r="V5" s="49">
        <v>2.7</v>
      </c>
      <c r="W5" s="49">
        <v>2.6</v>
      </c>
      <c r="X5" s="49">
        <v>3.9</v>
      </c>
      <c r="Y5" s="49">
        <v>3</v>
      </c>
      <c r="Z5" s="49">
        <v>2.7</v>
      </c>
      <c r="AA5" s="49">
        <v>2.7</v>
      </c>
      <c r="AB5" s="49">
        <v>2.7</v>
      </c>
      <c r="AC5" s="49">
        <v>2.8</v>
      </c>
      <c r="AD5" s="49">
        <v>3</v>
      </c>
      <c r="AE5" s="49">
        <v>0</v>
      </c>
      <c r="AF5" s="49"/>
      <c r="AG5" s="82">
        <f t="shared" si="0"/>
        <v>82.5</v>
      </c>
      <c r="AH5" s="48"/>
      <c r="AI5" s="48"/>
    </row>
    <row r="6" spans="1:35" s="44" customFormat="1" ht="18.75" customHeight="1" x14ac:dyDescent="0.35">
      <c r="A6" s="60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2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87">
        <v>3.9</v>
      </c>
      <c r="C7" s="87">
        <v>2.6</v>
      </c>
      <c r="D7" s="87">
        <v>3.7</v>
      </c>
      <c r="E7" s="87">
        <v>3.9</v>
      </c>
      <c r="F7" s="87">
        <v>3</v>
      </c>
      <c r="G7" s="87">
        <v>2.7</v>
      </c>
      <c r="H7" s="87">
        <v>3</v>
      </c>
      <c r="I7" s="87">
        <v>2.9</v>
      </c>
      <c r="J7" s="87">
        <v>3.7</v>
      </c>
      <c r="K7" s="87">
        <v>3</v>
      </c>
      <c r="L7" s="87">
        <v>2.9</v>
      </c>
      <c r="M7" s="87">
        <v>3.7</v>
      </c>
      <c r="N7" s="87">
        <v>2.9</v>
      </c>
      <c r="O7" s="87">
        <v>3</v>
      </c>
      <c r="P7" s="87">
        <v>3</v>
      </c>
      <c r="Q7" s="87">
        <v>2.7</v>
      </c>
      <c r="R7" s="87">
        <v>3</v>
      </c>
      <c r="S7" s="87">
        <v>2.7</v>
      </c>
      <c r="T7" s="87">
        <v>3</v>
      </c>
      <c r="U7" s="87">
        <v>2.8</v>
      </c>
      <c r="V7" s="87">
        <v>3</v>
      </c>
      <c r="W7" s="87">
        <v>2.4</v>
      </c>
      <c r="X7" s="87">
        <v>2.9</v>
      </c>
      <c r="Y7" s="87">
        <v>3.2</v>
      </c>
      <c r="Z7" s="87">
        <v>3.5</v>
      </c>
      <c r="AA7" s="87">
        <v>3</v>
      </c>
      <c r="AB7" s="87">
        <v>3.5</v>
      </c>
      <c r="AC7" s="87">
        <v>2.9</v>
      </c>
      <c r="AD7" s="87">
        <v>3.1</v>
      </c>
      <c r="AE7" s="87">
        <v>2.5</v>
      </c>
      <c r="AF7" s="87"/>
      <c r="AG7" s="82">
        <f t="shared" si="0"/>
        <v>92.100000000000009</v>
      </c>
      <c r="AH7" s="48"/>
      <c r="AI7" s="48"/>
    </row>
    <row r="8" spans="1:35" s="44" customFormat="1" ht="18.75" customHeight="1" x14ac:dyDescent="0.35">
      <c r="A8" s="60" t="s">
        <v>65</v>
      </c>
      <c r="B8" s="49">
        <v>6.9</v>
      </c>
      <c r="C8" s="49">
        <v>7.1</v>
      </c>
      <c r="D8" s="49">
        <v>6</v>
      </c>
      <c r="E8" s="49">
        <v>6.8</v>
      </c>
      <c r="F8" s="49">
        <v>7</v>
      </c>
      <c r="G8" s="49">
        <v>7.5</v>
      </c>
      <c r="H8" s="49">
        <v>6</v>
      </c>
      <c r="I8" s="49">
        <v>6.5</v>
      </c>
      <c r="J8" s="49">
        <v>7.1</v>
      </c>
      <c r="K8" s="49">
        <v>7</v>
      </c>
      <c r="L8" s="49">
        <v>6.9</v>
      </c>
      <c r="M8" s="49">
        <v>5.9</v>
      </c>
      <c r="N8" s="49">
        <v>6.8</v>
      </c>
      <c r="O8" s="49">
        <v>6.9</v>
      </c>
      <c r="P8" s="49">
        <v>7.1</v>
      </c>
      <c r="Q8" s="49">
        <v>6.3</v>
      </c>
      <c r="R8" s="49">
        <v>9</v>
      </c>
      <c r="S8" s="49">
        <v>8</v>
      </c>
      <c r="T8" s="50">
        <v>10</v>
      </c>
      <c r="U8" s="49">
        <v>10</v>
      </c>
      <c r="V8" s="49">
        <v>9</v>
      </c>
      <c r="W8" s="49">
        <v>9</v>
      </c>
      <c r="X8" s="49">
        <v>9</v>
      </c>
      <c r="Y8" s="49">
        <v>9</v>
      </c>
      <c r="Z8" s="49">
        <v>9</v>
      </c>
      <c r="AA8" s="50">
        <v>7.1</v>
      </c>
      <c r="AB8" s="49">
        <v>6.9</v>
      </c>
      <c r="AC8" s="49">
        <v>7.9</v>
      </c>
      <c r="AD8" s="49">
        <v>7</v>
      </c>
      <c r="AE8" s="49">
        <v>7.1</v>
      </c>
      <c r="AF8" s="49"/>
      <c r="AG8" s="82">
        <f t="shared" si="0"/>
        <v>225.8</v>
      </c>
      <c r="AH8" s="48"/>
      <c r="AI8" s="48"/>
    </row>
    <row r="9" spans="1:35" s="44" customFormat="1" ht="40.5" customHeight="1" x14ac:dyDescent="0.35">
      <c r="A9" s="60" t="s">
        <v>259</v>
      </c>
      <c r="B9" s="49">
        <v>0</v>
      </c>
      <c r="C9" s="49">
        <v>0</v>
      </c>
      <c r="D9" s="49">
        <v>2.5</v>
      </c>
      <c r="E9" s="49">
        <v>3.6</v>
      </c>
      <c r="F9" s="49">
        <v>4.4000000000000004</v>
      </c>
      <c r="G9" s="49">
        <v>0</v>
      </c>
      <c r="H9" s="49">
        <v>0</v>
      </c>
      <c r="I9" s="49">
        <v>0.9</v>
      </c>
      <c r="J9" s="49">
        <v>0</v>
      </c>
      <c r="K9" s="49">
        <v>4.9000000000000004</v>
      </c>
      <c r="L9" s="49">
        <v>4.4000000000000004</v>
      </c>
      <c r="M9" s="49">
        <v>3</v>
      </c>
      <c r="N9" s="49">
        <v>4.0999999999999996</v>
      </c>
      <c r="O9" s="49">
        <v>4.3</v>
      </c>
      <c r="P9" s="49">
        <v>0.2</v>
      </c>
      <c r="Q9" s="49">
        <v>0</v>
      </c>
      <c r="R9" s="49">
        <v>2.4</v>
      </c>
      <c r="S9" s="49">
        <v>3.1</v>
      </c>
      <c r="T9" s="50">
        <v>3.4</v>
      </c>
      <c r="U9" s="49">
        <v>3.2</v>
      </c>
      <c r="V9" s="49">
        <v>3.9</v>
      </c>
      <c r="W9" s="49">
        <v>2.2999999999999998</v>
      </c>
      <c r="X9" s="49">
        <v>0</v>
      </c>
      <c r="Y9" s="49">
        <v>4.2</v>
      </c>
      <c r="Z9" s="49">
        <v>3</v>
      </c>
      <c r="AA9" s="50">
        <v>2</v>
      </c>
      <c r="AB9" s="49">
        <v>2</v>
      </c>
      <c r="AC9" s="49">
        <v>2</v>
      </c>
      <c r="AD9" s="49">
        <v>3.2</v>
      </c>
      <c r="AE9" s="49">
        <v>0.5</v>
      </c>
      <c r="AF9" s="49"/>
      <c r="AG9" s="82"/>
      <c r="AH9" s="48"/>
      <c r="AI9" s="48"/>
    </row>
    <row r="10" spans="1:35" s="44" customFormat="1" ht="18.75" customHeight="1" x14ac:dyDescent="0.35">
      <c r="A10" s="60" t="s">
        <v>66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2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49">
        <v>12</v>
      </c>
      <c r="C11" s="49">
        <v>10</v>
      </c>
      <c r="D11" s="49">
        <v>12</v>
      </c>
      <c r="E11" s="49">
        <v>10</v>
      </c>
      <c r="F11" s="49">
        <v>11</v>
      </c>
      <c r="G11" s="49">
        <v>14</v>
      </c>
      <c r="H11" s="49">
        <v>14</v>
      </c>
      <c r="I11" s="49">
        <v>12</v>
      </c>
      <c r="J11" s="49">
        <v>9</v>
      </c>
      <c r="K11" s="49">
        <v>12</v>
      </c>
      <c r="L11" s="49">
        <v>11</v>
      </c>
      <c r="M11" s="49">
        <v>9</v>
      </c>
      <c r="N11" s="49">
        <v>9</v>
      </c>
      <c r="O11" s="49">
        <v>12</v>
      </c>
      <c r="P11" s="49">
        <v>11</v>
      </c>
      <c r="Q11" s="49">
        <v>13</v>
      </c>
      <c r="R11" s="49">
        <v>11</v>
      </c>
      <c r="S11" s="49">
        <v>12</v>
      </c>
      <c r="T11" s="49">
        <v>14</v>
      </c>
      <c r="U11" s="49">
        <v>14</v>
      </c>
      <c r="V11" s="49">
        <v>20</v>
      </c>
      <c r="W11" s="49">
        <v>16</v>
      </c>
      <c r="X11" s="49">
        <v>20</v>
      </c>
      <c r="Y11" s="49">
        <v>14</v>
      </c>
      <c r="Z11" s="49">
        <v>19</v>
      </c>
      <c r="AA11" s="49">
        <v>17</v>
      </c>
      <c r="AB11" s="49">
        <v>14</v>
      </c>
      <c r="AC11" s="49">
        <v>20</v>
      </c>
      <c r="AD11" s="49">
        <v>17</v>
      </c>
      <c r="AE11" s="49">
        <v>14</v>
      </c>
      <c r="AF11" s="49"/>
      <c r="AG11" s="82">
        <f t="shared" si="0"/>
        <v>403</v>
      </c>
      <c r="AH11" s="48"/>
      <c r="AI11" s="48"/>
    </row>
    <row r="12" spans="1:35" s="44" customFormat="1" ht="18.75" customHeight="1" x14ac:dyDescent="0.35">
      <c r="A12" s="60" t="s">
        <v>152</v>
      </c>
      <c r="B12" s="50">
        <v>1</v>
      </c>
      <c r="C12" s="49">
        <v>1.8</v>
      </c>
      <c r="D12" s="49">
        <v>2.9</v>
      </c>
      <c r="E12" s="49">
        <v>2.9</v>
      </c>
      <c r="F12" s="49">
        <v>2.9</v>
      </c>
      <c r="G12" s="49">
        <v>3</v>
      </c>
      <c r="H12" s="49">
        <v>3.1</v>
      </c>
      <c r="I12" s="49">
        <v>2.9</v>
      </c>
      <c r="J12" s="49">
        <v>3</v>
      </c>
      <c r="K12" s="49">
        <v>3.5</v>
      </c>
      <c r="L12" s="49">
        <v>2.9</v>
      </c>
      <c r="M12" s="49">
        <v>2.9</v>
      </c>
      <c r="N12" s="49">
        <v>1</v>
      </c>
      <c r="O12" s="49">
        <v>1</v>
      </c>
      <c r="P12" s="49">
        <v>2</v>
      </c>
      <c r="Q12" s="49">
        <v>1</v>
      </c>
      <c r="R12" s="49">
        <v>1</v>
      </c>
      <c r="S12" s="49">
        <v>1</v>
      </c>
      <c r="T12" s="49">
        <v>1</v>
      </c>
      <c r="U12" s="49">
        <v>2</v>
      </c>
      <c r="V12" s="49">
        <v>1.5</v>
      </c>
      <c r="W12" s="49">
        <v>1.2</v>
      </c>
      <c r="X12" s="49">
        <v>1.7</v>
      </c>
      <c r="Y12" s="49">
        <v>1</v>
      </c>
      <c r="Z12" s="49">
        <v>2</v>
      </c>
      <c r="AA12" s="49">
        <v>1.3</v>
      </c>
      <c r="AB12" s="49">
        <v>1.2</v>
      </c>
      <c r="AC12" s="49">
        <v>1.4</v>
      </c>
      <c r="AD12" s="49">
        <v>1.4</v>
      </c>
      <c r="AE12" s="49">
        <v>1.2</v>
      </c>
      <c r="AF12" s="49"/>
      <c r="AG12" s="82">
        <f t="shared" si="0"/>
        <v>56.7</v>
      </c>
      <c r="AH12" s="48"/>
      <c r="AI12" s="48"/>
    </row>
    <row r="13" spans="1:35" s="44" customFormat="1" ht="33" customHeight="1" x14ac:dyDescent="0.35">
      <c r="A13" s="60" t="s">
        <v>91</v>
      </c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49"/>
      <c r="AE13" s="49"/>
      <c r="AF13" s="49"/>
      <c r="AG13" s="82">
        <f t="shared" si="0"/>
        <v>0</v>
      </c>
    </row>
    <row r="14" spans="1:35" s="44" customFormat="1" ht="21" x14ac:dyDescent="0.35">
      <c r="A14" s="60" t="s">
        <v>69</v>
      </c>
      <c r="B14" s="49">
        <v>2.1</v>
      </c>
      <c r="C14" s="49">
        <v>2.2999999999999998</v>
      </c>
      <c r="D14" s="49">
        <v>2.2000000000000002</v>
      </c>
      <c r="E14" s="49">
        <v>2.1</v>
      </c>
      <c r="F14" s="49">
        <v>2</v>
      </c>
      <c r="G14" s="49">
        <v>2.2999999999999998</v>
      </c>
      <c r="H14" s="49">
        <v>2.1</v>
      </c>
      <c r="I14" s="49">
        <v>2.2000000000000002</v>
      </c>
      <c r="J14" s="49">
        <v>2</v>
      </c>
      <c r="K14" s="49">
        <v>2.2999999999999998</v>
      </c>
      <c r="L14" s="49">
        <v>2.4</v>
      </c>
      <c r="M14" s="49">
        <v>2.2000000000000002</v>
      </c>
      <c r="N14" s="49">
        <v>2.2999999999999998</v>
      </c>
      <c r="O14" s="49">
        <v>2.1</v>
      </c>
      <c r="P14" s="49">
        <v>2.2999999999999998</v>
      </c>
      <c r="Q14" s="49">
        <v>2.2000000000000002</v>
      </c>
      <c r="R14" s="49">
        <v>2</v>
      </c>
      <c r="S14" s="49">
        <v>2.1</v>
      </c>
      <c r="T14" s="49">
        <v>2.2999999999999998</v>
      </c>
      <c r="U14" s="49">
        <v>2.2000000000000002</v>
      </c>
      <c r="V14" s="49">
        <v>2</v>
      </c>
      <c r="W14" s="49">
        <v>2.2999999999999998</v>
      </c>
      <c r="X14" s="49">
        <v>2.1</v>
      </c>
      <c r="Y14" s="49">
        <v>2.2000000000000002</v>
      </c>
      <c r="Z14" s="49">
        <v>2.2999999999999998</v>
      </c>
      <c r="AA14" s="49">
        <v>2.2000000000000002</v>
      </c>
      <c r="AB14" s="49">
        <v>2.1</v>
      </c>
      <c r="AC14" s="49">
        <v>2.2999999999999998</v>
      </c>
      <c r="AD14" s="49">
        <v>2</v>
      </c>
      <c r="AE14" s="49">
        <v>2.2000000000000002</v>
      </c>
      <c r="AF14" s="49"/>
      <c r="AG14" s="82">
        <f t="shared" si="0"/>
        <v>65.400000000000006</v>
      </c>
      <c r="AH14" s="48"/>
      <c r="AI14" s="48"/>
    </row>
    <row r="15" spans="1:35" s="44" customFormat="1" ht="18.75" customHeight="1" x14ac:dyDescent="0.35">
      <c r="A15" s="60" t="s">
        <v>71</v>
      </c>
      <c r="B15" s="49">
        <v>7</v>
      </c>
      <c r="C15" s="49">
        <v>6</v>
      </c>
      <c r="D15" s="49">
        <v>7</v>
      </c>
      <c r="E15" s="49">
        <v>6</v>
      </c>
      <c r="F15" s="49">
        <v>8.5</v>
      </c>
      <c r="G15" s="49">
        <v>3</v>
      </c>
      <c r="H15" s="49">
        <v>5.6</v>
      </c>
      <c r="I15" s="49">
        <v>9.5</v>
      </c>
      <c r="J15" s="49">
        <v>4</v>
      </c>
      <c r="K15" s="49">
        <v>3</v>
      </c>
      <c r="L15" s="49">
        <v>6</v>
      </c>
      <c r="M15" s="49">
        <v>6.5</v>
      </c>
      <c r="N15" s="49">
        <v>8</v>
      </c>
      <c r="O15" s="49">
        <v>6</v>
      </c>
      <c r="P15" s="49">
        <v>6.5</v>
      </c>
      <c r="Q15" s="49">
        <v>6.4</v>
      </c>
      <c r="R15" s="49">
        <v>4</v>
      </c>
      <c r="S15" s="49">
        <v>5</v>
      </c>
      <c r="T15" s="49">
        <v>6</v>
      </c>
      <c r="U15" s="49">
        <v>6.5</v>
      </c>
      <c r="V15" s="49">
        <v>6.8</v>
      </c>
      <c r="W15" s="49">
        <v>7</v>
      </c>
      <c r="X15" s="49">
        <v>8</v>
      </c>
      <c r="Y15" s="49">
        <v>6.5</v>
      </c>
      <c r="Z15" s="49">
        <v>4.7</v>
      </c>
      <c r="AA15" s="49">
        <v>7</v>
      </c>
      <c r="AB15" s="49">
        <v>8.5</v>
      </c>
      <c r="AC15" s="49">
        <v>3.9</v>
      </c>
      <c r="AD15" s="49">
        <v>5.6</v>
      </c>
      <c r="AE15" s="49">
        <v>9.5</v>
      </c>
      <c r="AF15" s="49"/>
      <c r="AG15" s="82">
        <f t="shared" si="0"/>
        <v>188</v>
      </c>
      <c r="AH15" s="48"/>
      <c r="AI15" s="48"/>
    </row>
    <row r="16" spans="1:35" s="44" customFormat="1" ht="18.75" customHeight="1" x14ac:dyDescent="0.35">
      <c r="A16" s="60" t="s">
        <v>72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82">
        <f t="shared" si="0"/>
        <v>0</v>
      </c>
      <c r="AH16" s="48"/>
      <c r="AI16" s="48"/>
    </row>
    <row r="17" spans="1:35" s="44" customFormat="1" ht="18.75" customHeight="1" x14ac:dyDescent="0.35">
      <c r="A17" s="60" t="s">
        <v>85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82">
        <f t="shared" si="0"/>
        <v>0</v>
      </c>
      <c r="AH17" s="48"/>
      <c r="AI17" s="48"/>
    </row>
    <row r="18" spans="1:35" s="44" customFormat="1" ht="18.75" customHeight="1" x14ac:dyDescent="0.35">
      <c r="A18" s="60" t="s">
        <v>194</v>
      </c>
      <c r="B18" s="49"/>
      <c r="C18" s="49"/>
      <c r="D18" s="49"/>
      <c r="E18" s="49"/>
      <c r="F18" s="49"/>
      <c r="G18" s="50"/>
      <c r="H18" s="50"/>
      <c r="I18" s="49"/>
      <c r="J18" s="49"/>
      <c r="K18" s="49"/>
      <c r="L18" s="49"/>
      <c r="M18" s="49"/>
      <c r="N18" s="49"/>
      <c r="O18" s="49"/>
      <c r="P18" s="50"/>
      <c r="Q18" s="49"/>
      <c r="R18" s="49"/>
      <c r="S18" s="50"/>
      <c r="T18" s="49"/>
      <c r="U18" s="49"/>
      <c r="V18" s="49"/>
      <c r="W18" s="49"/>
      <c r="X18" s="49"/>
      <c r="Y18" s="49"/>
      <c r="Z18" s="49"/>
      <c r="AA18" s="49"/>
      <c r="AB18" s="49"/>
      <c r="AC18" s="50"/>
      <c r="AD18" s="49"/>
      <c r="AE18" s="49"/>
      <c r="AF18" s="49"/>
      <c r="AG18" s="82">
        <f t="shared" si="0"/>
        <v>0</v>
      </c>
      <c r="AH18" s="48"/>
      <c r="AI18" s="48"/>
    </row>
    <row r="19" spans="1:35" s="44" customFormat="1" ht="18.75" customHeight="1" x14ac:dyDescent="0.35">
      <c r="A19" s="60" t="s">
        <v>73</v>
      </c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82">
        <f t="shared" si="0"/>
        <v>0</v>
      </c>
      <c r="AH19" s="48"/>
      <c r="AI19" s="48"/>
    </row>
    <row r="20" spans="1:35" s="44" customFormat="1" ht="18.75" customHeight="1" x14ac:dyDescent="0.35">
      <c r="A20" s="60" t="s">
        <v>92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2">
        <f t="shared" si="0"/>
        <v>0</v>
      </c>
      <c r="AH20" s="48"/>
      <c r="AI20" s="48"/>
    </row>
    <row r="21" spans="1:35" s="44" customFormat="1" ht="18.75" customHeight="1" x14ac:dyDescent="0.35">
      <c r="A21" s="60" t="s">
        <v>260</v>
      </c>
      <c r="B21" s="87">
        <v>3.5</v>
      </c>
      <c r="C21" s="87">
        <v>1.5</v>
      </c>
      <c r="D21" s="87">
        <v>1.8</v>
      </c>
      <c r="E21" s="87">
        <v>2.5</v>
      </c>
      <c r="F21" s="87">
        <v>3.5</v>
      </c>
      <c r="G21" s="87">
        <v>2.2999999999999998</v>
      </c>
      <c r="H21" s="87">
        <v>2.1</v>
      </c>
      <c r="I21" s="87">
        <v>1.9</v>
      </c>
      <c r="J21" s="87">
        <v>1.6</v>
      </c>
      <c r="K21" s="87">
        <v>3</v>
      </c>
      <c r="L21" s="87">
        <v>2.5</v>
      </c>
      <c r="M21" s="87">
        <v>3</v>
      </c>
      <c r="N21" s="87">
        <v>3.1</v>
      </c>
      <c r="O21" s="87">
        <v>3.2</v>
      </c>
      <c r="P21" s="87">
        <v>2.9</v>
      </c>
      <c r="Q21" s="87">
        <v>1.8</v>
      </c>
      <c r="R21" s="87">
        <v>2.5</v>
      </c>
      <c r="S21" s="87">
        <v>2.8</v>
      </c>
      <c r="T21" s="87">
        <v>3.1</v>
      </c>
      <c r="U21" s="87">
        <v>3.5</v>
      </c>
      <c r="V21" s="87">
        <v>3.5</v>
      </c>
      <c r="W21" s="87">
        <v>3.1</v>
      </c>
      <c r="X21" s="87">
        <v>2.1</v>
      </c>
      <c r="Y21" s="87">
        <v>1.8</v>
      </c>
      <c r="Z21" s="44">
        <v>3</v>
      </c>
      <c r="AA21" s="87">
        <v>3.2</v>
      </c>
      <c r="AB21" s="87">
        <v>3</v>
      </c>
      <c r="AC21" s="87">
        <v>3</v>
      </c>
      <c r="AD21" s="87">
        <v>3.1</v>
      </c>
      <c r="AE21" s="87">
        <v>2.8</v>
      </c>
      <c r="AF21" s="87"/>
      <c r="AG21" s="82"/>
      <c r="AH21" s="48"/>
      <c r="AI21" s="48"/>
    </row>
    <row r="22" spans="1:35" s="44" customFormat="1" ht="18.75" customHeight="1" x14ac:dyDescent="0.35">
      <c r="A22" s="171" t="s">
        <v>227</v>
      </c>
      <c r="B22" s="49">
        <v>7.5</v>
      </c>
      <c r="C22" s="49">
        <v>2.5</v>
      </c>
      <c r="D22" s="49">
        <v>2.8</v>
      </c>
      <c r="E22" s="49">
        <v>3.1</v>
      </c>
      <c r="F22" s="49">
        <v>3.2</v>
      </c>
      <c r="G22" s="49">
        <v>5.2</v>
      </c>
      <c r="H22" s="49">
        <v>4.9000000000000004</v>
      </c>
      <c r="I22" s="49">
        <v>3.1</v>
      </c>
      <c r="J22" s="49">
        <v>4.5</v>
      </c>
      <c r="K22" s="49">
        <v>6.8</v>
      </c>
      <c r="L22" s="49">
        <v>5.7</v>
      </c>
      <c r="M22" s="49">
        <v>7.3</v>
      </c>
      <c r="N22" s="49">
        <v>6.5</v>
      </c>
      <c r="O22" s="49">
        <v>7.5</v>
      </c>
      <c r="P22" s="49">
        <v>7.3</v>
      </c>
      <c r="Q22" s="49">
        <v>5.3</v>
      </c>
      <c r="R22" s="49">
        <v>8.3000000000000007</v>
      </c>
      <c r="S22" s="49">
        <v>4</v>
      </c>
      <c r="T22" s="49">
        <v>3.5</v>
      </c>
      <c r="U22" s="49">
        <v>4</v>
      </c>
      <c r="V22" s="49">
        <v>6.5</v>
      </c>
      <c r="W22" s="49">
        <v>4</v>
      </c>
      <c r="X22" s="49">
        <v>3.8</v>
      </c>
      <c r="Y22" s="49">
        <v>3.7</v>
      </c>
      <c r="Z22" s="49">
        <v>7.5</v>
      </c>
      <c r="AA22" s="49">
        <v>6.5</v>
      </c>
      <c r="AB22" s="49">
        <v>7.3</v>
      </c>
      <c r="AC22" s="49">
        <v>7.8</v>
      </c>
      <c r="AD22" s="49">
        <v>7.5</v>
      </c>
      <c r="AE22" s="49">
        <v>7.3</v>
      </c>
      <c r="AF22" s="49"/>
      <c r="AG22" s="82">
        <f t="shared" si="0"/>
        <v>164.90000000000003</v>
      </c>
      <c r="AH22" s="48"/>
      <c r="AI22" s="48"/>
    </row>
    <row r="23" spans="1:35" s="44" customFormat="1" ht="18.75" customHeight="1" x14ac:dyDescent="0.35">
      <c r="A23" s="60" t="s">
        <v>74</v>
      </c>
      <c r="B23" s="49">
        <v>9.4</v>
      </c>
      <c r="C23" s="49">
        <v>7.6</v>
      </c>
      <c r="D23" s="49">
        <v>9</v>
      </c>
      <c r="E23" s="49">
        <v>7</v>
      </c>
      <c r="F23" s="49">
        <v>9</v>
      </c>
      <c r="G23" s="49">
        <v>8</v>
      </c>
      <c r="H23" s="49">
        <v>8</v>
      </c>
      <c r="I23" s="49">
        <v>2.2999999999999998</v>
      </c>
      <c r="J23" s="49">
        <v>2.9</v>
      </c>
      <c r="K23" s="49">
        <v>1.6</v>
      </c>
      <c r="L23" s="49">
        <v>9.3000000000000007</v>
      </c>
      <c r="M23" s="49">
        <v>7.2</v>
      </c>
      <c r="N23" s="49">
        <v>8.1</v>
      </c>
      <c r="O23" s="49">
        <v>7.4</v>
      </c>
      <c r="P23" s="49">
        <v>9.3000000000000007</v>
      </c>
      <c r="Q23" s="49">
        <v>2.2999999999999998</v>
      </c>
      <c r="R23" s="49">
        <v>9.6</v>
      </c>
      <c r="S23" s="49">
        <v>3.1</v>
      </c>
      <c r="T23" s="49">
        <v>7.4</v>
      </c>
      <c r="U23" s="49">
        <v>9</v>
      </c>
      <c r="V23" s="49">
        <v>9</v>
      </c>
      <c r="W23" s="49">
        <v>8</v>
      </c>
      <c r="X23" s="49">
        <v>7.3</v>
      </c>
      <c r="Y23" s="49">
        <v>6.5</v>
      </c>
      <c r="Z23" s="49">
        <v>7.8</v>
      </c>
      <c r="AA23" s="49">
        <v>5</v>
      </c>
      <c r="AB23" s="49">
        <v>4</v>
      </c>
      <c r="AC23" s="49">
        <v>4</v>
      </c>
      <c r="AD23" s="49">
        <v>3.2</v>
      </c>
      <c r="AE23" s="49">
        <v>4</v>
      </c>
      <c r="AF23" s="49"/>
      <c r="AG23" s="82">
        <f t="shared" si="0"/>
        <v>196.29999999999998</v>
      </c>
      <c r="AH23" s="48"/>
      <c r="AI23" s="48"/>
    </row>
    <row r="24" spans="1:35" s="44" customFormat="1" ht="18.75" customHeight="1" x14ac:dyDescent="0.35">
      <c r="A24" s="60" t="s">
        <v>75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49"/>
      <c r="AE24" s="49"/>
      <c r="AF24" s="49"/>
      <c r="AG24" s="82">
        <f t="shared" si="0"/>
        <v>0</v>
      </c>
      <c r="AH24" s="48"/>
      <c r="AI24" s="48"/>
    </row>
    <row r="25" spans="1:35" s="44" customFormat="1" ht="18.75" customHeight="1" x14ac:dyDescent="0.35">
      <c r="A25" s="60" t="s">
        <v>77</v>
      </c>
      <c r="B25" s="49">
        <v>0.3</v>
      </c>
      <c r="C25" s="49">
        <v>0</v>
      </c>
      <c r="D25" s="49">
        <v>0.4</v>
      </c>
      <c r="E25" s="49">
        <v>0.2</v>
      </c>
      <c r="F25" s="49">
        <v>0.2</v>
      </c>
      <c r="G25" s="49">
        <v>0.1</v>
      </c>
      <c r="H25" s="49">
        <v>0.3</v>
      </c>
      <c r="I25" s="49">
        <v>0.2</v>
      </c>
      <c r="J25" s="49">
        <v>0</v>
      </c>
      <c r="K25" s="49">
        <v>0.3</v>
      </c>
      <c r="L25" s="49">
        <v>0.2</v>
      </c>
      <c r="M25" s="49">
        <v>0.4</v>
      </c>
      <c r="N25" s="49">
        <v>0.3</v>
      </c>
      <c r="O25" s="49">
        <v>0.2</v>
      </c>
      <c r="P25" s="49">
        <v>0.3</v>
      </c>
      <c r="Q25" s="49">
        <v>0.1</v>
      </c>
      <c r="R25" s="49">
        <v>0.2</v>
      </c>
      <c r="S25" s="49">
        <v>0.1</v>
      </c>
      <c r="T25" s="49">
        <v>0.2</v>
      </c>
      <c r="U25" s="49">
        <v>0</v>
      </c>
      <c r="V25" s="49">
        <v>0</v>
      </c>
      <c r="W25" s="49">
        <v>2.1</v>
      </c>
      <c r="X25" s="49">
        <v>0.2</v>
      </c>
      <c r="Y25" s="49">
        <v>0.4</v>
      </c>
      <c r="Z25" s="49">
        <v>0.3</v>
      </c>
      <c r="AA25" s="49">
        <v>0.3</v>
      </c>
      <c r="AB25" s="49">
        <v>0.2</v>
      </c>
      <c r="AC25" s="49">
        <v>0.3</v>
      </c>
      <c r="AD25" s="49">
        <v>0.2</v>
      </c>
      <c r="AE25" s="49">
        <v>0</v>
      </c>
      <c r="AF25" s="49"/>
      <c r="AG25" s="82">
        <f t="shared" si="0"/>
        <v>8</v>
      </c>
      <c r="AH25" s="48"/>
      <c r="AI25" s="48"/>
    </row>
    <row r="26" spans="1:35" s="44" customFormat="1" ht="18.75" customHeight="1" x14ac:dyDescent="0.35">
      <c r="A26" s="60" t="s">
        <v>78</v>
      </c>
      <c r="B26" s="49">
        <v>6.3</v>
      </c>
      <c r="C26" s="49">
        <v>8.4</v>
      </c>
      <c r="D26" s="49">
        <v>5.3</v>
      </c>
      <c r="E26" s="49">
        <v>5.3</v>
      </c>
      <c r="F26" s="49">
        <v>6.3</v>
      </c>
      <c r="G26" s="49">
        <v>4.3</v>
      </c>
      <c r="H26" s="44">
        <v>2.2999999999999998</v>
      </c>
      <c r="I26" s="49">
        <v>6.3</v>
      </c>
      <c r="J26" s="49">
        <v>4.3</v>
      </c>
      <c r="K26" s="49">
        <v>3.9</v>
      </c>
      <c r="L26" s="49">
        <v>4.3</v>
      </c>
      <c r="M26" s="49">
        <v>4</v>
      </c>
      <c r="N26" s="49">
        <v>6.3</v>
      </c>
      <c r="O26" s="49">
        <v>6.2</v>
      </c>
      <c r="P26" s="49">
        <v>4.3</v>
      </c>
      <c r="Q26" s="49">
        <v>4.8</v>
      </c>
      <c r="R26" s="49">
        <v>4.2</v>
      </c>
      <c r="S26" s="49">
        <v>6</v>
      </c>
      <c r="T26" s="49">
        <v>7</v>
      </c>
      <c r="U26" s="49">
        <v>6</v>
      </c>
      <c r="V26" s="49">
        <v>7</v>
      </c>
      <c r="W26" s="49">
        <v>2.2000000000000002</v>
      </c>
      <c r="X26" s="49">
        <v>4.3</v>
      </c>
      <c r="Y26" s="49">
        <v>5</v>
      </c>
      <c r="Z26" s="49">
        <v>9</v>
      </c>
      <c r="AA26" s="49">
        <v>6.3</v>
      </c>
      <c r="AB26" s="49">
        <v>11</v>
      </c>
      <c r="AC26" s="49">
        <v>9</v>
      </c>
      <c r="AD26" s="49">
        <v>8</v>
      </c>
      <c r="AE26" s="49">
        <v>3</v>
      </c>
      <c r="AF26" s="49"/>
      <c r="AG26" s="82">
        <f t="shared" si="0"/>
        <v>170.6</v>
      </c>
      <c r="AH26" s="48"/>
      <c r="AI26" s="48"/>
    </row>
    <row r="27" spans="1:35" s="44" customFormat="1" ht="18.75" customHeight="1" x14ac:dyDescent="0.35">
      <c r="A27" s="60" t="s">
        <v>79</v>
      </c>
      <c r="B27" s="49"/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82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82">
        <f t="shared" si="0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49"/>
      <c r="C29" s="49"/>
      <c r="D29" s="49"/>
      <c r="E29" s="49"/>
      <c r="F29" s="50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82">
        <f t="shared" si="0"/>
        <v>0</v>
      </c>
      <c r="AH29" s="48"/>
      <c r="AI29" s="48"/>
    </row>
    <row r="30" spans="1:35" s="44" customFormat="1" ht="18.75" customHeight="1" x14ac:dyDescent="0.35">
      <c r="A30" s="60" t="s">
        <v>76</v>
      </c>
      <c r="B30" s="49">
        <v>1.4</v>
      </c>
      <c r="C30" s="49">
        <v>2.2999999999999998</v>
      </c>
      <c r="D30" s="49">
        <v>3</v>
      </c>
      <c r="E30" s="49">
        <v>3</v>
      </c>
      <c r="F30" s="49">
        <v>2.5</v>
      </c>
      <c r="G30" s="49">
        <v>0.8</v>
      </c>
      <c r="H30" s="49">
        <v>2</v>
      </c>
      <c r="I30" s="49">
        <v>1.5</v>
      </c>
      <c r="J30" s="49">
        <v>3</v>
      </c>
      <c r="K30" s="49">
        <v>2.5</v>
      </c>
      <c r="L30" s="49">
        <v>3</v>
      </c>
      <c r="M30" s="49">
        <v>2.5</v>
      </c>
      <c r="N30" s="49">
        <v>3</v>
      </c>
      <c r="O30" s="49">
        <v>2.8</v>
      </c>
      <c r="P30" s="49">
        <v>2.5</v>
      </c>
      <c r="Q30" s="49">
        <v>3</v>
      </c>
      <c r="R30" s="49">
        <v>3</v>
      </c>
      <c r="S30" s="49">
        <v>3.5</v>
      </c>
      <c r="T30" s="49">
        <v>3</v>
      </c>
      <c r="U30" s="49">
        <v>3</v>
      </c>
      <c r="V30" s="49">
        <v>3.5</v>
      </c>
      <c r="W30" s="49">
        <v>4</v>
      </c>
      <c r="X30" s="49">
        <v>4</v>
      </c>
      <c r="Y30" s="49">
        <v>4.9000000000000004</v>
      </c>
      <c r="Z30" s="49">
        <v>3.8</v>
      </c>
      <c r="AA30" s="49">
        <v>0.25</v>
      </c>
      <c r="AB30" s="49">
        <v>2.5</v>
      </c>
      <c r="AC30" s="49">
        <v>0.8</v>
      </c>
      <c r="AD30" s="49">
        <v>0.15</v>
      </c>
      <c r="AE30" s="49">
        <v>0.5</v>
      </c>
      <c r="AF30" s="49"/>
      <c r="AG30" s="82">
        <f t="shared" si="0"/>
        <v>75.7</v>
      </c>
      <c r="AH30" s="48"/>
      <c r="AI30" s="48"/>
    </row>
    <row r="31" spans="1:35" s="44" customFormat="1" ht="18.75" customHeight="1" x14ac:dyDescent="0.35">
      <c r="A31" s="60" t="s">
        <v>81</v>
      </c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82">
        <f t="shared" si="0"/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52"/>
      <c r="AH32" s="48"/>
      <c r="AI32" s="48"/>
    </row>
    <row r="33" spans="1:35" s="44" customFormat="1" ht="18.75" customHeight="1" x14ac:dyDescent="0.35">
      <c r="A33" s="60" t="s">
        <v>82</v>
      </c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82">
        <f>SUM(B33:AF33)</f>
        <v>0</v>
      </c>
      <c r="AH33" s="48"/>
      <c r="AI33" s="48"/>
    </row>
    <row r="34" spans="1:35" s="44" customFormat="1" ht="18.75" customHeight="1" x14ac:dyDescent="0.35">
      <c r="A34" s="60" t="s">
        <v>178</v>
      </c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  <c r="AG34" s="82">
        <f>SUM(B34:AF34)</f>
        <v>0</v>
      </c>
      <c r="AH34" s="48"/>
      <c r="AI34" s="48"/>
    </row>
    <row r="35" spans="1:35" s="44" customFormat="1" ht="18.75" customHeight="1" x14ac:dyDescent="0.35">
      <c r="A35" s="59" t="s">
        <v>155</v>
      </c>
      <c r="B35" s="87">
        <f t="shared" ref="B35:AF35" si="1">SUM(B3:B34)</f>
        <v>70.600000000000009</v>
      </c>
      <c r="C35" s="87">
        <f t="shared" si="1"/>
        <v>62</v>
      </c>
      <c r="D35" s="87">
        <f t="shared" si="1"/>
        <v>68.3</v>
      </c>
      <c r="E35" s="87">
        <f t="shared" si="1"/>
        <v>65.5</v>
      </c>
      <c r="F35" s="87">
        <f t="shared" si="1"/>
        <v>75.800000000000011</v>
      </c>
      <c r="G35" s="87">
        <f t="shared" si="1"/>
        <v>65.099999999999994</v>
      </c>
      <c r="H35" s="87">
        <f t="shared" si="1"/>
        <v>60.699999999999996</v>
      </c>
      <c r="I35" s="87">
        <f t="shared" si="1"/>
        <v>61.6</v>
      </c>
      <c r="J35" s="87">
        <f t="shared" si="1"/>
        <v>53.9</v>
      </c>
      <c r="K35" s="87">
        <f t="shared" si="1"/>
        <v>65</v>
      </c>
      <c r="L35" s="87">
        <f t="shared" si="1"/>
        <v>72.3</v>
      </c>
      <c r="M35" s="87">
        <f t="shared" si="1"/>
        <v>66.900000000000006</v>
      </c>
      <c r="N35" s="87">
        <f t="shared" si="1"/>
        <v>71.2</v>
      </c>
      <c r="O35" s="87">
        <f t="shared" si="1"/>
        <v>72.800000000000011</v>
      </c>
      <c r="P35" s="87">
        <f t="shared" si="1"/>
        <v>70.499999999999986</v>
      </c>
      <c r="Q35" s="87">
        <f t="shared" si="1"/>
        <v>59.399999999999991</v>
      </c>
      <c r="R35" s="87">
        <f t="shared" si="1"/>
        <v>71.599999999999994</v>
      </c>
      <c r="S35" s="87">
        <f t="shared" si="1"/>
        <v>64.800000000000011</v>
      </c>
      <c r="T35" s="87">
        <f t="shared" si="1"/>
        <v>73.7</v>
      </c>
      <c r="U35" s="87">
        <f t="shared" si="1"/>
        <v>75.900000000000006</v>
      </c>
      <c r="V35" s="87">
        <f t="shared" si="1"/>
        <v>87.399999999999991</v>
      </c>
      <c r="W35" s="87">
        <f t="shared" si="1"/>
        <v>74.7</v>
      </c>
      <c r="X35" s="87">
        <f t="shared" si="1"/>
        <v>73.3</v>
      </c>
      <c r="Y35" s="87">
        <f t="shared" si="1"/>
        <v>73.900000000000006</v>
      </c>
      <c r="Z35" s="87">
        <f t="shared" si="1"/>
        <v>83.6</v>
      </c>
      <c r="AA35" s="87">
        <f t="shared" si="1"/>
        <v>69.349999999999994</v>
      </c>
      <c r="AB35" s="87">
        <f t="shared" si="1"/>
        <v>76.7</v>
      </c>
      <c r="AC35" s="87">
        <f t="shared" si="1"/>
        <v>75.099999999999994</v>
      </c>
      <c r="AD35" s="87">
        <f t="shared" si="1"/>
        <v>70.950000000000017</v>
      </c>
      <c r="AE35" s="87">
        <f t="shared" si="1"/>
        <v>63.4</v>
      </c>
      <c r="AF35" s="87">
        <f t="shared" si="1"/>
        <v>0</v>
      </c>
      <c r="AG35" s="83">
        <f>SUM(B35:AF35)</f>
        <v>2096</v>
      </c>
      <c r="AH35" s="48"/>
      <c r="AI35" s="48"/>
    </row>
    <row r="36" spans="1:35" s="44" customFormat="1" ht="18.75" customHeight="1" x14ac:dyDescent="0.3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4">
        <f>SUM(AG3:AG34)</f>
        <v>1947.8000000000002</v>
      </c>
      <c r="AH36" s="48"/>
      <c r="AI36" s="48"/>
    </row>
  </sheetData>
  <mergeCells count="1">
    <mergeCell ref="A1:AG1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topLeftCell="A2" zoomScale="70" zoomScaleNormal="70" workbookViewId="0">
      <pane ySplit="1" topLeftCell="A18" activePane="bottomLeft" state="frozen"/>
      <selection activeCell="A2" sqref="A2"/>
      <selection pane="bottomLeft" activeCell="AF33" sqref="AF33"/>
    </sheetView>
  </sheetViews>
  <sheetFormatPr baseColWidth="10" defaultRowHeight="15" x14ac:dyDescent="0.25"/>
  <cols>
    <col min="1" max="1" width="36.42578125" customWidth="1"/>
    <col min="2" max="13" width="7" customWidth="1"/>
    <col min="14" max="14" width="7.7109375" customWidth="1"/>
    <col min="15" max="32" width="7" customWidth="1"/>
    <col min="33" max="33" width="16.5703125" customWidth="1"/>
  </cols>
  <sheetData>
    <row r="1" spans="1:35" s="44" customFormat="1" ht="21" hidden="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200" customFormat="1" ht="40.5" x14ac:dyDescent="0.25">
      <c r="A3" s="194" t="s">
        <v>94</v>
      </c>
      <c r="B3" s="195">
        <v>1</v>
      </c>
      <c r="C3" s="195">
        <v>1.5</v>
      </c>
      <c r="D3" s="195">
        <v>1.8</v>
      </c>
      <c r="E3" s="195">
        <v>1</v>
      </c>
      <c r="F3" s="195">
        <v>0.4</v>
      </c>
      <c r="G3" s="195">
        <v>0.7</v>
      </c>
      <c r="H3" s="195">
        <v>0</v>
      </c>
      <c r="I3" s="195">
        <v>1</v>
      </c>
      <c r="J3" s="195">
        <v>1</v>
      </c>
      <c r="K3" s="195">
        <v>0.8</v>
      </c>
      <c r="L3" s="195">
        <v>1</v>
      </c>
      <c r="M3" s="195">
        <v>1</v>
      </c>
      <c r="N3" s="195">
        <v>1</v>
      </c>
      <c r="O3" s="196">
        <v>0</v>
      </c>
      <c r="P3" s="195">
        <v>0</v>
      </c>
      <c r="Q3" s="195">
        <v>1.5</v>
      </c>
      <c r="R3" s="195">
        <v>1</v>
      </c>
      <c r="S3" s="195">
        <v>0.8</v>
      </c>
      <c r="T3" s="195">
        <v>1</v>
      </c>
      <c r="U3" s="195">
        <v>1.5</v>
      </c>
      <c r="V3" s="196">
        <v>0</v>
      </c>
      <c r="W3" s="195">
        <v>0.7</v>
      </c>
      <c r="X3" s="195">
        <v>1.3</v>
      </c>
      <c r="Y3" s="195">
        <v>1.1000000000000001</v>
      </c>
      <c r="Z3" s="195">
        <v>1</v>
      </c>
      <c r="AA3" s="195">
        <v>0.9</v>
      </c>
      <c r="AB3" s="195">
        <v>1</v>
      </c>
      <c r="AC3" s="196">
        <v>0</v>
      </c>
      <c r="AD3" s="195">
        <v>0.5</v>
      </c>
      <c r="AE3" s="195">
        <v>0.8</v>
      </c>
      <c r="AF3" s="195">
        <v>1</v>
      </c>
      <c r="AG3" s="197">
        <f t="shared" ref="AG3:AG9" si="0">SUM(B3:AF3)</f>
        <v>26.3</v>
      </c>
      <c r="AH3" s="198"/>
      <c r="AI3" s="199"/>
    </row>
    <row r="4" spans="1:35" s="44" customFormat="1" ht="30.75" customHeight="1" x14ac:dyDescent="0.35">
      <c r="A4" s="60" t="s">
        <v>242</v>
      </c>
      <c r="B4" s="52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2"/>
      <c r="AB4" s="52"/>
      <c r="AC4" s="52"/>
      <c r="AD4" s="52"/>
      <c r="AE4" s="52"/>
      <c r="AF4" s="52"/>
      <c r="AG4" s="52">
        <f t="shared" si="0"/>
        <v>0</v>
      </c>
      <c r="AH4" s="47"/>
      <c r="AI4" s="48"/>
    </row>
    <row r="5" spans="1:35" s="44" customFormat="1" ht="18.75" customHeight="1" x14ac:dyDescent="0.35">
      <c r="A5" s="171" t="s">
        <v>83</v>
      </c>
      <c r="B5" s="51">
        <v>2.2999999999999998</v>
      </c>
      <c r="C5" s="51">
        <v>3.5</v>
      </c>
      <c r="D5" s="51">
        <f>0.9+0.3</f>
        <v>1.2</v>
      </c>
      <c r="E5" s="51">
        <f>1.8+1.3</f>
        <v>3.1</v>
      </c>
      <c r="F5" s="51">
        <f>2.1+1.3</f>
        <v>3.4000000000000004</v>
      </c>
      <c r="G5" s="51">
        <f>2.3+1</f>
        <v>3.3</v>
      </c>
      <c r="H5" s="51">
        <v>0</v>
      </c>
      <c r="I5" s="51">
        <f>0.8+1.9</f>
        <v>2.7</v>
      </c>
      <c r="J5" s="49">
        <f>0.7+1.9</f>
        <v>2.5999999999999996</v>
      </c>
      <c r="K5" s="49">
        <f>0.5+1.8</f>
        <v>2.2999999999999998</v>
      </c>
      <c r="L5" s="49">
        <f>0.9+1.9</f>
        <v>2.8</v>
      </c>
      <c r="M5" s="49">
        <f>0.8+2</f>
        <v>2.8</v>
      </c>
      <c r="N5" s="49">
        <f>0.9+1.9</f>
        <v>2.8</v>
      </c>
      <c r="O5" s="49">
        <v>2.2999999999999998</v>
      </c>
      <c r="P5" s="49">
        <v>4.4000000000000004</v>
      </c>
      <c r="Q5" s="49">
        <v>3</v>
      </c>
      <c r="R5" s="49">
        <v>2.4</v>
      </c>
      <c r="S5" s="49">
        <v>2.9</v>
      </c>
      <c r="T5" s="49">
        <v>2.8</v>
      </c>
      <c r="U5" s="49">
        <v>2.2999999999999998</v>
      </c>
      <c r="V5" s="49">
        <v>3.9</v>
      </c>
      <c r="W5" s="49">
        <v>2.9</v>
      </c>
      <c r="X5" s="49">
        <v>3.9</v>
      </c>
      <c r="Y5" s="49">
        <v>3.8</v>
      </c>
      <c r="Z5" s="49">
        <v>3.8</v>
      </c>
      <c r="AA5" s="49">
        <v>3.8</v>
      </c>
      <c r="AB5" s="49">
        <v>3.9</v>
      </c>
      <c r="AC5" s="49">
        <v>1.8</v>
      </c>
      <c r="AD5" s="49">
        <v>3.8</v>
      </c>
      <c r="AE5" s="49">
        <v>3.9</v>
      </c>
      <c r="AF5" s="49">
        <v>3.8</v>
      </c>
      <c r="AG5" s="82">
        <f t="shared" si="0"/>
        <v>92.199999999999989</v>
      </c>
      <c r="AH5" s="48"/>
      <c r="AI5" s="48"/>
    </row>
    <row r="6" spans="1:35" s="44" customFormat="1" ht="18.75" customHeight="1" x14ac:dyDescent="0.35">
      <c r="A6" s="171" t="s">
        <v>84</v>
      </c>
      <c r="B6" s="195">
        <v>5.7</v>
      </c>
      <c r="C6" s="195">
        <v>5.0999999999999996</v>
      </c>
      <c r="D6" s="195">
        <v>4.9000000000000004</v>
      </c>
      <c r="E6" s="195">
        <v>5.5</v>
      </c>
      <c r="F6" s="195">
        <v>5</v>
      </c>
      <c r="G6" s="195">
        <v>5.6</v>
      </c>
      <c r="H6" s="195">
        <v>6</v>
      </c>
      <c r="I6" s="195">
        <v>4.7</v>
      </c>
      <c r="J6" s="195">
        <v>4.4000000000000004</v>
      </c>
      <c r="K6" s="195">
        <v>5.6</v>
      </c>
      <c r="L6" s="195">
        <v>5.5</v>
      </c>
      <c r="M6" s="195">
        <v>5</v>
      </c>
      <c r="N6" s="195">
        <v>4.7</v>
      </c>
      <c r="O6" s="196">
        <v>5.5</v>
      </c>
      <c r="P6" s="195">
        <v>5.5</v>
      </c>
      <c r="Q6" s="195">
        <v>5</v>
      </c>
      <c r="R6" s="195">
        <v>5.6</v>
      </c>
      <c r="S6" s="195">
        <v>5.0999999999999996</v>
      </c>
      <c r="T6" s="195">
        <v>4.7</v>
      </c>
      <c r="U6" s="195">
        <v>4.8</v>
      </c>
      <c r="V6" s="196">
        <v>5.5</v>
      </c>
      <c r="W6" s="195">
        <v>5.8</v>
      </c>
      <c r="X6" s="195">
        <v>5.6</v>
      </c>
      <c r="Y6" s="195">
        <v>5</v>
      </c>
      <c r="Z6" s="195">
        <v>5.2</v>
      </c>
      <c r="AA6" s="195">
        <v>5.7</v>
      </c>
      <c r="AB6" s="195">
        <v>5.4</v>
      </c>
      <c r="AC6" s="196">
        <v>5.6</v>
      </c>
      <c r="AD6" s="195">
        <v>5.4</v>
      </c>
      <c r="AE6" s="195">
        <v>5</v>
      </c>
      <c r="AF6" s="195">
        <v>5</v>
      </c>
      <c r="AG6" s="82">
        <f t="shared" si="0"/>
        <v>163.09999999999997</v>
      </c>
      <c r="AH6" s="48"/>
      <c r="AI6" s="48"/>
    </row>
    <row r="7" spans="1:35" s="44" customFormat="1" ht="18.75" customHeight="1" x14ac:dyDescent="0.35">
      <c r="A7" s="171" t="s">
        <v>64</v>
      </c>
      <c r="B7" s="87">
        <v>3</v>
      </c>
      <c r="C7" s="87">
        <v>2.7</v>
      </c>
      <c r="D7" s="87">
        <v>2.9</v>
      </c>
      <c r="E7" s="87">
        <v>3.5</v>
      </c>
      <c r="F7" s="87">
        <v>3.1</v>
      </c>
      <c r="G7" s="87">
        <v>2.8</v>
      </c>
      <c r="H7" s="87">
        <v>3</v>
      </c>
      <c r="I7" s="87">
        <v>3</v>
      </c>
      <c r="J7" s="87">
        <v>3</v>
      </c>
      <c r="K7" s="87">
        <v>2.7</v>
      </c>
      <c r="L7" s="87">
        <v>2.5</v>
      </c>
      <c r="M7" s="87">
        <v>2.7</v>
      </c>
      <c r="N7" s="87">
        <v>3</v>
      </c>
      <c r="O7" s="87">
        <v>3.2</v>
      </c>
      <c r="P7" s="87">
        <v>3</v>
      </c>
      <c r="Q7" s="87">
        <v>2.7</v>
      </c>
      <c r="R7" s="87">
        <v>2.9</v>
      </c>
      <c r="S7" s="87">
        <v>3</v>
      </c>
      <c r="T7" s="87">
        <v>2.7</v>
      </c>
      <c r="U7" s="87">
        <v>2.5</v>
      </c>
      <c r="V7" s="87">
        <v>3</v>
      </c>
      <c r="W7" s="87">
        <v>2.9</v>
      </c>
      <c r="X7" s="87">
        <v>2.2000000000000002</v>
      </c>
      <c r="Y7" s="87">
        <v>2.1</v>
      </c>
      <c r="Z7" s="87">
        <v>3</v>
      </c>
      <c r="AA7" s="87">
        <v>2.9</v>
      </c>
      <c r="AB7" s="87">
        <v>2.7</v>
      </c>
      <c r="AC7" s="87">
        <v>2.8</v>
      </c>
      <c r="AD7" s="87">
        <v>2.7</v>
      </c>
      <c r="AE7" s="87">
        <v>3</v>
      </c>
      <c r="AF7" s="87">
        <v>2.5</v>
      </c>
      <c r="AG7" s="82">
        <f t="shared" si="0"/>
        <v>87.700000000000017</v>
      </c>
      <c r="AH7" s="48"/>
      <c r="AI7" s="48"/>
    </row>
    <row r="8" spans="1:35" s="44" customFormat="1" ht="18.75" customHeight="1" x14ac:dyDescent="0.35">
      <c r="A8" s="171" t="s">
        <v>65</v>
      </c>
      <c r="B8" s="49">
        <v>7</v>
      </c>
      <c r="C8" s="49">
        <v>6.9</v>
      </c>
      <c r="D8" s="49">
        <v>6.1</v>
      </c>
      <c r="E8" s="49">
        <v>6.5</v>
      </c>
      <c r="F8" s="49">
        <v>7.2</v>
      </c>
      <c r="G8" s="49">
        <v>6.9</v>
      </c>
      <c r="H8" s="49">
        <v>7.2</v>
      </c>
      <c r="I8" s="49">
        <v>6.8</v>
      </c>
      <c r="J8" s="49">
        <v>7.9</v>
      </c>
      <c r="K8" s="49">
        <v>6.1</v>
      </c>
      <c r="L8" s="49">
        <v>7</v>
      </c>
      <c r="M8" s="49">
        <v>7.9</v>
      </c>
      <c r="N8" s="49">
        <v>5.0999999999999996</v>
      </c>
      <c r="O8" s="49">
        <v>6.5</v>
      </c>
      <c r="P8" s="49">
        <v>7</v>
      </c>
      <c r="Q8" s="49">
        <v>6.9</v>
      </c>
      <c r="R8" s="49">
        <v>7.5</v>
      </c>
      <c r="S8" s="49">
        <v>3.3</v>
      </c>
      <c r="T8" s="50">
        <v>7.9</v>
      </c>
      <c r="U8" s="49">
        <v>5</v>
      </c>
      <c r="V8" s="49">
        <v>6.5</v>
      </c>
      <c r="W8" s="49">
        <v>6.9</v>
      </c>
      <c r="X8" s="49">
        <v>7</v>
      </c>
      <c r="Y8" s="49">
        <v>6.9</v>
      </c>
      <c r="Z8" s="49">
        <v>7</v>
      </c>
      <c r="AA8" s="50">
        <v>6.8</v>
      </c>
      <c r="AB8" s="49">
        <v>7.8</v>
      </c>
      <c r="AC8" s="49">
        <v>7.8</v>
      </c>
      <c r="AD8" s="49">
        <v>5.9</v>
      </c>
      <c r="AE8" s="49">
        <v>7</v>
      </c>
      <c r="AF8" s="49">
        <v>6.9</v>
      </c>
      <c r="AG8" s="82">
        <f t="shared" si="0"/>
        <v>209.20000000000005</v>
      </c>
      <c r="AH8" s="48"/>
      <c r="AI8" s="48"/>
    </row>
    <row r="9" spans="1:35" s="44" customFormat="1" ht="18.75" customHeight="1" x14ac:dyDescent="0.35">
      <c r="A9" s="171" t="s">
        <v>66</v>
      </c>
      <c r="B9" s="49">
        <v>8.1999999999999993</v>
      </c>
      <c r="C9" s="49">
        <v>4.8</v>
      </c>
      <c r="D9" s="49">
        <v>3.8</v>
      </c>
      <c r="E9" s="49">
        <v>5.8</v>
      </c>
      <c r="F9" s="49">
        <v>3.7</v>
      </c>
      <c r="G9" s="49">
        <v>6.8</v>
      </c>
      <c r="H9" s="49">
        <v>5.6</v>
      </c>
      <c r="I9" s="49">
        <v>4.3</v>
      </c>
      <c r="J9" s="49">
        <v>8.4</v>
      </c>
      <c r="K9" s="49">
        <v>7.6</v>
      </c>
      <c r="L9" s="49">
        <v>9.1999999999999993</v>
      </c>
      <c r="M9" s="49">
        <v>6.9</v>
      </c>
      <c r="N9" s="49">
        <v>8.5</v>
      </c>
      <c r="O9" s="49">
        <v>8.3000000000000007</v>
      </c>
      <c r="P9" s="49">
        <v>3.9</v>
      </c>
      <c r="Q9" s="49">
        <v>4.8</v>
      </c>
      <c r="R9" s="49">
        <v>5.9</v>
      </c>
      <c r="S9" s="49">
        <v>4.2</v>
      </c>
      <c r="T9" s="49">
        <v>5.9</v>
      </c>
      <c r="U9" s="49">
        <v>4.8</v>
      </c>
      <c r="V9" s="49">
        <v>5.7</v>
      </c>
      <c r="W9" s="50">
        <v>6.2</v>
      </c>
      <c r="X9" s="49">
        <v>4.8</v>
      </c>
      <c r="Y9" s="49">
        <v>5</v>
      </c>
      <c r="Z9" s="49">
        <v>8.4</v>
      </c>
      <c r="AA9" s="49">
        <v>7.6</v>
      </c>
      <c r="AB9" s="49">
        <v>5.6</v>
      </c>
      <c r="AC9" s="49">
        <v>7.6</v>
      </c>
      <c r="AD9" s="49">
        <v>3.8</v>
      </c>
      <c r="AE9" s="49">
        <v>8.3000000000000007</v>
      </c>
      <c r="AF9" s="49">
        <v>0</v>
      </c>
      <c r="AG9" s="82">
        <f t="shared" si="0"/>
        <v>184.40000000000003</v>
      </c>
      <c r="AH9" s="48"/>
      <c r="AI9" s="48"/>
    </row>
    <row r="10" spans="1:35" s="44" customFormat="1" ht="18.75" customHeight="1" x14ac:dyDescent="0.35">
      <c r="A10" s="171" t="s">
        <v>264</v>
      </c>
      <c r="B10" s="51">
        <v>0</v>
      </c>
      <c r="C10" s="51">
        <v>0.3</v>
      </c>
      <c r="D10" s="51">
        <v>0.5</v>
      </c>
      <c r="E10" s="51">
        <v>0.3</v>
      </c>
      <c r="F10" s="51">
        <v>0.5</v>
      </c>
      <c r="G10" s="51">
        <v>1.2</v>
      </c>
      <c r="H10" s="51">
        <v>0</v>
      </c>
      <c r="I10" s="51">
        <v>0.5</v>
      </c>
      <c r="J10" s="51">
        <v>0.7</v>
      </c>
      <c r="K10" s="51">
        <v>0.3</v>
      </c>
      <c r="L10" s="49">
        <v>0.7</v>
      </c>
      <c r="M10" s="49">
        <v>1</v>
      </c>
      <c r="N10" s="49">
        <v>1.5</v>
      </c>
      <c r="O10" s="49">
        <v>0</v>
      </c>
      <c r="P10" s="49">
        <v>0.3</v>
      </c>
      <c r="Q10" s="49">
        <v>0.5</v>
      </c>
      <c r="R10" s="49">
        <v>0.6</v>
      </c>
      <c r="S10" s="49">
        <v>0.7</v>
      </c>
      <c r="T10" s="49">
        <v>0.3</v>
      </c>
      <c r="U10" s="49">
        <v>1.5</v>
      </c>
      <c r="V10" s="49">
        <v>0</v>
      </c>
      <c r="W10" s="49">
        <v>0</v>
      </c>
      <c r="X10" s="49">
        <v>1.2</v>
      </c>
      <c r="Y10" s="49">
        <v>0.5</v>
      </c>
      <c r="Z10" s="49">
        <v>0.3</v>
      </c>
      <c r="AA10" s="49">
        <v>0.7</v>
      </c>
      <c r="AB10" s="49">
        <v>1.5</v>
      </c>
      <c r="AC10" s="49">
        <v>0</v>
      </c>
      <c r="AD10" s="49">
        <v>1</v>
      </c>
      <c r="AE10" s="49">
        <v>0.5</v>
      </c>
      <c r="AF10" s="49">
        <v>1</v>
      </c>
      <c r="AG10" s="82">
        <f>SUM(C10:AF10)</f>
        <v>18.100000000000001</v>
      </c>
      <c r="AH10" s="48"/>
      <c r="AI10" s="48"/>
    </row>
    <row r="11" spans="1:35" s="44" customFormat="1" ht="18.75" customHeight="1" x14ac:dyDescent="0.35">
      <c r="A11" s="171" t="s">
        <v>67</v>
      </c>
      <c r="B11" s="49">
        <v>8.51</v>
      </c>
      <c r="C11" s="49">
        <v>7.23</v>
      </c>
      <c r="D11" s="49">
        <v>7.25</v>
      </c>
      <c r="E11" s="49">
        <v>8.15</v>
      </c>
      <c r="F11" s="49">
        <v>7.21</v>
      </c>
      <c r="G11" s="49">
        <v>8.15</v>
      </c>
      <c r="H11" s="49">
        <v>7.29</v>
      </c>
      <c r="I11" s="49">
        <v>2.14</v>
      </c>
      <c r="J11" s="49">
        <v>7.21</v>
      </c>
      <c r="K11" s="49">
        <v>8.2100000000000009</v>
      </c>
      <c r="L11" s="49">
        <f>8+4.1</f>
        <v>12.1</v>
      </c>
      <c r="M11" s="49">
        <f>9.7+5.1</f>
        <v>14.799999999999999</v>
      </c>
      <c r="N11" s="49">
        <f>10.5+3.5</f>
        <v>14</v>
      </c>
      <c r="O11" s="49">
        <f>9.7+4</f>
        <v>13.7</v>
      </c>
      <c r="P11" s="49">
        <f>7.39+4.2</f>
        <v>11.59</v>
      </c>
      <c r="Q11" s="49">
        <f>9.15+5.2</f>
        <v>14.350000000000001</v>
      </c>
      <c r="R11" s="49">
        <f>7.6</f>
        <v>7.6</v>
      </c>
      <c r="S11" s="50">
        <v>8.14</v>
      </c>
      <c r="T11" s="49">
        <v>9.6999999999999993</v>
      </c>
      <c r="U11" s="49">
        <v>7.22</v>
      </c>
      <c r="V11" s="49">
        <v>8.14</v>
      </c>
      <c r="W11" s="49">
        <v>2.41</v>
      </c>
      <c r="X11" s="49">
        <v>8.16</v>
      </c>
      <c r="Y11" s="49">
        <f>11.2+5.3</f>
        <v>16.5</v>
      </c>
      <c r="Z11" s="44">
        <v>8.2200000000000006</v>
      </c>
      <c r="AA11" s="49">
        <f>8+4.3</f>
        <v>12.3</v>
      </c>
      <c r="AB11" s="49">
        <f>10+3.5</f>
        <v>13.5</v>
      </c>
      <c r="AC11" s="49">
        <f>9.8+4.5</f>
        <v>14.3</v>
      </c>
      <c r="AD11" s="49">
        <f>9.14+12.5</f>
        <v>21.64</v>
      </c>
      <c r="AE11" s="49">
        <v>13.2</v>
      </c>
      <c r="AF11" s="49">
        <v>2.31</v>
      </c>
      <c r="AG11" s="82">
        <f t="shared" ref="AG11:AG24" si="1">SUM(B11:AF11)</f>
        <v>305.22999999999996</v>
      </c>
      <c r="AH11" s="48"/>
      <c r="AI11" s="48"/>
    </row>
    <row r="12" spans="1:35" s="44" customFormat="1" ht="33" customHeight="1" x14ac:dyDescent="0.35">
      <c r="A12" s="171" t="s">
        <v>152</v>
      </c>
      <c r="B12" s="50"/>
      <c r="C12" s="49"/>
      <c r="D12" s="49"/>
      <c r="E12" s="49"/>
      <c r="F12" s="49"/>
      <c r="G12" s="49"/>
      <c r="H12" s="49"/>
      <c r="I12" s="49"/>
      <c r="J12" s="49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49"/>
      <c r="AE12" s="49"/>
      <c r="AF12" s="49"/>
      <c r="AG12" s="82">
        <f t="shared" si="1"/>
        <v>0</v>
      </c>
    </row>
    <row r="13" spans="1:35" s="44" customFormat="1" ht="33" x14ac:dyDescent="0.35">
      <c r="A13" s="173" t="s">
        <v>91</v>
      </c>
      <c r="B13" s="50">
        <f>7.3+1.5</f>
        <v>8.8000000000000007</v>
      </c>
      <c r="C13" s="50">
        <v>6.4</v>
      </c>
      <c r="D13" s="50">
        <v>7.3</v>
      </c>
      <c r="E13" s="50">
        <v>5.7</v>
      </c>
      <c r="F13" s="50">
        <v>6.5</v>
      </c>
      <c r="G13" s="50">
        <v>6.4</v>
      </c>
      <c r="H13" s="50">
        <v>7</v>
      </c>
      <c r="I13" s="50">
        <v>6.3</v>
      </c>
      <c r="J13" s="50">
        <v>3.9</v>
      </c>
      <c r="K13" s="49">
        <f>7.3+1.3</f>
        <v>8.6</v>
      </c>
      <c r="L13" s="49">
        <v>7.9</v>
      </c>
      <c r="M13" s="49">
        <v>6.2</v>
      </c>
      <c r="N13" s="49">
        <v>6.5</v>
      </c>
      <c r="O13" s="49">
        <v>6</v>
      </c>
      <c r="P13" s="49">
        <v>5.3</v>
      </c>
      <c r="Q13" s="49">
        <v>7.3</v>
      </c>
      <c r="R13" s="49">
        <v>4.2</v>
      </c>
      <c r="S13" s="49">
        <v>5.3</v>
      </c>
      <c r="T13" s="49">
        <v>6.2</v>
      </c>
      <c r="U13" s="49">
        <v>5.4</v>
      </c>
      <c r="V13" s="49">
        <v>6.4</v>
      </c>
      <c r="W13" s="49">
        <v>7.2</v>
      </c>
      <c r="X13" s="49">
        <v>6.4</v>
      </c>
      <c r="Y13" s="49">
        <v>7.3</v>
      </c>
      <c r="Z13" s="49">
        <v>10.3</v>
      </c>
      <c r="AA13" s="49">
        <f>9.8+6.9</f>
        <v>16.700000000000003</v>
      </c>
      <c r="AB13" s="49">
        <f>6.5+3.1</f>
        <v>9.6</v>
      </c>
      <c r="AC13" s="49">
        <f>7.3+1.9</f>
        <v>9.1999999999999993</v>
      </c>
      <c r="AD13" s="49">
        <v>7.4</v>
      </c>
      <c r="AE13" s="49">
        <f>7.5+1.5</f>
        <v>9</v>
      </c>
      <c r="AF13" s="49">
        <f>6.4+3</f>
        <v>9.4</v>
      </c>
      <c r="AG13" s="82">
        <f t="shared" si="1"/>
        <v>226.1</v>
      </c>
      <c r="AH13" s="48"/>
      <c r="AI13" s="48"/>
    </row>
    <row r="14" spans="1:35" s="44" customFormat="1" ht="18.75" customHeight="1" x14ac:dyDescent="0.35">
      <c r="A14" s="171" t="s">
        <v>69</v>
      </c>
      <c r="B14" s="49">
        <v>0</v>
      </c>
      <c r="C14" s="49">
        <v>2.2999999999999998</v>
      </c>
      <c r="D14" s="49">
        <v>2.4</v>
      </c>
      <c r="E14" s="49">
        <v>2.2999999999999998</v>
      </c>
      <c r="F14" s="49">
        <v>2.5</v>
      </c>
      <c r="G14" s="49">
        <v>2.4</v>
      </c>
      <c r="H14" s="49">
        <v>2.4</v>
      </c>
      <c r="I14" s="49">
        <v>2.2999999999999998</v>
      </c>
      <c r="J14" s="49">
        <v>2.5</v>
      </c>
      <c r="K14" s="49">
        <v>2.2999999999999998</v>
      </c>
      <c r="L14" s="49">
        <v>2.2000000000000002</v>
      </c>
      <c r="M14" s="49">
        <v>2.4</v>
      </c>
      <c r="N14" s="49">
        <v>2.2999999999999998</v>
      </c>
      <c r="O14" s="49">
        <v>2.2000000000000002</v>
      </c>
      <c r="P14" s="49">
        <v>2.2999999999999998</v>
      </c>
      <c r="Q14" s="49">
        <v>2.4</v>
      </c>
      <c r="R14" s="49">
        <v>2.2000000000000002</v>
      </c>
      <c r="S14" s="49">
        <v>2.1</v>
      </c>
      <c r="T14" s="49">
        <v>2.2999999999999998</v>
      </c>
      <c r="U14" s="49">
        <v>2.2999999999999998</v>
      </c>
      <c r="V14" s="49">
        <v>2.2000000000000002</v>
      </c>
      <c r="W14" s="49">
        <v>2.2999999999999998</v>
      </c>
      <c r="X14" s="49">
        <v>2.4</v>
      </c>
      <c r="Y14" s="49">
        <v>2.1</v>
      </c>
      <c r="Z14" s="49">
        <v>2.1</v>
      </c>
      <c r="AA14" s="49">
        <v>2.2999999999999998</v>
      </c>
      <c r="AB14" s="49">
        <v>2.2000000000000002</v>
      </c>
      <c r="AC14" s="49">
        <v>2.4</v>
      </c>
      <c r="AD14" s="49">
        <v>2.4</v>
      </c>
      <c r="AE14" s="49">
        <v>2.2999999999999998</v>
      </c>
      <c r="AF14" s="49">
        <v>2.4</v>
      </c>
      <c r="AG14" s="82">
        <f t="shared" si="1"/>
        <v>69.2</v>
      </c>
      <c r="AH14" s="48"/>
      <c r="AI14" s="48"/>
    </row>
    <row r="15" spans="1:35" s="44" customFormat="1" ht="18.75" customHeight="1" x14ac:dyDescent="0.35">
      <c r="A15" s="171" t="s">
        <v>71</v>
      </c>
      <c r="B15" s="49">
        <v>4.8</v>
      </c>
      <c r="C15" s="49">
        <v>5.6</v>
      </c>
      <c r="D15" s="49">
        <v>6</v>
      </c>
      <c r="E15" s="49">
        <v>5.8</v>
      </c>
      <c r="F15" s="49">
        <v>4.8</v>
      </c>
      <c r="G15" s="49">
        <v>4.4000000000000004</v>
      </c>
      <c r="H15" s="49">
        <v>4.7</v>
      </c>
      <c r="I15" s="49">
        <v>4.9000000000000004</v>
      </c>
      <c r="J15" s="49">
        <v>3.9</v>
      </c>
      <c r="K15" s="49">
        <v>4.7</v>
      </c>
      <c r="L15" s="49">
        <v>4.3</v>
      </c>
      <c r="M15" s="49">
        <v>4.5</v>
      </c>
      <c r="N15" s="49">
        <v>5</v>
      </c>
      <c r="O15" s="49">
        <v>5.6</v>
      </c>
      <c r="P15" s="49">
        <v>5.3</v>
      </c>
      <c r="Q15" s="49">
        <v>3.7</v>
      </c>
      <c r="R15" s="49">
        <v>4.9000000000000004</v>
      </c>
      <c r="S15" s="49">
        <v>3.9</v>
      </c>
      <c r="T15" s="49">
        <v>4.9000000000000004</v>
      </c>
      <c r="U15" s="49">
        <v>4.8</v>
      </c>
      <c r="V15" s="49">
        <v>3.9</v>
      </c>
      <c r="W15" s="49">
        <v>4.5999999999999996</v>
      </c>
      <c r="X15" s="49">
        <v>4.4000000000000004</v>
      </c>
      <c r="Y15" s="49">
        <v>4.5</v>
      </c>
      <c r="Z15" s="49">
        <v>4.5999999999999996</v>
      </c>
      <c r="AA15" s="49">
        <v>4.8</v>
      </c>
      <c r="AB15" s="49">
        <v>4.9000000000000004</v>
      </c>
      <c r="AC15" s="49">
        <v>4</v>
      </c>
      <c r="AD15" s="49">
        <v>4.8</v>
      </c>
      <c r="AE15" s="49">
        <v>4.9000000000000004</v>
      </c>
      <c r="AF15" s="49">
        <v>4.8</v>
      </c>
      <c r="AG15" s="82">
        <f t="shared" si="1"/>
        <v>146.70000000000005</v>
      </c>
      <c r="AH15" s="48"/>
      <c r="AI15" s="48"/>
    </row>
    <row r="16" spans="1:35" s="44" customFormat="1" ht="18.75" customHeight="1" x14ac:dyDescent="0.35">
      <c r="A16" s="171" t="s">
        <v>72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82">
        <f t="shared" si="1"/>
        <v>0</v>
      </c>
      <c r="AH16" s="48"/>
      <c r="AI16" s="48"/>
    </row>
    <row r="17" spans="1:35" s="44" customFormat="1" ht="18.75" customHeight="1" x14ac:dyDescent="0.35">
      <c r="A17" s="171" t="s">
        <v>85</v>
      </c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50"/>
      <c r="Q17" s="49"/>
      <c r="R17" s="49"/>
      <c r="S17" s="50"/>
      <c r="T17" s="49"/>
      <c r="U17" s="49"/>
      <c r="V17" s="49"/>
      <c r="W17" s="49"/>
      <c r="X17" s="49"/>
      <c r="Y17" s="49"/>
      <c r="Z17" s="49"/>
      <c r="AA17" s="49"/>
      <c r="AB17" s="49"/>
      <c r="AC17" s="50"/>
      <c r="AD17" s="49"/>
      <c r="AE17" s="49"/>
      <c r="AF17" s="49"/>
      <c r="AG17" s="82">
        <f t="shared" si="1"/>
        <v>0</v>
      </c>
      <c r="AH17" s="48"/>
      <c r="AI17" s="48"/>
    </row>
    <row r="18" spans="1:35" s="44" customFormat="1" ht="18.75" customHeight="1" x14ac:dyDescent="0.35">
      <c r="A18" s="188" t="s">
        <v>243</v>
      </c>
      <c r="B18" s="49">
        <v>0.3</v>
      </c>
      <c r="C18" s="49">
        <v>0.6</v>
      </c>
      <c r="D18" s="49">
        <v>0.4</v>
      </c>
      <c r="E18" s="49">
        <v>4.0999999999999996</v>
      </c>
      <c r="F18" s="49">
        <v>5</v>
      </c>
      <c r="G18" s="50">
        <v>4.0999999999999996</v>
      </c>
      <c r="H18" s="50">
        <v>4.3</v>
      </c>
      <c r="I18" s="49">
        <v>2.4</v>
      </c>
      <c r="J18" s="49">
        <v>1.8</v>
      </c>
      <c r="K18" s="49">
        <v>1.4</v>
      </c>
      <c r="L18" s="49">
        <v>2.2999999999999998</v>
      </c>
      <c r="M18" s="49">
        <v>1.6</v>
      </c>
      <c r="N18" s="49">
        <v>1.6</v>
      </c>
      <c r="O18" s="49">
        <v>2.4</v>
      </c>
      <c r="P18" s="49">
        <v>2</v>
      </c>
      <c r="Q18" s="49">
        <v>0.4</v>
      </c>
      <c r="R18" s="49">
        <v>0.5</v>
      </c>
      <c r="S18" s="49">
        <v>0.3</v>
      </c>
      <c r="T18" s="49">
        <v>0.4</v>
      </c>
      <c r="U18" s="49">
        <v>5.0999999999999996</v>
      </c>
      <c r="V18" s="49">
        <v>0.6</v>
      </c>
      <c r="W18" s="49">
        <v>0.8</v>
      </c>
      <c r="X18" s="49">
        <v>1.8</v>
      </c>
      <c r="Y18" s="49">
        <v>2</v>
      </c>
      <c r="Z18" s="49">
        <v>1.4</v>
      </c>
      <c r="AA18" s="49">
        <v>2.5</v>
      </c>
      <c r="AB18" s="49">
        <v>2.7</v>
      </c>
      <c r="AC18" s="49">
        <v>3.4</v>
      </c>
      <c r="AD18" s="49">
        <v>4.2</v>
      </c>
      <c r="AE18" s="49">
        <v>4.5999999999999996</v>
      </c>
      <c r="AF18" s="49">
        <v>5.2</v>
      </c>
      <c r="AG18" s="82">
        <f t="shared" si="1"/>
        <v>70.199999999999989</v>
      </c>
      <c r="AH18" s="48"/>
      <c r="AI18" s="48"/>
    </row>
    <row r="19" spans="1:35" s="44" customFormat="1" ht="18.75" customHeight="1" x14ac:dyDescent="0.35">
      <c r="A19" s="171" t="s">
        <v>73</v>
      </c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82">
        <f t="shared" si="1"/>
        <v>0</v>
      </c>
      <c r="AH19" s="48"/>
      <c r="AI19" s="48"/>
    </row>
    <row r="20" spans="1:35" s="44" customFormat="1" ht="18.75" customHeight="1" x14ac:dyDescent="0.35">
      <c r="A20" s="171" t="s">
        <v>92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82">
        <f t="shared" si="1"/>
        <v>0</v>
      </c>
      <c r="AH20" s="48"/>
      <c r="AI20" s="48"/>
    </row>
    <row r="21" spans="1:35" s="44" customFormat="1" ht="18.75" customHeight="1" x14ac:dyDescent="0.35">
      <c r="A21" s="171" t="s">
        <v>232</v>
      </c>
      <c r="B21" s="49">
        <v>1.9</v>
      </c>
      <c r="C21" s="49">
        <v>2</v>
      </c>
      <c r="D21" s="49">
        <v>5.7</v>
      </c>
      <c r="E21" s="49">
        <v>2.9</v>
      </c>
      <c r="F21" s="49">
        <v>6.3</v>
      </c>
      <c r="G21" s="49">
        <v>1.9</v>
      </c>
      <c r="H21" s="49">
        <v>2</v>
      </c>
      <c r="I21" s="49">
        <v>2.5</v>
      </c>
      <c r="J21" s="49">
        <v>3.5</v>
      </c>
      <c r="K21" s="49">
        <v>4.2</v>
      </c>
      <c r="L21" s="49">
        <v>3.3</v>
      </c>
      <c r="M21" s="49">
        <v>2.2999999999999998</v>
      </c>
      <c r="N21" s="49">
        <v>2.5</v>
      </c>
      <c r="O21" s="49">
        <v>3.2</v>
      </c>
      <c r="P21" s="49">
        <v>4.7</v>
      </c>
      <c r="Q21" s="49">
        <v>2.2000000000000002</v>
      </c>
      <c r="R21" s="49">
        <v>3.2</v>
      </c>
      <c r="S21" s="49">
        <v>2</v>
      </c>
      <c r="T21" s="49">
        <v>2.1</v>
      </c>
      <c r="U21" s="49">
        <v>1.8</v>
      </c>
      <c r="V21" s="49">
        <v>2.5</v>
      </c>
      <c r="W21" s="49">
        <v>2.8</v>
      </c>
      <c r="X21" s="49">
        <v>3.2</v>
      </c>
      <c r="Y21" s="49">
        <v>3.2</v>
      </c>
      <c r="Z21" s="49">
        <v>3.2</v>
      </c>
      <c r="AA21" s="49">
        <v>3.2</v>
      </c>
      <c r="AB21" s="49">
        <v>4.5</v>
      </c>
      <c r="AC21" s="49">
        <v>3.2</v>
      </c>
      <c r="AD21" s="49">
        <v>4.2</v>
      </c>
      <c r="AE21" s="49">
        <v>2</v>
      </c>
      <c r="AF21" s="49">
        <v>2</v>
      </c>
      <c r="AG21" s="82">
        <f t="shared" si="1"/>
        <v>94.200000000000017</v>
      </c>
      <c r="AH21" s="48"/>
      <c r="AI21" s="48"/>
    </row>
    <row r="22" spans="1:35" s="44" customFormat="1" ht="18.75" customHeight="1" x14ac:dyDescent="0.35">
      <c r="A22" s="171" t="s">
        <v>227</v>
      </c>
      <c r="B22" s="49">
        <v>3</v>
      </c>
      <c r="C22" s="49">
        <v>2.9</v>
      </c>
      <c r="D22" s="49">
        <v>4</v>
      </c>
      <c r="E22" s="49">
        <v>3.2</v>
      </c>
      <c r="F22" s="49">
        <v>2.8</v>
      </c>
      <c r="G22" s="49">
        <v>2.9</v>
      </c>
      <c r="H22" s="49">
        <v>3.8</v>
      </c>
      <c r="I22" s="49">
        <v>4.3</v>
      </c>
      <c r="J22" s="49">
        <v>7.2</v>
      </c>
      <c r="K22" s="49">
        <v>7.3</v>
      </c>
      <c r="L22" s="49">
        <v>6.3</v>
      </c>
      <c r="M22" s="49">
        <v>7.3</v>
      </c>
      <c r="N22" s="49">
        <v>6.5</v>
      </c>
      <c r="O22" s="49">
        <v>7.3</v>
      </c>
      <c r="P22" s="49">
        <v>5.2</v>
      </c>
      <c r="Q22" s="49">
        <v>3.1</v>
      </c>
      <c r="R22" s="49">
        <v>6.2</v>
      </c>
      <c r="S22" s="49">
        <v>3.5</v>
      </c>
      <c r="T22" s="49">
        <v>3.4</v>
      </c>
      <c r="U22" s="49">
        <v>4.5</v>
      </c>
      <c r="V22" s="49">
        <v>3.3</v>
      </c>
      <c r="W22" s="49">
        <v>4.2</v>
      </c>
      <c r="X22" s="49">
        <v>5.8</v>
      </c>
      <c r="Y22" s="49">
        <v>5.8</v>
      </c>
      <c r="Z22" s="49">
        <v>8.3000000000000007</v>
      </c>
      <c r="AA22" s="49">
        <v>7.5</v>
      </c>
      <c r="AB22" s="49">
        <v>7.5</v>
      </c>
      <c r="AC22" s="49">
        <v>6.3</v>
      </c>
      <c r="AD22" s="49">
        <v>7.2</v>
      </c>
      <c r="AE22" s="49">
        <v>3.1</v>
      </c>
      <c r="AF22" s="49">
        <v>5.2</v>
      </c>
      <c r="AG22" s="82">
        <f t="shared" si="1"/>
        <v>158.89999999999998</v>
      </c>
      <c r="AH22" s="48"/>
      <c r="AI22" s="48"/>
    </row>
    <row r="23" spans="1:35" s="44" customFormat="1" ht="18.75" customHeight="1" x14ac:dyDescent="0.35">
      <c r="A23" s="171" t="s">
        <v>74</v>
      </c>
      <c r="B23" s="49">
        <v>7.3</v>
      </c>
      <c r="C23" s="49">
        <v>9.4</v>
      </c>
      <c r="D23" s="49">
        <v>7.6</v>
      </c>
      <c r="E23" s="49">
        <v>8.3000000000000007</v>
      </c>
      <c r="F23" s="49">
        <v>9.1999999999999993</v>
      </c>
      <c r="G23" s="49">
        <v>6.3</v>
      </c>
      <c r="H23" s="49">
        <v>7.4</v>
      </c>
      <c r="I23" s="49">
        <v>5.2</v>
      </c>
      <c r="J23" s="49">
        <v>4</v>
      </c>
      <c r="K23" s="49">
        <v>7</v>
      </c>
      <c r="L23" s="49">
        <v>7.5</v>
      </c>
      <c r="M23" s="49">
        <v>8.1</v>
      </c>
      <c r="N23" s="49">
        <v>8.3000000000000007</v>
      </c>
      <c r="O23" s="49">
        <v>4.7</v>
      </c>
      <c r="P23" s="49">
        <v>9</v>
      </c>
      <c r="Q23" s="49">
        <v>4.5</v>
      </c>
      <c r="R23" s="49">
        <v>5</v>
      </c>
      <c r="S23" s="49">
        <v>4</v>
      </c>
      <c r="T23" s="49">
        <v>4.5</v>
      </c>
      <c r="U23" s="49">
        <v>5</v>
      </c>
      <c r="V23" s="49">
        <v>8</v>
      </c>
      <c r="W23" s="49">
        <v>9</v>
      </c>
      <c r="X23" s="49">
        <v>9</v>
      </c>
      <c r="Y23" s="49">
        <v>5</v>
      </c>
      <c r="Z23" s="49"/>
      <c r="AA23" s="49"/>
      <c r="AB23" s="49"/>
      <c r="AC23" s="49">
        <v>4.4000000000000004</v>
      </c>
      <c r="AD23" s="49">
        <v>4.3</v>
      </c>
      <c r="AE23" s="49">
        <v>4.5999999999999996</v>
      </c>
      <c r="AF23" s="49">
        <v>4</v>
      </c>
      <c r="AG23" s="82">
        <f t="shared" si="1"/>
        <v>180.6</v>
      </c>
      <c r="AH23" s="48"/>
      <c r="AI23" s="48"/>
    </row>
    <row r="24" spans="1:35" s="44" customFormat="1" ht="18.75" customHeight="1" x14ac:dyDescent="0.35">
      <c r="A24" s="171" t="s">
        <v>75</v>
      </c>
      <c r="B24" s="50">
        <v>0</v>
      </c>
      <c r="C24" s="50">
        <v>2.4</v>
      </c>
      <c r="D24" s="50">
        <v>2.6</v>
      </c>
      <c r="E24" s="50">
        <v>2.7</v>
      </c>
      <c r="F24" s="50">
        <v>2.4</v>
      </c>
      <c r="G24" s="50">
        <v>2.96</v>
      </c>
      <c r="H24" s="50">
        <v>0</v>
      </c>
      <c r="I24" s="50">
        <v>0.3</v>
      </c>
      <c r="J24" s="50">
        <v>2.6</v>
      </c>
      <c r="K24" s="49">
        <v>0.3</v>
      </c>
      <c r="L24" s="49">
        <v>4.2</v>
      </c>
      <c r="M24" s="49">
        <v>0.3</v>
      </c>
      <c r="N24" s="49">
        <v>4.2</v>
      </c>
      <c r="O24" s="49">
        <v>0</v>
      </c>
      <c r="P24" s="49">
        <v>4.0999999999999996</v>
      </c>
      <c r="Q24" s="49">
        <v>0</v>
      </c>
      <c r="R24" s="49">
        <v>5.2</v>
      </c>
      <c r="S24" s="49">
        <v>4.3</v>
      </c>
      <c r="T24" s="49">
        <v>6.3</v>
      </c>
      <c r="U24" s="49">
        <v>4</v>
      </c>
      <c r="V24" s="49">
        <v>0.5</v>
      </c>
      <c r="W24" s="49">
        <v>0.5</v>
      </c>
      <c r="X24" s="49">
        <v>0.4</v>
      </c>
      <c r="Y24" s="49">
        <v>0.1</v>
      </c>
      <c r="Z24" s="49">
        <v>3.2</v>
      </c>
      <c r="AA24" s="49">
        <v>4.0999999999999996</v>
      </c>
      <c r="AB24" s="49">
        <v>4.3</v>
      </c>
      <c r="AC24" s="49">
        <v>6.1</v>
      </c>
      <c r="AD24" s="49">
        <v>0.5</v>
      </c>
      <c r="AE24" s="49">
        <v>0.6</v>
      </c>
      <c r="AF24" s="49">
        <v>0.6</v>
      </c>
      <c r="AG24" s="82">
        <f t="shared" si="1"/>
        <v>69.759999999999977</v>
      </c>
      <c r="AH24" s="48"/>
      <c r="AI24" s="48"/>
    </row>
    <row r="25" spans="1:35" s="44" customFormat="1" ht="18.75" customHeight="1" x14ac:dyDescent="0.35">
      <c r="A25" s="171" t="s">
        <v>77</v>
      </c>
      <c r="B25" s="49">
        <v>2.1</v>
      </c>
      <c r="C25" s="49">
        <v>2.2000000000000002</v>
      </c>
      <c r="D25" s="49">
        <v>2.1</v>
      </c>
      <c r="E25" s="49">
        <v>2.2000000000000002</v>
      </c>
      <c r="F25" s="49">
        <v>2.1</v>
      </c>
      <c r="G25" s="49">
        <v>0</v>
      </c>
      <c r="H25" s="49">
        <v>0</v>
      </c>
      <c r="I25" s="49">
        <v>2.2000000000000002</v>
      </c>
      <c r="J25" s="49">
        <v>2.1</v>
      </c>
      <c r="K25" s="49">
        <v>2.1</v>
      </c>
      <c r="L25" s="49">
        <v>2.2000000000000002</v>
      </c>
      <c r="M25" s="49">
        <v>2</v>
      </c>
      <c r="N25" s="49">
        <v>0</v>
      </c>
      <c r="O25" s="49">
        <v>0</v>
      </c>
      <c r="P25" s="49">
        <v>2.1</v>
      </c>
      <c r="Q25" s="49">
        <v>2.2000000000000002</v>
      </c>
      <c r="R25" s="49">
        <v>2.2000000000000002</v>
      </c>
      <c r="S25" s="49">
        <v>2.1</v>
      </c>
      <c r="T25" s="49">
        <v>2.2999999999999998</v>
      </c>
      <c r="U25" s="49">
        <v>2.2000000000000002</v>
      </c>
      <c r="V25" s="49">
        <v>0</v>
      </c>
      <c r="W25" s="49">
        <v>2.1</v>
      </c>
      <c r="X25" s="49">
        <v>2.2000000000000002</v>
      </c>
      <c r="Y25" s="49">
        <v>2.2000000000000002</v>
      </c>
      <c r="Z25" s="49">
        <v>2.2000000000000002</v>
      </c>
      <c r="AA25" s="49">
        <v>2.1</v>
      </c>
      <c r="AB25" s="49">
        <v>0</v>
      </c>
      <c r="AC25" s="49">
        <v>0</v>
      </c>
      <c r="AD25" s="49">
        <v>2.1</v>
      </c>
      <c r="AE25" s="49">
        <v>2.2000000000000002</v>
      </c>
      <c r="AF25" s="49">
        <v>2.1</v>
      </c>
      <c r="AG25" s="82">
        <v>2</v>
      </c>
      <c r="AH25" s="48"/>
      <c r="AI25" s="48"/>
    </row>
    <row r="26" spans="1:35" s="44" customFormat="1" ht="18.75" customHeight="1" x14ac:dyDescent="0.35">
      <c r="A26" s="171" t="s">
        <v>78</v>
      </c>
      <c r="B26" s="49">
        <v>7</v>
      </c>
      <c r="C26" s="49">
        <f>4+2.9</f>
        <v>6.9</v>
      </c>
      <c r="D26" s="49">
        <v>9.9</v>
      </c>
      <c r="E26" s="49">
        <f>2.7+3.8</f>
        <v>6.5</v>
      </c>
      <c r="F26" s="49">
        <f>4.8+3.9</f>
        <v>8.6999999999999993</v>
      </c>
      <c r="G26" s="49">
        <f>3.7+2.3</f>
        <v>6</v>
      </c>
      <c r="H26" s="49">
        <v>7.6</v>
      </c>
      <c r="I26" s="49">
        <v>0</v>
      </c>
      <c r="J26" s="49">
        <v>7.7</v>
      </c>
      <c r="K26" s="49">
        <f>5.3+3.9</f>
        <v>9.1999999999999993</v>
      </c>
      <c r="L26" s="49">
        <f>2.7+4</f>
        <v>6.7</v>
      </c>
      <c r="M26" s="49">
        <f>3.6+2.9</f>
        <v>6.5</v>
      </c>
      <c r="N26" s="49">
        <v>7.4</v>
      </c>
      <c r="O26" s="49">
        <v>5.7</v>
      </c>
      <c r="P26" s="49">
        <v>7.2</v>
      </c>
      <c r="Q26" s="49">
        <v>7.7</v>
      </c>
      <c r="R26" s="49">
        <f>4.8+3.9</f>
        <v>8.6999999999999993</v>
      </c>
      <c r="S26" s="49">
        <v>5.7</v>
      </c>
      <c r="T26" s="49">
        <f>2.9+1.7</f>
        <v>4.5999999999999996</v>
      </c>
      <c r="U26" s="49">
        <f>3+2.4</f>
        <v>5.4</v>
      </c>
      <c r="V26" s="49">
        <f>4.8+2.3</f>
        <v>7.1</v>
      </c>
      <c r="W26" s="49">
        <f>2.3+1.9</f>
        <v>4.1999999999999993</v>
      </c>
      <c r="X26" s="49">
        <f>3.2+1.8</f>
        <v>5</v>
      </c>
      <c r="Y26" s="49">
        <f>2.8+2</f>
        <v>4.8</v>
      </c>
      <c r="Z26" s="49">
        <f>4+2.8</f>
        <v>6.8</v>
      </c>
      <c r="AA26" s="49">
        <f>3.8+1.9</f>
        <v>5.6999999999999993</v>
      </c>
      <c r="AB26" s="49">
        <f>2.8+1</f>
        <v>3.8</v>
      </c>
      <c r="AC26" s="49">
        <f>3.6+2.9</f>
        <v>6.5</v>
      </c>
      <c r="AD26" s="49">
        <f>3.8+2.6</f>
        <v>6.4</v>
      </c>
      <c r="AE26" s="49">
        <v>3.2</v>
      </c>
      <c r="AF26" s="49">
        <v>4</v>
      </c>
      <c r="AG26" s="82">
        <f t="shared" ref="AG26:AG31" si="2">SUM(B26:AF26)</f>
        <v>192.60000000000002</v>
      </c>
      <c r="AH26" s="48"/>
      <c r="AI26" s="48"/>
    </row>
    <row r="27" spans="1:35" s="44" customFormat="1" ht="18.75" customHeight="1" x14ac:dyDescent="0.35">
      <c r="A27" s="171" t="s">
        <v>79</v>
      </c>
      <c r="B27" s="49">
        <v>0</v>
      </c>
      <c r="C27" s="49">
        <v>1.5</v>
      </c>
      <c r="D27" s="49">
        <v>3.2</v>
      </c>
      <c r="E27" s="49">
        <v>2.5</v>
      </c>
      <c r="F27" s="49">
        <v>3.4</v>
      </c>
      <c r="G27" s="49">
        <v>2.5</v>
      </c>
      <c r="H27" s="49">
        <v>0</v>
      </c>
      <c r="I27" s="49">
        <v>3.5</v>
      </c>
      <c r="J27" s="49">
        <v>3</v>
      </c>
      <c r="K27" s="49">
        <v>3.5</v>
      </c>
      <c r="L27" s="49">
        <v>3</v>
      </c>
      <c r="M27" s="49">
        <v>2.5</v>
      </c>
      <c r="N27" s="49">
        <v>2.2999999999999998</v>
      </c>
      <c r="O27" s="49">
        <v>4.5</v>
      </c>
      <c r="P27" s="49">
        <v>4</v>
      </c>
      <c r="Q27" s="49">
        <v>3.5</v>
      </c>
      <c r="R27" s="49">
        <v>3.2</v>
      </c>
      <c r="S27" s="49">
        <v>3</v>
      </c>
      <c r="T27" s="49">
        <v>3.5</v>
      </c>
      <c r="U27" s="44">
        <v>2.5</v>
      </c>
      <c r="V27" s="49">
        <v>4.3</v>
      </c>
      <c r="W27" s="49">
        <v>1.3</v>
      </c>
      <c r="X27" s="49">
        <v>2.5</v>
      </c>
      <c r="Y27" s="49">
        <v>1.6</v>
      </c>
      <c r="Z27" s="49">
        <v>2.2999999999999998</v>
      </c>
      <c r="AA27" s="49">
        <v>2.5</v>
      </c>
      <c r="AB27" s="49">
        <v>3.5</v>
      </c>
      <c r="AC27" s="49">
        <v>4.3</v>
      </c>
      <c r="AD27" s="49">
        <v>3.5</v>
      </c>
      <c r="AE27" s="49">
        <v>4</v>
      </c>
      <c r="AF27" s="49">
        <v>3.5</v>
      </c>
      <c r="AG27" s="82">
        <f t="shared" si="2"/>
        <v>88.399999999999991</v>
      </c>
      <c r="AH27" s="48"/>
      <c r="AI27" s="48"/>
    </row>
    <row r="28" spans="1:35" s="44" customFormat="1" ht="18.75" customHeight="1" x14ac:dyDescent="0.35">
      <c r="A28" s="171" t="s">
        <v>154</v>
      </c>
      <c r="B28" s="49">
        <v>0</v>
      </c>
      <c r="C28" s="49">
        <v>3.9</v>
      </c>
      <c r="D28" s="49">
        <v>3.8</v>
      </c>
      <c r="E28" s="49">
        <v>3.9</v>
      </c>
      <c r="F28" s="49">
        <v>2.2999999999999998</v>
      </c>
      <c r="G28" s="49">
        <v>3</v>
      </c>
      <c r="H28" s="49">
        <v>0</v>
      </c>
      <c r="I28" s="49">
        <v>2.8</v>
      </c>
      <c r="J28" s="49">
        <v>3.1</v>
      </c>
      <c r="K28" s="49">
        <v>2.2999999999999998</v>
      </c>
      <c r="L28" s="49">
        <v>2.8</v>
      </c>
      <c r="M28" s="49">
        <v>3.1</v>
      </c>
      <c r="N28" s="49">
        <v>3</v>
      </c>
      <c r="O28" s="49">
        <v>0</v>
      </c>
      <c r="P28" s="49">
        <v>3.9</v>
      </c>
      <c r="Q28" s="44">
        <v>3.8</v>
      </c>
      <c r="R28" s="49">
        <v>2.9</v>
      </c>
      <c r="S28" s="49">
        <v>3.1</v>
      </c>
      <c r="T28" s="49">
        <v>2</v>
      </c>
      <c r="U28" s="49">
        <v>2.2999999999999998</v>
      </c>
      <c r="V28" s="49">
        <v>0</v>
      </c>
      <c r="W28" s="49">
        <v>0</v>
      </c>
      <c r="X28" s="49">
        <v>2.1</v>
      </c>
      <c r="Y28" s="49">
        <v>2.5</v>
      </c>
      <c r="Z28" s="49">
        <v>2.2999999999999998</v>
      </c>
      <c r="AA28" s="49">
        <v>2</v>
      </c>
      <c r="AB28" s="49">
        <v>2.1</v>
      </c>
      <c r="AC28" s="49">
        <v>0</v>
      </c>
      <c r="AD28" s="49">
        <v>3.8</v>
      </c>
      <c r="AE28" s="49">
        <v>3.9</v>
      </c>
      <c r="AF28" s="49">
        <v>3.8</v>
      </c>
      <c r="AG28" s="82">
        <f t="shared" si="2"/>
        <v>74.5</v>
      </c>
      <c r="AH28" s="48"/>
      <c r="AI28" s="48"/>
    </row>
    <row r="29" spans="1:35" s="44" customFormat="1" ht="18.75" customHeight="1" x14ac:dyDescent="0.35">
      <c r="A29" s="171" t="s">
        <v>80</v>
      </c>
      <c r="B29" s="49"/>
      <c r="C29" s="49"/>
      <c r="D29" s="49"/>
      <c r="E29" s="49"/>
      <c r="F29" s="50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82">
        <f t="shared" si="2"/>
        <v>0</v>
      </c>
      <c r="AH29" s="48"/>
      <c r="AI29" s="48"/>
    </row>
    <row r="30" spans="1:35" s="44" customFormat="1" ht="18.75" customHeight="1" x14ac:dyDescent="0.35">
      <c r="A30" s="171" t="s">
        <v>76</v>
      </c>
      <c r="B30" s="49">
        <v>2.8</v>
      </c>
      <c r="C30" s="49">
        <v>2.5</v>
      </c>
      <c r="D30" s="49">
        <v>3</v>
      </c>
      <c r="E30" s="49">
        <v>2.5</v>
      </c>
      <c r="F30" s="49">
        <v>2</v>
      </c>
      <c r="G30" s="49">
        <v>2.5</v>
      </c>
      <c r="H30" s="49">
        <v>3</v>
      </c>
      <c r="I30" s="49">
        <v>2.5</v>
      </c>
      <c r="J30" s="49">
        <v>2</v>
      </c>
      <c r="K30" s="49">
        <v>2.5</v>
      </c>
      <c r="L30" s="49">
        <v>2.5</v>
      </c>
      <c r="M30" s="49">
        <v>3</v>
      </c>
      <c r="N30" s="49">
        <v>2.8</v>
      </c>
      <c r="O30" s="49">
        <v>3</v>
      </c>
      <c r="P30" s="49">
        <v>2.8</v>
      </c>
      <c r="Q30" s="49">
        <v>2.5</v>
      </c>
      <c r="R30" s="49">
        <v>10.9</v>
      </c>
      <c r="S30" s="49">
        <v>2.8</v>
      </c>
      <c r="T30" s="49">
        <v>3</v>
      </c>
      <c r="U30" s="49">
        <v>2.8</v>
      </c>
      <c r="V30" s="49">
        <v>3</v>
      </c>
      <c r="W30" s="49">
        <v>2.8</v>
      </c>
      <c r="X30" s="49">
        <v>3</v>
      </c>
      <c r="Y30" s="49">
        <v>2.8</v>
      </c>
      <c r="Z30" s="49">
        <v>4.7</v>
      </c>
      <c r="AA30" s="49">
        <v>4</v>
      </c>
      <c r="AB30" s="49">
        <v>4.3</v>
      </c>
      <c r="AC30" s="49">
        <v>4.8</v>
      </c>
      <c r="AD30" s="49">
        <v>3.9</v>
      </c>
      <c r="AE30" s="49">
        <v>4.7</v>
      </c>
      <c r="AF30" s="49">
        <v>3.6</v>
      </c>
      <c r="AG30" s="82">
        <f t="shared" si="2"/>
        <v>102.99999999999999</v>
      </c>
      <c r="AH30" s="48"/>
      <c r="AI30" s="48"/>
    </row>
    <row r="31" spans="1:35" s="44" customFormat="1" ht="18.75" customHeight="1" x14ac:dyDescent="0.35">
      <c r="A31" s="171" t="s">
        <v>81</v>
      </c>
      <c r="B31" s="49">
        <f>7.4+3.9+5.2</f>
        <v>16.5</v>
      </c>
      <c r="C31" s="49">
        <f>4.3+5.7+6</f>
        <v>16</v>
      </c>
      <c r="D31" s="49">
        <f>5.1+3.4+7.2</f>
        <v>15.7</v>
      </c>
      <c r="E31" s="49">
        <f>6.5+4.3+5</f>
        <v>15.8</v>
      </c>
      <c r="F31" s="49">
        <f>5.7+3.9+4</f>
        <v>13.6</v>
      </c>
      <c r="G31" s="49">
        <f>6.1+5.3+4.3</f>
        <v>15.7</v>
      </c>
      <c r="H31" s="49">
        <f>4.5+5.3+4.9</f>
        <v>14.700000000000001</v>
      </c>
      <c r="I31" s="49">
        <f>3.9+3+4.5</f>
        <v>11.4</v>
      </c>
      <c r="J31" s="49">
        <f>6.7+4.5+3</f>
        <v>14.2</v>
      </c>
      <c r="K31" s="49">
        <f>7+5+3.9</f>
        <v>15.9</v>
      </c>
      <c r="L31" s="49">
        <f>6+3.8+4</f>
        <v>13.8</v>
      </c>
      <c r="M31" s="49">
        <f>3+2.7</f>
        <v>5.7</v>
      </c>
      <c r="N31" s="50">
        <f>6+5.3+4.1</f>
        <v>15.4</v>
      </c>
      <c r="O31" s="50">
        <f>3.9+4.5+7.3</f>
        <v>15.7</v>
      </c>
      <c r="P31" s="50">
        <f>8+3.9+4</f>
        <v>15.9</v>
      </c>
      <c r="Q31" s="49">
        <f>5.6+3+4.5</f>
        <v>13.1</v>
      </c>
      <c r="R31" s="49">
        <f>7+5+4</f>
        <v>16</v>
      </c>
      <c r="S31" s="49">
        <f>7.9+5.2+4</f>
        <v>17.100000000000001</v>
      </c>
      <c r="T31" s="49">
        <f>3.9+3.8+2.5</f>
        <v>10.199999999999999</v>
      </c>
      <c r="U31" s="49">
        <f>4.5+3.8+4</f>
        <v>12.3</v>
      </c>
      <c r="V31" s="49">
        <f>2.9+3.8+4</f>
        <v>10.7</v>
      </c>
      <c r="W31" s="49">
        <f>4+8.3+7</f>
        <v>19.3</v>
      </c>
      <c r="X31" s="49">
        <f>5.3+4.5+5.3</f>
        <v>15.100000000000001</v>
      </c>
      <c r="Y31" s="49">
        <f>2.8+4.3+6.1</f>
        <v>13.2</v>
      </c>
      <c r="Z31" s="49">
        <f>5.7+3.8+7.3</f>
        <v>16.8</v>
      </c>
      <c r="AA31" s="49">
        <f>6.5+5.8+4</f>
        <v>16.3</v>
      </c>
      <c r="AB31" s="49">
        <f>4+3.9</f>
        <v>7.9</v>
      </c>
      <c r="AC31" s="49">
        <f>2+4+2.9</f>
        <v>8.9</v>
      </c>
      <c r="AD31" s="49">
        <f>5.8+4.5+3</f>
        <v>13.3</v>
      </c>
      <c r="AE31" s="49">
        <f>6.2+7.3+5.7</f>
        <v>19.2</v>
      </c>
      <c r="AF31" s="49">
        <f>6.2+4.9+3.8</f>
        <v>14.900000000000002</v>
      </c>
      <c r="AG31" s="82">
        <f t="shared" si="2"/>
        <v>440.29999999999995</v>
      </c>
      <c r="AH31" s="48"/>
      <c r="AI31" s="48"/>
    </row>
    <row r="32" spans="1:35" s="44" customFormat="1" ht="18.75" customHeight="1" x14ac:dyDescent="0.35">
      <c r="A32" s="171" t="s">
        <v>265</v>
      </c>
      <c r="B32" s="49">
        <v>3.3</v>
      </c>
      <c r="C32" s="49">
        <v>3</v>
      </c>
      <c r="D32" s="49">
        <f>1.9+1.3</f>
        <v>3.2</v>
      </c>
      <c r="E32" s="49">
        <f>2.1+1.7</f>
        <v>3.8</v>
      </c>
      <c r="F32" s="49">
        <v>4.4000000000000004</v>
      </c>
      <c r="G32" s="49">
        <f>2.7+1.9</f>
        <v>4.5999999999999996</v>
      </c>
      <c r="H32" s="49">
        <v>3.1</v>
      </c>
      <c r="I32" s="49">
        <f>2.3+0.9</f>
        <v>3.1999999999999997</v>
      </c>
      <c r="J32" s="49">
        <f>2.7+1.9</f>
        <v>4.5999999999999996</v>
      </c>
      <c r="K32" s="52">
        <f>3.1+2.9</f>
        <v>6</v>
      </c>
      <c r="L32" s="52">
        <f>2.9+0.9</f>
        <v>3.8</v>
      </c>
      <c r="M32" s="52">
        <v>2.4</v>
      </c>
      <c r="N32" s="52">
        <v>3.3</v>
      </c>
      <c r="O32" s="52">
        <f>2.1+1.9</f>
        <v>4</v>
      </c>
      <c r="P32" s="52">
        <v>5.2</v>
      </c>
      <c r="Q32" s="52">
        <v>4</v>
      </c>
      <c r="R32" s="52">
        <v>4</v>
      </c>
      <c r="S32" s="52">
        <v>4.2</v>
      </c>
      <c r="T32" s="52">
        <v>4</v>
      </c>
      <c r="U32" s="52">
        <f>2.3+2</f>
        <v>4.3</v>
      </c>
      <c r="V32" s="52">
        <v>2.5</v>
      </c>
      <c r="W32" s="52">
        <v>0.9</v>
      </c>
      <c r="X32" s="52">
        <v>4.4000000000000004</v>
      </c>
      <c r="Y32" s="52">
        <v>2.5</v>
      </c>
      <c r="Z32" s="52">
        <v>2.2999999999999998</v>
      </c>
      <c r="AA32" s="52">
        <f>2.4+3.1</f>
        <v>5.5</v>
      </c>
      <c r="AB32" s="52">
        <f>2.3+1.9</f>
        <v>4.1999999999999993</v>
      </c>
      <c r="AC32" s="52">
        <v>2.1</v>
      </c>
      <c r="AD32" s="52">
        <f>2.9+1.7</f>
        <v>4.5999999999999996</v>
      </c>
      <c r="AE32" s="52">
        <v>5.2</v>
      </c>
      <c r="AF32" s="52">
        <v>4</v>
      </c>
      <c r="AG32" s="82">
        <v>0</v>
      </c>
      <c r="AH32" s="48"/>
      <c r="AI32" s="48"/>
    </row>
    <row r="33" spans="1:35" s="44" customFormat="1" ht="18.75" customHeight="1" x14ac:dyDescent="0.35">
      <c r="A33" s="171" t="s">
        <v>86</v>
      </c>
      <c r="B33" s="52">
        <v>6</v>
      </c>
      <c r="C33" s="52">
        <v>5</v>
      </c>
      <c r="D33" s="52">
        <v>5</v>
      </c>
      <c r="E33" s="52">
        <v>7</v>
      </c>
      <c r="F33" s="52">
        <v>7</v>
      </c>
      <c r="G33" s="52">
        <v>5</v>
      </c>
      <c r="H33" s="52">
        <v>6</v>
      </c>
      <c r="I33" s="52">
        <v>7</v>
      </c>
      <c r="J33" s="52">
        <v>7</v>
      </c>
      <c r="K33" s="49">
        <v>5</v>
      </c>
      <c r="L33" s="49">
        <v>6</v>
      </c>
      <c r="M33" s="49">
        <v>7</v>
      </c>
      <c r="N33" s="49">
        <v>7</v>
      </c>
      <c r="O33" s="49">
        <v>6</v>
      </c>
      <c r="P33" s="49">
        <v>6</v>
      </c>
      <c r="Q33" s="49">
        <v>7</v>
      </c>
      <c r="R33" s="49">
        <v>7</v>
      </c>
      <c r="S33" s="49">
        <v>6</v>
      </c>
      <c r="T33" s="49">
        <v>4</v>
      </c>
      <c r="U33" s="49">
        <v>5</v>
      </c>
      <c r="V33" s="49">
        <v>8</v>
      </c>
      <c r="W33" s="49">
        <v>7</v>
      </c>
      <c r="X33" s="49">
        <v>5</v>
      </c>
      <c r="Y33" s="49">
        <v>5</v>
      </c>
      <c r="Z33" s="49">
        <v>6</v>
      </c>
      <c r="AA33" s="49">
        <v>6</v>
      </c>
      <c r="AB33" s="49">
        <v>6</v>
      </c>
      <c r="AC33" s="49">
        <v>6</v>
      </c>
      <c r="AD33" s="49">
        <v>6</v>
      </c>
      <c r="AE33" s="49">
        <v>5</v>
      </c>
      <c r="AF33" s="49">
        <v>6</v>
      </c>
      <c r="AG33" s="82">
        <f>SUM(B33:AF33)</f>
        <v>187</v>
      </c>
      <c r="AH33" s="48"/>
      <c r="AI33" s="48"/>
    </row>
    <row r="34" spans="1:35" s="44" customFormat="1" ht="18.75" customHeight="1" x14ac:dyDescent="0.35">
      <c r="A34" s="171" t="s">
        <v>82</v>
      </c>
      <c r="B34" s="49">
        <f>11.9+10.9+11.9</f>
        <v>34.700000000000003</v>
      </c>
      <c r="C34" s="49">
        <f>11+9.9+10.9</f>
        <v>31.799999999999997</v>
      </c>
      <c r="D34" s="49">
        <f>12.9+10.2+9.9</f>
        <v>33</v>
      </c>
      <c r="E34" s="49">
        <f>14.9+10.9+10.8</f>
        <v>36.6</v>
      </c>
      <c r="F34" s="49">
        <f>13.9+14.9+10.8</f>
        <v>39.6</v>
      </c>
      <c r="G34" s="49">
        <f>16.9+17.5+18.5</f>
        <v>52.9</v>
      </c>
      <c r="H34" s="49">
        <f>14.5+17.2+18.2</f>
        <v>49.9</v>
      </c>
      <c r="I34" s="49">
        <f>14.5+19.2+18.2</f>
        <v>51.900000000000006</v>
      </c>
      <c r="J34" s="49">
        <f>4+3.4+1</f>
        <v>8.4</v>
      </c>
      <c r="K34" s="49">
        <f>11.9+10.1+9.9</f>
        <v>31.9</v>
      </c>
      <c r="L34" s="49">
        <f>10.5+10.9+10.9</f>
        <v>32.299999999999997</v>
      </c>
      <c r="M34" s="49">
        <f>14.9+10.8+9.8</f>
        <v>35.5</v>
      </c>
      <c r="N34" s="49">
        <f>10.9+9.9+8.9</f>
        <v>29.700000000000003</v>
      </c>
      <c r="O34" s="49">
        <f>10.39+10.5+18</f>
        <v>38.89</v>
      </c>
      <c r="P34" s="49">
        <f>19.4+18.7+14.7</f>
        <v>52.8</v>
      </c>
      <c r="Q34" s="49">
        <f>15.5+18.3+19.5</f>
        <v>53.3</v>
      </c>
      <c r="R34" s="49">
        <f>24.7+14.7+13.4</f>
        <v>52.8</v>
      </c>
      <c r="S34" s="49">
        <f>9.3+14.3</f>
        <v>23.6</v>
      </c>
      <c r="T34" s="49">
        <f>17.5+18.5+19.5</f>
        <v>55.5</v>
      </c>
      <c r="U34" s="49">
        <f>18+19.5+19.5</f>
        <v>57</v>
      </c>
      <c r="V34" s="49">
        <f>11.9+10.9+4.5</f>
        <v>27.3</v>
      </c>
      <c r="W34" s="49">
        <f>18.5+19.5+16.7</f>
        <v>54.7</v>
      </c>
      <c r="X34" s="49">
        <f>4.5+7+4.5</f>
        <v>16</v>
      </c>
      <c r="Y34" s="49">
        <f>10.9+11.8+9.9</f>
        <v>32.6</v>
      </c>
      <c r="Z34" s="49">
        <f>3.41+5.4+7.1</f>
        <v>15.91</v>
      </c>
      <c r="AA34" s="49">
        <f>10.5+9+8.2</f>
        <v>27.7</v>
      </c>
      <c r="AB34" s="49">
        <f>7.1+6.9+10.9</f>
        <v>24.9</v>
      </c>
      <c r="AC34" s="49">
        <f>7.4+6.9+10.74</f>
        <v>25.04</v>
      </c>
      <c r="AD34" s="49">
        <f>14.5+14.5+18.5</f>
        <v>47.5</v>
      </c>
      <c r="AE34" s="49">
        <f>15.5+16.9+17.1</f>
        <v>49.5</v>
      </c>
      <c r="AF34" s="49">
        <v>0</v>
      </c>
      <c r="AG34" s="82">
        <f>SUM(B34:AF34)</f>
        <v>1123.2399999999998</v>
      </c>
      <c r="AH34" s="48"/>
      <c r="AI34" s="48"/>
    </row>
    <row r="35" spans="1:35" s="44" customFormat="1" ht="18.75" customHeight="1" x14ac:dyDescent="0.35">
      <c r="A35" s="171" t="s">
        <v>178</v>
      </c>
      <c r="B35" s="49">
        <v>1</v>
      </c>
      <c r="C35" s="49">
        <v>0.8</v>
      </c>
      <c r="D35" s="49">
        <v>0.9</v>
      </c>
      <c r="E35" s="49">
        <v>1</v>
      </c>
      <c r="F35" s="49">
        <v>4.0999999999999996</v>
      </c>
      <c r="G35" s="49">
        <v>1.5</v>
      </c>
      <c r="H35" s="49">
        <v>1</v>
      </c>
      <c r="I35" s="49">
        <v>1.5</v>
      </c>
      <c r="J35" s="49">
        <v>0.8</v>
      </c>
      <c r="K35" s="49">
        <v>1</v>
      </c>
      <c r="L35" s="49">
        <v>0.8</v>
      </c>
      <c r="M35" s="49">
        <v>1</v>
      </c>
      <c r="N35" s="49">
        <v>0.8</v>
      </c>
      <c r="O35" s="49">
        <v>1</v>
      </c>
      <c r="P35" s="49">
        <v>0.8</v>
      </c>
      <c r="Q35" s="49">
        <v>1.2</v>
      </c>
      <c r="R35" s="49">
        <v>1</v>
      </c>
      <c r="S35" s="49">
        <v>1.3</v>
      </c>
      <c r="T35" s="49">
        <v>1.1000000000000001</v>
      </c>
      <c r="U35" s="49">
        <v>0</v>
      </c>
      <c r="V35" s="49">
        <v>0.8</v>
      </c>
      <c r="W35" s="49">
        <v>1.5</v>
      </c>
      <c r="X35" s="49">
        <v>1</v>
      </c>
      <c r="Y35" s="49">
        <v>1.2</v>
      </c>
      <c r="Z35" s="49">
        <v>0.8</v>
      </c>
      <c r="AA35" s="49">
        <v>1</v>
      </c>
      <c r="AB35" s="49">
        <v>1.5</v>
      </c>
      <c r="AC35" s="49">
        <v>0.8</v>
      </c>
      <c r="AD35" s="49">
        <v>1</v>
      </c>
      <c r="AE35" s="49">
        <v>2</v>
      </c>
      <c r="AF35" s="49">
        <v>1.8</v>
      </c>
      <c r="AG35" s="83">
        <f>SUM(B35:AF35)</f>
        <v>36</v>
      </c>
      <c r="AH35" s="48"/>
      <c r="AI35" s="48"/>
    </row>
    <row r="36" spans="1:35" s="44" customFormat="1" ht="18.75" customHeight="1" x14ac:dyDescent="0.35">
      <c r="A36" s="59" t="s">
        <v>155</v>
      </c>
      <c r="B36" s="87">
        <f t="shared" ref="B36:AF36" si="3">SUM(B3:B35)</f>
        <v>135.20999999999998</v>
      </c>
      <c r="C36" s="87">
        <f t="shared" si="3"/>
        <v>137.23000000000002</v>
      </c>
      <c r="D36" s="87">
        <f t="shared" si="3"/>
        <v>144.25000000000003</v>
      </c>
      <c r="E36" s="87">
        <f t="shared" si="3"/>
        <v>150.65</v>
      </c>
      <c r="F36" s="87">
        <f t="shared" si="3"/>
        <v>157.21</v>
      </c>
      <c r="G36" s="87">
        <f t="shared" si="3"/>
        <v>160.51</v>
      </c>
      <c r="H36" s="87">
        <f t="shared" si="3"/>
        <v>145.98999999999998</v>
      </c>
      <c r="I36" s="87">
        <f t="shared" si="3"/>
        <v>139.34000000000003</v>
      </c>
      <c r="J36" s="87">
        <f t="shared" si="3"/>
        <v>117.50999999999998</v>
      </c>
      <c r="K36" s="87">
        <f t="shared" si="3"/>
        <v>148.81</v>
      </c>
      <c r="L36" s="87">
        <f t="shared" si="3"/>
        <v>152.69999999999999</v>
      </c>
      <c r="M36" s="87">
        <f t="shared" si="3"/>
        <v>143.5</v>
      </c>
      <c r="N36" s="87">
        <f t="shared" si="3"/>
        <v>149.20000000000002</v>
      </c>
      <c r="O36" s="87">
        <f t="shared" si="3"/>
        <v>149.69</v>
      </c>
      <c r="P36" s="87">
        <f t="shared" si="3"/>
        <v>174.29000000000002</v>
      </c>
      <c r="Q36" s="87">
        <f t="shared" si="3"/>
        <v>160.64999999999998</v>
      </c>
      <c r="R36" s="87">
        <f t="shared" si="3"/>
        <v>173.60000000000002</v>
      </c>
      <c r="S36" s="87">
        <f t="shared" si="3"/>
        <v>122.44000000000001</v>
      </c>
      <c r="T36" s="87">
        <f t="shared" si="3"/>
        <v>155.29999999999998</v>
      </c>
      <c r="U36" s="87">
        <f t="shared" si="3"/>
        <v>156.32</v>
      </c>
      <c r="V36" s="87">
        <f t="shared" si="3"/>
        <v>123.83999999999999</v>
      </c>
      <c r="W36" s="87">
        <f t="shared" si="3"/>
        <v>153.01</v>
      </c>
      <c r="X36" s="87">
        <f t="shared" si="3"/>
        <v>123.86000000000001</v>
      </c>
      <c r="Y36" s="87">
        <f t="shared" si="3"/>
        <v>139.29999999999998</v>
      </c>
      <c r="Z36" s="87">
        <f t="shared" si="3"/>
        <v>130.13000000000002</v>
      </c>
      <c r="AA36" s="87">
        <f t="shared" si="3"/>
        <v>154.6</v>
      </c>
      <c r="AB36" s="87">
        <f t="shared" si="3"/>
        <v>135.30000000000001</v>
      </c>
      <c r="AC36" s="87">
        <f t="shared" si="3"/>
        <v>137.34</v>
      </c>
      <c r="AD36" s="87">
        <f t="shared" si="3"/>
        <v>171.83999999999997</v>
      </c>
      <c r="AE36" s="87">
        <f t="shared" si="3"/>
        <v>171.7</v>
      </c>
      <c r="AF36" s="87">
        <f t="shared" si="3"/>
        <v>99.81</v>
      </c>
      <c r="AG36" s="201">
        <f>SUM(AG3:AG34)</f>
        <v>4312.9299999999994</v>
      </c>
      <c r="AH36" s="48"/>
      <c r="AI36" s="48"/>
    </row>
    <row r="37" spans="1:35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</row>
  </sheetData>
  <mergeCells count="1">
    <mergeCell ref="A1:AG1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36.42578125" customWidth="1"/>
    <col min="2" max="32" width="7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40.5" x14ac:dyDescent="0.35">
      <c r="A3" s="63" t="s">
        <v>94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M3" s="49"/>
      <c r="N3" s="49"/>
      <c r="O3" s="50"/>
      <c r="P3" s="49"/>
      <c r="Q3" s="49"/>
      <c r="R3" s="49"/>
      <c r="S3" s="49"/>
      <c r="T3" s="49"/>
      <c r="U3" s="49"/>
      <c r="V3" s="50"/>
      <c r="W3" s="49"/>
      <c r="X3" s="49"/>
      <c r="Y3" s="49"/>
      <c r="Z3" s="49"/>
      <c r="AA3" s="49"/>
      <c r="AB3" s="49"/>
      <c r="AC3" s="50"/>
      <c r="AD3" s="49"/>
      <c r="AE3" s="49"/>
      <c r="AF3" s="49"/>
      <c r="AG3" s="82">
        <f>SUM(B3:AF3)</f>
        <v>0</v>
      </c>
      <c r="AH3" s="47"/>
      <c r="AI3" s="48"/>
    </row>
    <row r="4" spans="1:35" s="44" customFormat="1" ht="30.75" customHeight="1" x14ac:dyDescent="0.35">
      <c r="A4" s="60" t="s">
        <v>245</v>
      </c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82">
        <f t="shared" ref="AG4:AG31" si="0">SUM(B4:AF4)</f>
        <v>0</v>
      </c>
      <c r="AH4" s="47"/>
      <c r="AI4" s="48"/>
    </row>
    <row r="5" spans="1:35" s="44" customFormat="1" ht="18.75" customHeight="1" x14ac:dyDescent="0.35">
      <c r="A5" s="171" t="s">
        <v>83</v>
      </c>
      <c r="B5" s="52"/>
      <c r="C5" s="52"/>
      <c r="D5" s="52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82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2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2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49"/>
      <c r="D8" s="49"/>
      <c r="E8" s="49"/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49"/>
      <c r="S8" s="49"/>
      <c r="T8" s="50"/>
      <c r="U8" s="49"/>
      <c r="V8" s="49"/>
      <c r="W8" s="49"/>
      <c r="X8" s="49"/>
      <c r="Y8" s="49"/>
      <c r="Z8" s="49"/>
      <c r="AA8" s="50"/>
      <c r="AB8" s="49"/>
      <c r="AC8" s="49"/>
      <c r="AD8" s="49"/>
      <c r="AE8" s="49"/>
      <c r="AF8" s="49"/>
      <c r="AG8" s="82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49"/>
      <c r="D9" s="49"/>
      <c r="E9" s="49"/>
      <c r="F9" s="49"/>
      <c r="G9" s="49"/>
      <c r="H9" s="49"/>
      <c r="I9" s="49"/>
      <c r="J9" s="49"/>
      <c r="K9" s="49"/>
      <c r="L9" s="49"/>
      <c r="M9" s="49"/>
      <c r="N9" s="49"/>
      <c r="O9" s="49"/>
      <c r="P9" s="49"/>
      <c r="Q9" s="49"/>
      <c r="R9" s="49"/>
      <c r="S9" s="49"/>
      <c r="T9" s="49"/>
      <c r="U9" s="49"/>
      <c r="V9" s="49"/>
      <c r="W9" s="50"/>
      <c r="X9" s="49"/>
      <c r="Y9" s="49"/>
      <c r="Z9" s="49"/>
      <c r="AA9" s="49"/>
      <c r="AB9" s="49"/>
      <c r="AC9" s="49"/>
      <c r="AD9" s="49"/>
      <c r="AE9" s="49"/>
      <c r="AF9" s="49"/>
      <c r="AG9" s="82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49"/>
      <c r="D10" s="49"/>
      <c r="E10" s="49"/>
      <c r="F10" s="49"/>
      <c r="G10" s="49"/>
      <c r="H10" s="49"/>
      <c r="I10" s="49"/>
      <c r="J10" s="49"/>
      <c r="K10" s="49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82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0"/>
      <c r="C11" s="49"/>
      <c r="D11" s="49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82">
        <f t="shared" si="0"/>
        <v>0</v>
      </c>
      <c r="AH11" s="48"/>
      <c r="AI11" s="48"/>
    </row>
    <row r="12" spans="1:35" s="44" customFormat="1" ht="33" customHeight="1" x14ac:dyDescent="0.35">
      <c r="A12" s="60" t="s">
        <v>91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49"/>
      <c r="AE12" s="49"/>
      <c r="AF12" s="49"/>
      <c r="AG12" s="82">
        <f t="shared" si="0"/>
        <v>0</v>
      </c>
    </row>
    <row r="13" spans="1:35" s="44" customFormat="1" ht="21" x14ac:dyDescent="0.35">
      <c r="A13" s="60" t="s">
        <v>69</v>
      </c>
      <c r="B13" s="49"/>
      <c r="C13" s="49"/>
      <c r="D13" s="49"/>
      <c r="E13" s="49"/>
      <c r="F13" s="49"/>
      <c r="G13" s="49"/>
      <c r="H13" s="49"/>
      <c r="I13" s="49"/>
      <c r="J13" s="49"/>
      <c r="K13" s="49"/>
      <c r="L13" s="49"/>
      <c r="M13" s="49"/>
      <c r="N13" s="49"/>
      <c r="O13" s="49"/>
      <c r="P13" s="49"/>
      <c r="Q13" s="49"/>
      <c r="R13" s="49"/>
      <c r="S13" s="49"/>
      <c r="T13" s="49"/>
      <c r="U13" s="49"/>
      <c r="V13" s="49"/>
      <c r="W13" s="49"/>
      <c r="X13" s="49"/>
      <c r="Y13" s="49"/>
      <c r="Z13" s="49"/>
      <c r="AA13" s="49"/>
      <c r="AB13" s="49"/>
      <c r="AC13" s="49"/>
      <c r="AD13" s="49"/>
      <c r="AE13" s="49"/>
      <c r="AF13" s="49"/>
      <c r="AG13" s="82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49"/>
      <c r="D14" s="49"/>
      <c r="E14" s="49"/>
      <c r="F14" s="49"/>
      <c r="G14" s="49"/>
      <c r="H14" s="49"/>
      <c r="I14" s="49"/>
      <c r="J14" s="49"/>
      <c r="K14" s="49"/>
      <c r="L14" s="49"/>
      <c r="M14" s="49"/>
      <c r="N14" s="49"/>
      <c r="O14" s="49"/>
      <c r="P14" s="49"/>
      <c r="Q14" s="49"/>
      <c r="R14" s="49"/>
      <c r="S14" s="49"/>
      <c r="T14" s="49"/>
      <c r="U14" s="49"/>
      <c r="V14" s="49"/>
      <c r="W14" s="49"/>
      <c r="X14" s="49"/>
      <c r="Y14" s="49"/>
      <c r="Z14" s="49"/>
      <c r="AA14" s="49"/>
      <c r="AB14" s="49"/>
      <c r="AC14" s="49"/>
      <c r="AD14" s="49"/>
      <c r="AE14" s="49"/>
      <c r="AF14" s="49"/>
      <c r="AG14" s="82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49"/>
      <c r="D15" s="49"/>
      <c r="E15" s="49"/>
      <c r="F15" s="49"/>
      <c r="G15" s="49"/>
      <c r="H15" s="49"/>
      <c r="I15" s="49"/>
      <c r="J15" s="49"/>
      <c r="K15" s="49"/>
      <c r="L15" s="49"/>
      <c r="M15" s="49"/>
      <c r="N15" s="49"/>
      <c r="O15" s="49"/>
      <c r="P15" s="49"/>
      <c r="Q15" s="49"/>
      <c r="R15" s="49"/>
      <c r="S15" s="49"/>
      <c r="T15" s="49"/>
      <c r="U15" s="49"/>
      <c r="V15" s="49"/>
      <c r="W15" s="49"/>
      <c r="X15" s="49"/>
      <c r="Y15" s="49"/>
      <c r="Z15" s="49"/>
      <c r="AA15" s="49"/>
      <c r="AB15" s="49"/>
      <c r="AC15" s="49"/>
      <c r="AD15" s="49"/>
      <c r="AE15" s="49"/>
      <c r="AF15" s="49"/>
      <c r="AG15" s="82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82">
        <f t="shared" si="0"/>
        <v>0</v>
      </c>
      <c r="AH16" s="48"/>
      <c r="AI16" s="48"/>
    </row>
    <row r="17" spans="1:35" s="44" customFormat="1" ht="18.75" customHeight="1" x14ac:dyDescent="0.35">
      <c r="A17" s="171" t="s">
        <v>244</v>
      </c>
      <c r="B17" s="49"/>
      <c r="C17" s="49"/>
      <c r="D17" s="49"/>
      <c r="E17" s="49"/>
      <c r="F17" s="49"/>
      <c r="G17" s="50"/>
      <c r="H17" s="50"/>
      <c r="I17" s="49"/>
      <c r="J17" s="49"/>
      <c r="K17" s="49"/>
      <c r="L17" s="49"/>
      <c r="M17" s="49"/>
      <c r="N17" s="49"/>
      <c r="O17" s="49"/>
      <c r="P17" s="50"/>
      <c r="Q17" s="49"/>
      <c r="R17" s="49"/>
      <c r="S17" s="50"/>
      <c r="T17" s="49"/>
      <c r="U17" s="49"/>
      <c r="V17" s="49"/>
      <c r="W17" s="49"/>
      <c r="X17" s="49"/>
      <c r="Y17" s="49"/>
      <c r="Z17" s="49"/>
      <c r="AA17" s="49"/>
      <c r="AB17" s="49"/>
      <c r="AC17" s="50"/>
      <c r="AD17" s="49"/>
      <c r="AE17" s="49"/>
      <c r="AF17" s="49"/>
      <c r="AG17" s="82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82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49"/>
      <c r="D19" s="49"/>
      <c r="E19" s="49"/>
      <c r="F19" s="49"/>
      <c r="G19" s="49"/>
      <c r="H19" s="49"/>
      <c r="I19" s="49"/>
      <c r="J19" s="49"/>
      <c r="K19" s="49"/>
      <c r="L19" s="49"/>
      <c r="M19" s="49"/>
      <c r="N19" s="49"/>
      <c r="O19" s="49"/>
      <c r="P19" s="49"/>
      <c r="Q19" s="49"/>
      <c r="R19" s="49"/>
      <c r="S19" s="49"/>
      <c r="T19" s="49"/>
      <c r="U19" s="49"/>
      <c r="V19" s="49"/>
      <c r="W19" s="49"/>
      <c r="X19" s="49"/>
      <c r="Y19" s="49"/>
      <c r="Z19" s="49"/>
      <c r="AA19" s="49"/>
      <c r="AB19" s="49"/>
      <c r="AC19" s="49"/>
      <c r="AD19" s="49"/>
      <c r="AE19" s="49"/>
      <c r="AF19" s="49"/>
      <c r="AG19" s="82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82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82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49"/>
      <c r="AE22" s="49"/>
      <c r="AF22" s="49"/>
      <c r="AG22" s="82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49"/>
      <c r="D23" s="49"/>
      <c r="E23" s="49"/>
      <c r="F23" s="49"/>
      <c r="G23" s="49"/>
      <c r="H23" s="49"/>
      <c r="I23" s="49"/>
      <c r="J23" s="49"/>
      <c r="K23" s="49"/>
      <c r="L23" s="49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49"/>
      <c r="AB23" s="49"/>
      <c r="AC23" s="49"/>
      <c r="AD23" s="49"/>
      <c r="AE23" s="49"/>
      <c r="AF23" s="49"/>
      <c r="AG23" s="82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49"/>
      <c r="C24" s="49"/>
      <c r="D24" s="49"/>
      <c r="E24" s="49"/>
      <c r="F24" s="49"/>
      <c r="G24" s="49"/>
      <c r="H24" s="49"/>
      <c r="I24" s="49"/>
      <c r="J24" s="49"/>
      <c r="K24" s="49"/>
      <c r="L24" s="49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49"/>
      <c r="AB24" s="49"/>
      <c r="AC24" s="49"/>
      <c r="AD24" s="49"/>
      <c r="AE24" s="49"/>
      <c r="AF24" s="49"/>
      <c r="AG24" s="82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82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82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49"/>
      <c r="C27" s="49"/>
      <c r="D27" s="49"/>
      <c r="E27" s="49"/>
      <c r="F27" s="50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82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82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82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82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  <c r="AG31" s="82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82">
        <f t="shared" ref="AG32" si="1">SUM(B32:AF32)</f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87">
        <f t="shared" ref="B33:AF33" si="2">SUM(B3:B32)</f>
        <v>0</v>
      </c>
      <c r="C33" s="87">
        <f t="shared" si="2"/>
        <v>0</v>
      </c>
      <c r="D33" s="87">
        <f t="shared" si="2"/>
        <v>0</v>
      </c>
      <c r="E33" s="87">
        <f t="shared" si="2"/>
        <v>0</v>
      </c>
      <c r="F33" s="87">
        <f t="shared" si="2"/>
        <v>0</v>
      </c>
      <c r="G33" s="87">
        <f t="shared" si="2"/>
        <v>0</v>
      </c>
      <c r="H33" s="87">
        <f t="shared" si="2"/>
        <v>0</v>
      </c>
      <c r="I33" s="87">
        <f t="shared" si="2"/>
        <v>0</v>
      </c>
      <c r="J33" s="87">
        <f t="shared" si="2"/>
        <v>0</v>
      </c>
      <c r="K33" s="87">
        <f t="shared" si="2"/>
        <v>0</v>
      </c>
      <c r="L33" s="87">
        <f t="shared" si="2"/>
        <v>0</v>
      </c>
      <c r="M33" s="87">
        <f t="shared" si="2"/>
        <v>0</v>
      </c>
      <c r="N33" s="87">
        <f t="shared" si="2"/>
        <v>0</v>
      </c>
      <c r="O33" s="87">
        <f t="shared" si="2"/>
        <v>0</v>
      </c>
      <c r="P33" s="87">
        <f t="shared" si="2"/>
        <v>0</v>
      </c>
      <c r="Q33" s="87">
        <f t="shared" si="2"/>
        <v>0</v>
      </c>
      <c r="R33" s="87">
        <f t="shared" si="2"/>
        <v>0</v>
      </c>
      <c r="S33" s="87">
        <f t="shared" si="2"/>
        <v>0</v>
      </c>
      <c r="T33" s="87">
        <f t="shared" si="2"/>
        <v>0</v>
      </c>
      <c r="U33" s="87">
        <f t="shared" si="2"/>
        <v>0</v>
      </c>
      <c r="V33" s="87">
        <f t="shared" si="2"/>
        <v>0</v>
      </c>
      <c r="W33" s="87">
        <f t="shared" si="2"/>
        <v>0</v>
      </c>
      <c r="X33" s="87">
        <f t="shared" si="2"/>
        <v>0</v>
      </c>
      <c r="Y33" s="87">
        <f t="shared" si="2"/>
        <v>0</v>
      </c>
      <c r="Z33" s="87">
        <f t="shared" si="2"/>
        <v>0</v>
      </c>
      <c r="AA33" s="87">
        <f t="shared" si="2"/>
        <v>0</v>
      </c>
      <c r="AB33" s="87">
        <f t="shared" si="2"/>
        <v>0</v>
      </c>
      <c r="AC33" s="87">
        <f t="shared" si="2"/>
        <v>0</v>
      </c>
      <c r="AD33" s="87">
        <f t="shared" si="2"/>
        <v>0</v>
      </c>
      <c r="AE33" s="87">
        <f t="shared" si="2"/>
        <v>0</v>
      </c>
      <c r="AF33" s="87">
        <f t="shared" si="2"/>
        <v>0</v>
      </c>
      <c r="AG33" s="83">
        <f>SUM(B33:AF33)</f>
        <v>0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SUM(AG3:AG31)</f>
        <v>0</v>
      </c>
      <c r="AH34" s="48"/>
      <c r="AI34" s="48"/>
    </row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RowHeight="15" x14ac:dyDescent="0.25"/>
  <cols>
    <col min="1" max="1" width="56.85546875" customWidth="1"/>
    <col min="2" max="11" width="8" customWidth="1"/>
    <col min="12" max="12" width="8.7109375" customWidth="1"/>
    <col min="13" max="19" width="8" customWidth="1"/>
    <col min="20" max="20" width="9.28515625" customWidth="1"/>
    <col min="21" max="30" width="8" customWidth="1"/>
    <col min="31" max="31" width="9" customWidth="1"/>
    <col min="32" max="32" width="8" customWidth="1"/>
    <col min="33" max="33" width="12.42578125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75"/>
      <c r="C3" s="75"/>
      <c r="D3" s="74"/>
      <c r="E3" s="75"/>
      <c r="F3" s="74"/>
      <c r="G3" s="74"/>
      <c r="H3" s="74"/>
      <c r="I3" s="74"/>
      <c r="J3" s="74"/>
      <c r="K3" s="74"/>
      <c r="L3" s="75"/>
      <c r="M3" s="74"/>
      <c r="N3" s="74"/>
      <c r="O3" s="74"/>
      <c r="P3" s="74"/>
      <c r="Q3" s="74"/>
      <c r="R3" s="74"/>
      <c r="S3" s="75"/>
      <c r="T3" s="74"/>
      <c r="U3" s="74"/>
      <c r="V3" s="74"/>
      <c r="W3" s="74"/>
      <c r="X3" s="74"/>
      <c r="Y3" s="74"/>
      <c r="Z3" s="75"/>
      <c r="AA3" s="74"/>
      <c r="AB3" s="74"/>
      <c r="AC3" s="74"/>
      <c r="AE3" s="74"/>
      <c r="AF3" s="74"/>
      <c r="AG3" s="174">
        <f>SUM(B3:AF3)</f>
        <v>0</v>
      </c>
      <c r="AH3" s="47"/>
      <c r="AI3" s="48"/>
    </row>
    <row r="4" spans="1:35" s="44" customFormat="1" ht="18.75" customHeight="1" x14ac:dyDescent="0.35">
      <c r="A4" s="60" t="s">
        <v>245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174">
        <f t="shared" ref="AG4:AG31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174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5"/>
      <c r="C6" s="75"/>
      <c r="D6" s="75"/>
      <c r="E6" s="75"/>
      <c r="F6" s="75"/>
      <c r="G6" s="75"/>
      <c r="H6" s="75"/>
      <c r="I6" s="75"/>
      <c r="J6" s="75"/>
      <c r="K6" s="75"/>
      <c r="L6" s="75"/>
      <c r="M6" s="75"/>
      <c r="N6" s="75"/>
      <c r="O6" s="75"/>
      <c r="P6" s="75"/>
      <c r="Q6" s="75"/>
      <c r="R6" s="75"/>
      <c r="S6" s="75"/>
      <c r="T6" s="75"/>
      <c r="U6" s="75"/>
      <c r="V6" s="75"/>
      <c r="W6" s="75"/>
      <c r="X6" s="75"/>
      <c r="Y6" s="75"/>
      <c r="Z6" s="75"/>
      <c r="AA6" s="75"/>
      <c r="AB6" s="75"/>
      <c r="AC6" s="75"/>
      <c r="AD6" s="50"/>
      <c r="AE6" s="50"/>
      <c r="AF6" s="50"/>
      <c r="AG6" s="174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174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C8" s="74"/>
      <c r="AD8" s="74"/>
      <c r="AE8" s="74"/>
      <c r="AF8" s="74"/>
      <c r="AG8" s="174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C9" s="74"/>
      <c r="AD9" s="74"/>
      <c r="AE9" s="74"/>
      <c r="AF9" s="74"/>
      <c r="AG9" s="174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74"/>
      <c r="C10" s="74"/>
      <c r="D10" s="75"/>
      <c r="E10" s="74"/>
      <c r="F10" s="74"/>
      <c r="G10" s="75"/>
      <c r="H10" s="74"/>
      <c r="I10" s="75"/>
      <c r="J10" s="74"/>
      <c r="K10" s="75"/>
      <c r="L10" s="75"/>
      <c r="M10" s="74"/>
      <c r="N10" s="74"/>
      <c r="O10" s="75"/>
      <c r="P10" s="74"/>
      <c r="Q10" s="74"/>
      <c r="R10" s="75"/>
      <c r="S10" s="74"/>
      <c r="T10" s="75"/>
      <c r="U10" s="74"/>
      <c r="V10" s="74"/>
      <c r="W10" s="75"/>
      <c r="X10" s="74"/>
      <c r="Y10" s="74"/>
      <c r="Z10" s="75"/>
      <c r="AA10" s="74"/>
      <c r="AB10" s="74"/>
      <c r="AC10" s="75"/>
      <c r="AD10" s="74"/>
      <c r="AE10" s="75"/>
      <c r="AF10" s="74"/>
      <c r="AG10" s="174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174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  <c r="AA12" s="74"/>
      <c r="AB12" s="74"/>
      <c r="AC12" s="74"/>
      <c r="AD12" s="74"/>
      <c r="AE12" s="74"/>
      <c r="AF12" s="74"/>
      <c r="AG12" s="174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  <c r="AA13" s="74"/>
      <c r="AB13" s="74"/>
      <c r="AC13" s="74"/>
      <c r="AD13" s="74"/>
      <c r="AE13" s="74"/>
      <c r="AF13" s="74"/>
      <c r="AG13" s="174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51"/>
      <c r="S14" s="51"/>
      <c r="T14" s="51"/>
      <c r="U14" s="51"/>
      <c r="V14" s="51"/>
      <c r="W14" s="51"/>
      <c r="X14" s="51"/>
      <c r="Y14" s="51"/>
      <c r="Z14" s="51"/>
      <c r="AA14" s="51"/>
      <c r="AC14" s="51"/>
      <c r="AD14" s="51"/>
      <c r="AE14" s="51"/>
      <c r="AF14" s="51"/>
      <c r="AG14" s="174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5"/>
      <c r="O15" s="74"/>
      <c r="P15" s="74"/>
      <c r="Q15" s="74"/>
      <c r="R15" s="74"/>
      <c r="S15" s="75"/>
      <c r="T15" s="74"/>
      <c r="U15" s="74"/>
      <c r="V15" s="74"/>
      <c r="W15" s="74"/>
      <c r="X15" s="75"/>
      <c r="Y15" s="74"/>
      <c r="Z15" s="74"/>
      <c r="AA15" s="74"/>
      <c r="AB15" s="74"/>
      <c r="AC15" s="75"/>
      <c r="AD15" s="74"/>
      <c r="AE15" s="75"/>
      <c r="AF15" s="74"/>
      <c r="AG15" s="174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174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174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174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74"/>
      <c r="S19" s="74"/>
      <c r="T19" s="74"/>
      <c r="U19" s="74"/>
      <c r="V19" s="74"/>
      <c r="W19" s="52"/>
      <c r="X19" s="74"/>
      <c r="Y19" s="74"/>
      <c r="Z19" s="74"/>
      <c r="AA19" s="74"/>
      <c r="AB19" s="74"/>
      <c r="AC19" s="74"/>
      <c r="AD19" s="74"/>
      <c r="AE19" s="74"/>
      <c r="AF19" s="74"/>
      <c r="AG19" s="174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52"/>
      <c r="X20" s="74"/>
      <c r="Y20" s="74"/>
      <c r="Z20" s="74"/>
      <c r="AA20" s="74"/>
      <c r="AB20" s="74"/>
      <c r="AC20" s="74"/>
      <c r="AD20" s="74"/>
      <c r="AE20" s="74"/>
      <c r="AF20" s="74"/>
      <c r="AG20" s="174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174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5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5"/>
      <c r="Z22" s="74"/>
      <c r="AA22" s="75"/>
      <c r="AB22" s="74"/>
      <c r="AC22" s="74"/>
      <c r="AD22" s="74"/>
      <c r="AE22" s="74"/>
      <c r="AF22" s="74"/>
      <c r="AG22" s="174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2"/>
      <c r="C23" s="52"/>
      <c r="D23" s="52"/>
      <c r="E23" s="52"/>
      <c r="F23" s="52"/>
      <c r="G23" s="52"/>
      <c r="H23" s="52"/>
      <c r="I23" s="52"/>
      <c r="J23" s="52"/>
      <c r="K23" s="52"/>
      <c r="L23" s="52"/>
      <c r="M23" s="52"/>
      <c r="N23" s="52"/>
      <c r="O23" s="52"/>
      <c r="P23" s="52"/>
      <c r="Q23" s="52"/>
      <c r="R23" s="52"/>
      <c r="S23" s="52"/>
      <c r="T23" s="52"/>
      <c r="U23" s="52"/>
      <c r="V23" s="52"/>
      <c r="W23" s="52"/>
      <c r="X23" s="52"/>
      <c r="Y23" s="52"/>
      <c r="Z23" s="52"/>
      <c r="AA23" s="52"/>
      <c r="AB23" s="52"/>
      <c r="AC23" s="52"/>
      <c r="AD23" s="52"/>
      <c r="AE23" s="52"/>
      <c r="AF23" s="52"/>
      <c r="AG23" s="174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  <c r="AA24" s="74"/>
      <c r="AB24" s="74"/>
      <c r="AC24" s="74"/>
      <c r="AD24" s="74"/>
      <c r="AE24" s="74"/>
      <c r="AF24" s="74"/>
      <c r="AG24" s="174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4"/>
      <c r="C25" s="74"/>
      <c r="D25" s="74"/>
      <c r="E25" s="74"/>
      <c r="F25" s="75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174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  <c r="AA26" s="74"/>
      <c r="AB26" s="74"/>
      <c r="AC26" s="74"/>
      <c r="AD26" s="74"/>
      <c r="AE26" s="74"/>
      <c r="AF26" s="74"/>
      <c r="AG26" s="174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5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  <c r="AA27" s="74"/>
      <c r="AB27" s="74"/>
      <c r="AC27" s="74"/>
      <c r="AD27" s="74"/>
      <c r="AE27" s="74"/>
      <c r="AG27" s="174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5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174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5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  <c r="AA29" s="74"/>
      <c r="AB29" s="74"/>
      <c r="AC29" s="74"/>
      <c r="AD29" s="74"/>
      <c r="AE29" s="74"/>
      <c r="AF29" s="74"/>
      <c r="AG29" s="174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4"/>
      <c r="C30" s="74"/>
      <c r="D30" s="74"/>
      <c r="E30" s="74"/>
      <c r="F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174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  <c r="AA31" s="74"/>
      <c r="AB31" s="74"/>
      <c r="AC31" s="74"/>
      <c r="AD31" s="74"/>
      <c r="AE31" s="74"/>
      <c r="AF31" s="74"/>
      <c r="AG31" s="174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ref="AG32" si="1">SUM(B32:AF32)</f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2">SUM(B3:B32)</f>
        <v>0</v>
      </c>
      <c r="C33" s="51">
        <f t="shared" si="2"/>
        <v>0</v>
      </c>
      <c r="D33" s="51">
        <f t="shared" si="2"/>
        <v>0</v>
      </c>
      <c r="E33" s="51">
        <f t="shared" si="2"/>
        <v>0</v>
      </c>
      <c r="F33" s="51">
        <f t="shared" si="2"/>
        <v>0</v>
      </c>
      <c r="G33" s="51">
        <f t="shared" si="2"/>
        <v>0</v>
      </c>
      <c r="H33" s="51">
        <f t="shared" si="2"/>
        <v>0</v>
      </c>
      <c r="I33" s="51">
        <f t="shared" si="2"/>
        <v>0</v>
      </c>
      <c r="J33" s="51">
        <f t="shared" si="2"/>
        <v>0</v>
      </c>
      <c r="K33" s="51">
        <f t="shared" si="2"/>
        <v>0</v>
      </c>
      <c r="L33" s="51">
        <f t="shared" si="2"/>
        <v>0</v>
      </c>
      <c r="M33" s="51">
        <f t="shared" si="2"/>
        <v>0</v>
      </c>
      <c r="N33" s="51">
        <f t="shared" si="2"/>
        <v>0</v>
      </c>
      <c r="O33" s="51">
        <f t="shared" si="2"/>
        <v>0</v>
      </c>
      <c r="P33" s="51">
        <f t="shared" si="2"/>
        <v>0</v>
      </c>
      <c r="Q33" s="51">
        <f t="shared" si="2"/>
        <v>0</v>
      </c>
      <c r="R33" s="51">
        <f t="shared" si="2"/>
        <v>0</v>
      </c>
      <c r="S33" s="51">
        <f t="shared" si="2"/>
        <v>0</v>
      </c>
      <c r="T33" s="51">
        <f t="shared" si="2"/>
        <v>0</v>
      </c>
      <c r="U33" s="51">
        <f t="shared" si="2"/>
        <v>0</v>
      </c>
      <c r="V33" s="51">
        <f t="shared" si="2"/>
        <v>0</v>
      </c>
      <c r="W33" s="51">
        <f t="shared" si="2"/>
        <v>0</v>
      </c>
      <c r="X33" s="51">
        <f t="shared" si="2"/>
        <v>0</v>
      </c>
      <c r="Y33" s="51">
        <f t="shared" si="2"/>
        <v>0</v>
      </c>
      <c r="Z33" s="51">
        <f t="shared" si="2"/>
        <v>0</v>
      </c>
      <c r="AA33" s="51">
        <f t="shared" si="2"/>
        <v>0</v>
      </c>
      <c r="AB33" s="51">
        <f t="shared" si="2"/>
        <v>0</v>
      </c>
      <c r="AC33" s="51">
        <f t="shared" si="2"/>
        <v>0</v>
      </c>
      <c r="AD33" s="51">
        <f t="shared" si="2"/>
        <v>0</v>
      </c>
      <c r="AE33" s="51">
        <f t="shared" si="2"/>
        <v>0</v>
      </c>
      <c r="AF33" s="51">
        <f t="shared" si="2"/>
        <v>0</v>
      </c>
      <c r="AG33" s="56">
        <f>SUM(B33:AF33)</f>
        <v>0</v>
      </c>
      <c r="AH33" s="57"/>
      <c r="AI33" s="57"/>
    </row>
    <row r="34" spans="1:35" s="2" customFormat="1" x14ac:dyDescent="0.25">
      <c r="AG34" s="169">
        <f>SUM(AG3:AG31)</f>
        <v>0</v>
      </c>
    </row>
    <row r="35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6.85546875" customWidth="1"/>
    <col min="2" max="11" width="8" customWidth="1"/>
    <col min="12" max="12" width="8.7109375" customWidth="1"/>
    <col min="13" max="19" width="8" customWidth="1"/>
    <col min="20" max="20" width="9.28515625" customWidth="1"/>
    <col min="21" max="30" width="8" customWidth="1"/>
    <col min="31" max="31" width="9" customWidth="1"/>
    <col min="32" max="32" width="8" customWidth="1"/>
    <col min="33" max="33" width="12.42578125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M3" s="50"/>
      <c r="N3" s="50"/>
      <c r="O3" s="50"/>
      <c r="P3" s="50"/>
      <c r="Q3" s="50"/>
      <c r="R3" s="50"/>
      <c r="S3" s="50"/>
      <c r="T3" s="50"/>
      <c r="U3" s="50"/>
      <c r="V3" s="50"/>
      <c r="W3" s="50"/>
      <c r="X3" s="50"/>
      <c r="Y3" s="50"/>
      <c r="Z3" s="50"/>
      <c r="AA3" s="50"/>
      <c r="AB3" s="50"/>
      <c r="AC3" s="50"/>
      <c r="AD3" s="50"/>
      <c r="AE3" s="50"/>
      <c r="AF3" s="50"/>
      <c r="AG3" s="46">
        <f t="shared" ref="AG3:AG12" si="0">SUM(B3:AF3)</f>
        <v>0</v>
      </c>
      <c r="AH3" s="47"/>
      <c r="AI3" s="48"/>
    </row>
    <row r="4" spans="1:35" s="44" customFormat="1" ht="18.75" customHeight="1" x14ac:dyDescent="0.35">
      <c r="A4" s="60" t="s">
        <v>246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0"/>
      <c r="O4" s="50"/>
      <c r="P4" s="50"/>
      <c r="Q4" s="50"/>
      <c r="R4" s="50"/>
      <c r="S4" s="50"/>
      <c r="T4" s="50"/>
      <c r="U4" s="50"/>
      <c r="V4" s="50"/>
      <c r="W4" s="50"/>
      <c r="X4" s="50"/>
      <c r="Y4" s="50"/>
      <c r="Z4" s="50"/>
      <c r="AA4" s="50"/>
      <c r="AB4" s="50"/>
      <c r="AC4" s="50"/>
      <c r="AD4" s="50"/>
      <c r="AE4" s="50"/>
      <c r="AF4" s="50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5"/>
      <c r="C5" s="75"/>
      <c r="D5" s="75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50"/>
      <c r="AE5" s="50"/>
      <c r="AF5" s="50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2"/>
      <c r="C6" s="52"/>
      <c r="D6" s="52"/>
      <c r="E6" s="52"/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176"/>
      <c r="Z7" s="50"/>
      <c r="AA7" s="50"/>
      <c r="AB7" s="50"/>
      <c r="AC7" s="50"/>
      <c r="AD7" s="50"/>
      <c r="AE7" s="50"/>
      <c r="AF7" s="50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  <c r="AD10" s="50"/>
      <c r="AE10" s="50"/>
      <c r="AF10" s="50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>SUM(B23:AF23)</f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114"/>
      <c r="Z14" s="114"/>
      <c r="AA14" s="114"/>
      <c r="AB14" s="114"/>
      <c r="AC14" s="114"/>
      <c r="AD14" s="114"/>
      <c r="AE14" s="114"/>
      <c r="AF14" s="114"/>
      <c r="AG14" s="46">
        <f>SUM(B14:AF14)</f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46">
        <f>SUM(B15:AF15)</f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  <c r="AD16" s="50"/>
      <c r="AE16" s="50"/>
      <c r="AF16" s="50"/>
      <c r="AG16" s="46">
        <f>SUM(B16:AF16)</f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X17" s="50"/>
      <c r="Y17" s="50"/>
      <c r="Z17" s="50"/>
      <c r="AA17" s="50"/>
      <c r="AB17" s="50"/>
      <c r="AC17" s="50"/>
      <c r="AD17" s="50"/>
      <c r="AE17" s="50"/>
      <c r="AF17" s="50"/>
      <c r="AG17" s="46">
        <f>SUM(B17:AF17)</f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46">
        <f>SUM(B18:AF18)</f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46">
        <f>SUM(B18:AF18)</f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  <c r="AD20" s="50"/>
      <c r="AE20" s="50"/>
      <c r="AF20" s="50"/>
      <c r="AG20" s="46">
        <f t="shared" ref="AG20:AG33" si="1">SUM(B20:AF20)</f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  <c r="AD21" s="50"/>
      <c r="AE21" s="50"/>
      <c r="AF21" s="50"/>
      <c r="AG21" s="46">
        <f t="shared" si="1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  <c r="AD22" s="50"/>
      <c r="AE22" s="50"/>
      <c r="AF22" s="50"/>
      <c r="AG22" s="46">
        <f t="shared" si="1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126"/>
      <c r="C23" s="126"/>
      <c r="D23" s="126"/>
      <c r="E23" s="126"/>
      <c r="F23" s="126"/>
      <c r="G23" s="126"/>
      <c r="H23" s="126"/>
      <c r="I23" s="126"/>
      <c r="J23" s="126"/>
      <c r="K23" s="126"/>
      <c r="L23" s="126"/>
      <c r="M23" s="126"/>
      <c r="N23" s="126"/>
      <c r="O23" s="126"/>
      <c r="P23" s="126"/>
      <c r="Q23" s="126"/>
      <c r="R23" s="126"/>
      <c r="S23" s="126"/>
      <c r="T23" s="126"/>
      <c r="U23" s="126"/>
      <c r="V23" s="126"/>
      <c r="W23" s="126"/>
      <c r="X23" s="126"/>
      <c r="Y23" s="126"/>
      <c r="Z23" s="126"/>
      <c r="AA23" s="126"/>
      <c r="AB23" s="126"/>
      <c r="AC23" s="126"/>
      <c r="AD23" s="126"/>
      <c r="AE23" s="126"/>
      <c r="AF23" s="126"/>
      <c r="AG23" s="46">
        <f t="shared" si="1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  <c r="AD24" s="50"/>
      <c r="AE24" s="50"/>
      <c r="AF24" s="50"/>
      <c r="AG24" s="46">
        <f t="shared" si="1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  <c r="AD25" s="50"/>
      <c r="AE25" s="50"/>
      <c r="AF25" s="50"/>
      <c r="AG25" s="46">
        <f t="shared" si="1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46">
        <f t="shared" si="1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46">
        <f t="shared" si="1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46">
        <f t="shared" si="1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46">
        <f t="shared" si="1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46">
        <f t="shared" si="1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46">
        <f t="shared" si="1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46">
        <f t="shared" si="1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2">SUM(B3:B32)</f>
        <v>0</v>
      </c>
      <c r="C33" s="51">
        <f t="shared" si="2"/>
        <v>0</v>
      </c>
      <c r="D33" s="51">
        <f t="shared" si="2"/>
        <v>0</v>
      </c>
      <c r="E33" s="51">
        <f t="shared" si="2"/>
        <v>0</v>
      </c>
      <c r="F33" s="51">
        <f t="shared" si="2"/>
        <v>0</v>
      </c>
      <c r="G33" s="51">
        <f t="shared" si="2"/>
        <v>0</v>
      </c>
      <c r="H33" s="51">
        <f t="shared" si="2"/>
        <v>0</v>
      </c>
      <c r="I33" s="51">
        <f t="shared" si="2"/>
        <v>0</v>
      </c>
      <c r="J33" s="51">
        <f t="shared" si="2"/>
        <v>0</v>
      </c>
      <c r="K33" s="51">
        <f t="shared" si="2"/>
        <v>0</v>
      </c>
      <c r="L33" s="51">
        <f t="shared" si="2"/>
        <v>0</v>
      </c>
      <c r="M33" s="51">
        <f t="shared" si="2"/>
        <v>0</v>
      </c>
      <c r="N33" s="51">
        <f t="shared" si="2"/>
        <v>0</v>
      </c>
      <c r="O33" s="51">
        <f t="shared" si="2"/>
        <v>0</v>
      </c>
      <c r="P33" s="51">
        <f t="shared" si="2"/>
        <v>0</v>
      </c>
      <c r="Q33" s="51">
        <f t="shared" si="2"/>
        <v>0</v>
      </c>
      <c r="R33" s="51">
        <f t="shared" si="2"/>
        <v>0</v>
      </c>
      <c r="S33" s="51">
        <f t="shared" si="2"/>
        <v>0</v>
      </c>
      <c r="T33" s="51">
        <f t="shared" si="2"/>
        <v>0</v>
      </c>
      <c r="U33" s="51">
        <f t="shared" si="2"/>
        <v>0</v>
      </c>
      <c r="V33" s="51">
        <f t="shared" si="2"/>
        <v>0</v>
      </c>
      <c r="W33" s="51">
        <f t="shared" si="2"/>
        <v>0</v>
      </c>
      <c r="X33" s="51">
        <f t="shared" si="2"/>
        <v>0</v>
      </c>
      <c r="Y33" s="51">
        <f t="shared" si="2"/>
        <v>0</v>
      </c>
      <c r="Z33" s="51">
        <f t="shared" si="2"/>
        <v>0</v>
      </c>
      <c r="AA33" s="51">
        <f t="shared" si="2"/>
        <v>0</v>
      </c>
      <c r="AB33" s="51">
        <f t="shared" si="2"/>
        <v>0</v>
      </c>
      <c r="AC33" s="51">
        <f t="shared" si="2"/>
        <v>0</v>
      </c>
      <c r="AD33" s="51">
        <f t="shared" si="2"/>
        <v>0</v>
      </c>
      <c r="AE33" s="51">
        <f t="shared" si="2"/>
        <v>0</v>
      </c>
      <c r="AF33" s="51">
        <f t="shared" si="2"/>
        <v>0</v>
      </c>
      <c r="AG33" s="56">
        <f t="shared" si="1"/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47.42578125" customWidth="1"/>
    <col min="2" max="11" width="9" bestFit="1" customWidth="1"/>
    <col min="12" max="12" width="10.7109375" customWidth="1"/>
    <col min="13" max="18" width="9" bestFit="1" customWidth="1"/>
    <col min="19" max="19" width="8.5703125" customWidth="1"/>
    <col min="20" max="25" width="9" bestFit="1" customWidth="1"/>
    <col min="26" max="26" width="9" customWidth="1"/>
    <col min="27" max="27" width="9" bestFit="1" customWidth="1"/>
    <col min="28" max="28" width="8.7109375" bestFit="1" customWidth="1"/>
    <col min="29" max="31" width="9" bestFit="1" customWidth="1"/>
    <col min="32" max="32" width="7.42578125" customWidth="1"/>
    <col min="33" max="33" width="12" customWidth="1"/>
  </cols>
  <sheetData>
    <row r="1" spans="1:35" s="44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43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171" t="s">
        <v>246</v>
      </c>
      <c r="B4" s="74"/>
      <c r="C4" s="74"/>
      <c r="D4" s="74"/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  <c r="AA4" s="74"/>
      <c r="AB4" s="74"/>
      <c r="AC4" s="74"/>
      <c r="AD4" s="74"/>
      <c r="AE4" s="74"/>
      <c r="AF4" s="74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74"/>
      <c r="C6" s="74"/>
      <c r="D6" s="74"/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A6" s="74"/>
      <c r="AB6" s="74"/>
      <c r="AC6" s="74"/>
      <c r="AD6" s="74"/>
      <c r="AE6" s="74"/>
      <c r="AF6" s="74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5"/>
      <c r="U8" s="74"/>
      <c r="V8" s="74"/>
      <c r="W8" s="74"/>
      <c r="X8" s="74"/>
      <c r="Y8" s="74"/>
      <c r="Z8" s="74"/>
      <c r="AA8" s="75"/>
      <c r="AB8" s="74"/>
      <c r="AC8" s="74"/>
      <c r="AD8" s="74"/>
      <c r="AE8" s="74"/>
      <c r="AF8" s="75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5"/>
      <c r="X9" s="74"/>
      <c r="Y9" s="74"/>
      <c r="Z9" s="74"/>
      <c r="AA9" s="74"/>
      <c r="AB9" s="74"/>
      <c r="AC9" s="74"/>
      <c r="AD9" s="74"/>
      <c r="AE9" s="74"/>
      <c r="AF9" s="7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155"/>
      <c r="C10" s="155"/>
      <c r="D10" s="156"/>
      <c r="E10" s="155"/>
      <c r="F10" s="155"/>
      <c r="G10" s="156"/>
      <c r="H10" s="155"/>
      <c r="I10" s="156"/>
      <c r="J10" s="155"/>
      <c r="K10" s="156"/>
      <c r="L10" s="156"/>
      <c r="M10" s="155"/>
      <c r="N10" s="155"/>
      <c r="O10" s="156"/>
      <c r="P10" s="155"/>
      <c r="Q10" s="155"/>
      <c r="R10" s="156"/>
      <c r="S10" s="155"/>
      <c r="T10" s="156"/>
      <c r="U10" s="155"/>
      <c r="V10" s="155"/>
      <c r="W10" s="156"/>
      <c r="X10" s="155"/>
      <c r="Y10" s="155"/>
      <c r="Z10" s="156"/>
      <c r="AA10" s="155"/>
      <c r="AB10" s="155"/>
      <c r="AC10" s="156"/>
      <c r="AD10" s="155"/>
      <c r="AE10" s="156"/>
      <c r="AF10" s="155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75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70"/>
      <c r="C12" s="70"/>
      <c r="D12" s="70"/>
      <c r="E12" s="70"/>
      <c r="F12" s="70"/>
      <c r="G12" s="70"/>
      <c r="H12" s="70"/>
      <c r="I12" s="70"/>
      <c r="J12" s="70"/>
      <c r="K12" s="70"/>
      <c r="L12" s="70"/>
      <c r="M12" s="70"/>
      <c r="N12" s="70"/>
      <c r="O12" s="70"/>
      <c r="P12" s="70"/>
      <c r="Q12" s="70"/>
      <c r="R12" s="70"/>
      <c r="S12" s="70"/>
      <c r="T12" s="70"/>
      <c r="U12" s="70"/>
      <c r="V12" s="70"/>
      <c r="W12" s="70"/>
      <c r="X12" s="70"/>
      <c r="Y12" s="70"/>
      <c r="Z12" s="70"/>
      <c r="AA12" s="70"/>
      <c r="AB12" s="70"/>
      <c r="AC12" s="70"/>
      <c r="AD12" s="70"/>
      <c r="AE12" s="70"/>
      <c r="AF12" s="70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2"/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  <c r="AA14" s="74"/>
      <c r="AB14" s="74"/>
      <c r="AC14" s="74"/>
      <c r="AD14" s="74"/>
      <c r="AE14" s="74"/>
      <c r="AF14" s="74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  <c r="AA15" s="74"/>
      <c r="AB15" s="74"/>
      <c r="AC15" s="74"/>
      <c r="AD15" s="74"/>
      <c r="AE15" s="74"/>
      <c r="AF15" s="74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74"/>
      <c r="C16" s="74"/>
      <c r="D16" s="74"/>
      <c r="E16" s="74"/>
      <c r="F16" s="74"/>
      <c r="G16" s="75"/>
      <c r="H16" s="75"/>
      <c r="I16" s="74"/>
      <c r="J16" s="74"/>
      <c r="K16" s="74"/>
      <c r="L16" s="74"/>
      <c r="M16" s="74"/>
      <c r="N16" s="74"/>
      <c r="O16" s="74"/>
      <c r="P16" s="75"/>
      <c r="Q16" s="74"/>
      <c r="R16" s="74"/>
      <c r="S16" s="75"/>
      <c r="T16" s="74"/>
      <c r="U16" s="74"/>
      <c r="V16" s="74"/>
      <c r="W16" s="74"/>
      <c r="X16" s="74"/>
      <c r="Y16" s="74"/>
      <c r="Z16" s="74"/>
      <c r="AA16" s="74"/>
      <c r="AB16" s="74"/>
      <c r="AC16" s="75"/>
      <c r="AD16" s="75"/>
      <c r="AE16" s="74"/>
      <c r="AF16" s="74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  <c r="AA17" s="74"/>
      <c r="AB17" s="74"/>
      <c r="AC17" s="74"/>
      <c r="AD17" s="74"/>
      <c r="AE17" s="74"/>
      <c r="AF17" s="74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  <c r="AA18" s="74"/>
      <c r="AB18" s="74"/>
      <c r="AC18" s="74"/>
      <c r="AD18" s="74"/>
      <c r="AE18" s="74"/>
      <c r="AF18" s="74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2"/>
      <c r="C19" s="52"/>
      <c r="D19" s="52"/>
      <c r="E19" s="52"/>
      <c r="F19" s="52"/>
      <c r="G19" s="52"/>
      <c r="H19" s="52"/>
      <c r="I19" s="52"/>
      <c r="J19" s="52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  <c r="AF19" s="52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  <c r="AA20" s="74"/>
      <c r="AB20" s="74"/>
      <c r="AC20" s="74"/>
      <c r="AD20" s="74"/>
      <c r="AE20" s="74"/>
      <c r="AF20" s="74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  <c r="AA21" s="74"/>
      <c r="AB21" s="74"/>
      <c r="AC21" s="74"/>
      <c r="AD21" s="74"/>
      <c r="AE21" s="74"/>
      <c r="AF21" s="74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157"/>
      <c r="C22" s="157"/>
      <c r="D22" s="157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  <c r="S22" s="157"/>
      <c r="T22" s="157"/>
      <c r="U22" s="157"/>
      <c r="V22" s="157"/>
      <c r="W22" s="157"/>
      <c r="X22" s="157"/>
      <c r="Y22" s="157"/>
      <c r="Z22" s="157"/>
      <c r="AA22" s="157"/>
      <c r="AB22" s="157"/>
      <c r="AC22" s="157"/>
      <c r="AD22" s="157"/>
      <c r="AE22" s="157"/>
      <c r="AF22" s="157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75"/>
      <c r="C24" s="75"/>
      <c r="D24" s="75"/>
      <c r="E24" s="75"/>
      <c r="F24" s="75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/>
      <c r="V24" s="75"/>
      <c r="W24" s="75"/>
      <c r="X24" s="75"/>
      <c r="Y24" s="75"/>
      <c r="Z24" s="75"/>
      <c r="AA24" s="75"/>
      <c r="AB24" s="75"/>
      <c r="AC24" s="75"/>
      <c r="AD24" s="75"/>
      <c r="AE24" s="75"/>
      <c r="AF24" s="75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  <c r="AA25" s="74"/>
      <c r="AB25" s="74"/>
      <c r="AC25" s="74"/>
      <c r="AD25" s="74"/>
      <c r="AE25" s="74"/>
      <c r="AF25" s="74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AF27" s="74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  <c r="AA28" s="74"/>
      <c r="AB28" s="74"/>
      <c r="AC28" s="74"/>
      <c r="AD28" s="74"/>
      <c r="AE28" s="74"/>
      <c r="AF28" s="74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7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  <c r="AA30" s="74"/>
      <c r="AB30" s="74"/>
      <c r="AC30" s="74"/>
      <c r="AD30" s="74"/>
      <c r="AE30" s="74"/>
      <c r="AF30" s="74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ht="21" x14ac:dyDescent="0.35">
      <c r="AG34" s="128">
        <f>SUM(AG29:AG32)</f>
        <v>0</v>
      </c>
    </row>
  </sheetData>
  <mergeCells count="1">
    <mergeCell ref="A1:AG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6.710937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>
        <v>2</v>
      </c>
      <c r="C3" s="49">
        <v>3</v>
      </c>
      <c r="D3" s="49">
        <v>4</v>
      </c>
      <c r="E3" s="49">
        <v>4</v>
      </c>
      <c r="F3" s="49">
        <v>3</v>
      </c>
      <c r="G3" s="51">
        <v>5</v>
      </c>
      <c r="H3" s="51">
        <v>2</v>
      </c>
      <c r="I3" s="51">
        <v>3</v>
      </c>
      <c r="J3" s="51">
        <v>2</v>
      </c>
      <c r="K3" s="51">
        <v>3</v>
      </c>
      <c r="L3" s="51">
        <v>4</v>
      </c>
      <c r="M3" s="51">
        <v>3</v>
      </c>
      <c r="N3" s="51">
        <v>2</v>
      </c>
      <c r="O3" s="51">
        <v>4</v>
      </c>
      <c r="P3" s="51">
        <v>4</v>
      </c>
      <c r="Q3" s="51">
        <v>6</v>
      </c>
      <c r="R3" s="51">
        <v>7</v>
      </c>
      <c r="S3" s="51">
        <v>3.5</v>
      </c>
      <c r="T3" s="51">
        <v>4</v>
      </c>
      <c r="U3" s="51">
        <v>3.5</v>
      </c>
      <c r="V3" s="51">
        <v>2</v>
      </c>
      <c r="W3" s="51">
        <v>3</v>
      </c>
      <c r="X3" s="51">
        <v>8.1999999999999993</v>
      </c>
      <c r="Y3" s="51">
        <v>0</v>
      </c>
      <c r="Z3" s="51">
        <v>2</v>
      </c>
      <c r="AA3" s="51">
        <v>3.5</v>
      </c>
      <c r="AB3" s="51">
        <v>3</v>
      </c>
      <c r="AC3" s="51">
        <v>1</v>
      </c>
      <c r="AD3" s="51">
        <v>3</v>
      </c>
      <c r="AE3" s="51">
        <v>2.5</v>
      </c>
      <c r="AF3" s="51">
        <v>1.5</v>
      </c>
      <c r="AG3" s="46">
        <f t="shared" ref="AG3:AG32" si="0">SUM(B3:AF3)</f>
        <v>101.7</v>
      </c>
      <c r="AH3" s="47"/>
      <c r="AI3" s="48"/>
    </row>
    <row r="4" spans="1:35" s="44" customFormat="1" ht="37.5" customHeight="1" x14ac:dyDescent="0.35">
      <c r="A4" s="60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>
        <v>6.2</v>
      </c>
      <c r="C5" s="51">
        <f>2.3+3.5</f>
        <v>5.8</v>
      </c>
      <c r="D5" s="51">
        <v>4.3</v>
      </c>
      <c r="E5" s="51">
        <v>2</v>
      </c>
      <c r="F5" s="51">
        <v>0</v>
      </c>
      <c r="G5" s="51">
        <v>1</v>
      </c>
      <c r="H5" s="51">
        <v>0.8</v>
      </c>
      <c r="I5" s="51">
        <v>0.4</v>
      </c>
      <c r="J5" s="51">
        <v>1.5</v>
      </c>
      <c r="K5" s="51">
        <v>1</v>
      </c>
      <c r="L5" s="51">
        <v>0.3</v>
      </c>
      <c r="M5" s="51">
        <v>0</v>
      </c>
      <c r="N5" s="51">
        <v>2.9</v>
      </c>
      <c r="O5" s="51">
        <v>5</v>
      </c>
      <c r="P5" s="51">
        <v>6.9</v>
      </c>
      <c r="Q5" s="51">
        <v>2.5</v>
      </c>
      <c r="R5" s="51">
        <v>3</v>
      </c>
      <c r="S5" s="51">
        <v>1.5</v>
      </c>
      <c r="T5" s="51">
        <v>0</v>
      </c>
      <c r="U5" s="51">
        <v>0.6</v>
      </c>
      <c r="V5" s="51">
        <v>1</v>
      </c>
      <c r="W5" s="51">
        <v>1.5</v>
      </c>
      <c r="X5" s="51">
        <v>2</v>
      </c>
      <c r="Y5" s="51">
        <v>1.3</v>
      </c>
      <c r="Z5" s="51">
        <v>1</v>
      </c>
      <c r="AA5" s="51">
        <v>0</v>
      </c>
      <c r="AB5" s="51">
        <v>3.3</v>
      </c>
      <c r="AC5" s="51">
        <v>3.1</v>
      </c>
      <c r="AD5" s="51">
        <v>3.8</v>
      </c>
      <c r="AE5" s="51">
        <v>4.3</v>
      </c>
      <c r="AF5" s="51">
        <v>3.3</v>
      </c>
      <c r="AG5" s="46">
        <f t="shared" si="0"/>
        <v>70.3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>
        <v>1</v>
      </c>
      <c r="C8" s="51">
        <v>1.4</v>
      </c>
      <c r="D8" s="51">
        <v>0.3</v>
      </c>
      <c r="E8" s="51">
        <v>0.9</v>
      </c>
      <c r="F8" s="51">
        <v>1.5</v>
      </c>
      <c r="G8" s="51">
        <v>2.7</v>
      </c>
      <c r="H8" s="51">
        <v>1.9</v>
      </c>
      <c r="I8" s="51">
        <v>1.9</v>
      </c>
      <c r="J8" s="51">
        <v>1.5</v>
      </c>
      <c r="K8" s="51">
        <v>1</v>
      </c>
      <c r="L8" s="51">
        <v>1.9</v>
      </c>
      <c r="M8" s="51">
        <v>1.8</v>
      </c>
      <c r="N8" s="51">
        <v>1.5</v>
      </c>
      <c r="O8" s="51">
        <v>2.5</v>
      </c>
      <c r="P8" s="51">
        <v>1.9</v>
      </c>
      <c r="Q8" s="51">
        <v>2.1</v>
      </c>
      <c r="R8" s="51">
        <v>1.9</v>
      </c>
      <c r="S8" s="51">
        <v>2.9</v>
      </c>
      <c r="T8" s="51">
        <v>3.4</v>
      </c>
      <c r="U8" s="51">
        <v>1.9</v>
      </c>
      <c r="V8" s="51">
        <v>2.1</v>
      </c>
      <c r="W8" s="51">
        <v>2.7</v>
      </c>
      <c r="X8" s="51">
        <v>1.6</v>
      </c>
      <c r="Y8" s="51">
        <v>1.2</v>
      </c>
      <c r="Z8" s="51">
        <v>1.6</v>
      </c>
      <c r="AA8" s="51">
        <v>1.4</v>
      </c>
      <c r="AB8" s="51">
        <v>1.9</v>
      </c>
      <c r="AC8" s="51">
        <v>2.1</v>
      </c>
      <c r="AD8" s="51">
        <v>2.2999999999999998</v>
      </c>
      <c r="AE8" s="51">
        <v>2.4</v>
      </c>
      <c r="AF8" s="51">
        <v>2.5</v>
      </c>
      <c r="AG8" s="46">
        <f t="shared" si="0"/>
        <v>57.7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0">
        <v>6.5</v>
      </c>
      <c r="C10" s="51">
        <v>5.2</v>
      </c>
      <c r="D10" s="51">
        <v>7.1</v>
      </c>
      <c r="E10" s="51">
        <v>9.4</v>
      </c>
      <c r="F10" s="51">
        <v>3.1</v>
      </c>
      <c r="G10" s="51">
        <v>4.2</v>
      </c>
      <c r="H10" s="51">
        <v>3.1</v>
      </c>
      <c r="I10" s="51">
        <v>6.2</v>
      </c>
      <c r="J10" s="51">
        <v>5.4</v>
      </c>
      <c r="K10" s="51">
        <v>3.2</v>
      </c>
      <c r="L10" s="51">
        <v>9.6999999999999993</v>
      </c>
      <c r="M10" s="51">
        <v>6.5</v>
      </c>
      <c r="N10" s="51">
        <v>9.3000000000000007</v>
      </c>
      <c r="O10" s="51">
        <v>5.4</v>
      </c>
      <c r="P10" s="51">
        <v>3.11</v>
      </c>
      <c r="Q10" s="51">
        <v>2.21</v>
      </c>
      <c r="R10" s="51">
        <v>3.11</v>
      </c>
      <c r="S10" s="51">
        <v>9.19</v>
      </c>
      <c r="T10" s="51">
        <v>2.1800000000000002</v>
      </c>
      <c r="U10" s="51">
        <v>2.0110000000000001</v>
      </c>
      <c r="V10" s="51">
        <v>2.0299999999999998</v>
      </c>
      <c r="W10" s="51">
        <v>3.03</v>
      </c>
      <c r="X10" s="51">
        <v>3.11</v>
      </c>
      <c r="Y10" s="51">
        <v>2.21</v>
      </c>
      <c r="Z10" s="51">
        <v>4.1100000000000003</v>
      </c>
      <c r="AA10" s="51">
        <v>8.6999999999999993</v>
      </c>
      <c r="AB10" s="51">
        <v>4.1100000000000003</v>
      </c>
      <c r="AC10" s="51">
        <v>3.22</v>
      </c>
      <c r="AD10" s="51">
        <v>1.28</v>
      </c>
      <c r="AE10" s="51">
        <v>2.19</v>
      </c>
      <c r="AF10" s="51">
        <v>2.21</v>
      </c>
      <c r="AG10" s="46">
        <f t="shared" si="0"/>
        <v>142.31100000000001</v>
      </c>
      <c r="AH10" s="48"/>
      <c r="AI10" s="48"/>
    </row>
    <row r="11" spans="1:35" s="44" customFormat="1" ht="18.75" customHeight="1" x14ac:dyDescent="0.35">
      <c r="A11" s="60" t="s">
        <v>152</v>
      </c>
      <c r="B11" s="49">
        <v>0</v>
      </c>
      <c r="C11" s="51">
        <v>1</v>
      </c>
      <c r="D11" s="51">
        <v>0</v>
      </c>
      <c r="E11" s="51">
        <v>0</v>
      </c>
      <c r="F11" s="51">
        <v>0</v>
      </c>
      <c r="G11" s="51">
        <v>0</v>
      </c>
      <c r="H11" s="51">
        <v>1</v>
      </c>
      <c r="I11" s="51">
        <v>0</v>
      </c>
      <c r="J11" s="51">
        <v>0</v>
      </c>
      <c r="K11" s="51">
        <v>2</v>
      </c>
      <c r="L11" s="51">
        <v>0</v>
      </c>
      <c r="M11" s="51">
        <v>0</v>
      </c>
      <c r="N11" s="51">
        <v>0</v>
      </c>
      <c r="O11" s="51">
        <v>0</v>
      </c>
      <c r="P11" s="51">
        <v>3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0.3</v>
      </c>
      <c r="AF11" s="51">
        <v>0</v>
      </c>
      <c r="AG11" s="46">
        <f t="shared" si="0"/>
        <v>7.3</v>
      </c>
      <c r="AH11" s="48"/>
      <c r="AI11" s="48"/>
    </row>
    <row r="12" spans="1:35" s="44" customFormat="1" ht="18.75" customHeight="1" x14ac:dyDescent="0.35">
      <c r="A12" s="60" t="s">
        <v>91</v>
      </c>
      <c r="B12" s="49">
        <v>1</v>
      </c>
      <c r="C12" s="51">
        <v>0</v>
      </c>
      <c r="D12" s="51">
        <v>0</v>
      </c>
      <c r="E12" s="51">
        <v>1.1000000000000001</v>
      </c>
      <c r="F12" s="51">
        <v>0</v>
      </c>
      <c r="G12" s="51">
        <v>0</v>
      </c>
      <c r="H12" s="51">
        <v>0</v>
      </c>
      <c r="I12" s="51">
        <v>0</v>
      </c>
      <c r="J12" s="51">
        <v>1.3</v>
      </c>
      <c r="K12" s="51">
        <v>1</v>
      </c>
      <c r="L12" s="51">
        <v>0</v>
      </c>
      <c r="M12" s="51">
        <v>0</v>
      </c>
      <c r="N12" s="51">
        <v>1.1000000000000001</v>
      </c>
      <c r="O12" s="51">
        <v>0</v>
      </c>
      <c r="P12" s="51">
        <v>0</v>
      </c>
      <c r="Q12" s="51">
        <v>1.3</v>
      </c>
      <c r="R12" s="51">
        <v>0</v>
      </c>
      <c r="S12" s="51">
        <v>1.1000000000000001</v>
      </c>
      <c r="T12" s="51">
        <v>0</v>
      </c>
      <c r="U12" s="51">
        <v>1.1000000000000001</v>
      </c>
      <c r="V12" s="51">
        <v>0</v>
      </c>
      <c r="W12" s="51">
        <v>0</v>
      </c>
      <c r="X12" s="51">
        <v>1.1000000000000001</v>
      </c>
      <c r="Y12" s="51">
        <v>0</v>
      </c>
      <c r="Z12" s="51">
        <v>1.1000000000000001</v>
      </c>
      <c r="AA12" s="51">
        <v>0</v>
      </c>
      <c r="AB12" s="51">
        <v>0</v>
      </c>
      <c r="AC12" s="51">
        <v>0</v>
      </c>
      <c r="AD12" s="51">
        <v>1</v>
      </c>
      <c r="AE12" s="51">
        <v>0</v>
      </c>
      <c r="AF12" s="51">
        <v>0</v>
      </c>
      <c r="AG12" s="46">
        <f t="shared" si="0"/>
        <v>12.2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>
        <v>0.4</v>
      </c>
      <c r="C14" s="51">
        <v>0.2</v>
      </c>
      <c r="D14" s="51">
        <v>0.1</v>
      </c>
      <c r="E14" s="51">
        <v>0.3</v>
      </c>
      <c r="F14" s="51">
        <v>0.5</v>
      </c>
      <c r="G14" s="51">
        <v>0.2</v>
      </c>
      <c r="H14" s="51">
        <v>0.1</v>
      </c>
      <c r="I14" s="51">
        <v>0.4</v>
      </c>
      <c r="J14" s="51">
        <v>0.8</v>
      </c>
      <c r="K14" s="51">
        <v>0.1</v>
      </c>
      <c r="L14" s="51">
        <v>0.2</v>
      </c>
      <c r="M14" s="51">
        <v>0.4</v>
      </c>
      <c r="N14" s="51">
        <v>0.5</v>
      </c>
      <c r="O14" s="51">
        <v>0.2</v>
      </c>
      <c r="P14" s="51">
        <v>0.1</v>
      </c>
      <c r="Q14" s="51">
        <v>0.2</v>
      </c>
      <c r="R14" s="51">
        <v>0.5</v>
      </c>
      <c r="S14" s="51">
        <v>0.4</v>
      </c>
      <c r="T14" s="51">
        <v>0.3</v>
      </c>
      <c r="U14" s="51">
        <v>0.2</v>
      </c>
      <c r="V14" s="51">
        <v>0.5</v>
      </c>
      <c r="W14" s="51">
        <v>0.3</v>
      </c>
      <c r="X14" s="51">
        <v>0.2</v>
      </c>
      <c r="Y14" s="51">
        <v>0.1</v>
      </c>
      <c r="Z14" s="51">
        <v>0.5</v>
      </c>
      <c r="AA14" s="51">
        <v>0.3</v>
      </c>
      <c r="AB14" s="51">
        <v>0.5</v>
      </c>
      <c r="AC14" s="51">
        <v>0.3</v>
      </c>
      <c r="AD14" s="51">
        <v>0.2</v>
      </c>
      <c r="AE14" s="51">
        <v>0.1</v>
      </c>
      <c r="AF14" s="51">
        <v>0.5</v>
      </c>
      <c r="AG14" s="46">
        <f t="shared" si="0"/>
        <v>9.6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>
        <v>0</v>
      </c>
      <c r="C17" s="49">
        <v>0</v>
      </c>
      <c r="D17" s="49">
        <v>0</v>
      </c>
      <c r="E17" s="49">
        <v>1</v>
      </c>
      <c r="F17" s="49">
        <v>0</v>
      </c>
      <c r="G17" s="49">
        <v>0</v>
      </c>
      <c r="H17" s="49">
        <v>0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0</v>
      </c>
      <c r="O17" s="49">
        <v>0</v>
      </c>
      <c r="P17" s="49">
        <v>0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0</v>
      </c>
      <c r="W17" s="49">
        <v>0</v>
      </c>
      <c r="X17" s="49">
        <v>0</v>
      </c>
      <c r="Y17" s="49">
        <v>1</v>
      </c>
      <c r="Z17" s="49">
        <v>0</v>
      </c>
      <c r="AA17" s="49">
        <v>0</v>
      </c>
      <c r="AB17" s="49">
        <v>0</v>
      </c>
      <c r="AC17" s="49">
        <v>0</v>
      </c>
      <c r="AD17" s="49">
        <v>0</v>
      </c>
      <c r="AE17" s="49">
        <v>0</v>
      </c>
      <c r="AF17" s="49">
        <v>0</v>
      </c>
      <c r="AG17" s="46">
        <f t="shared" si="0"/>
        <v>2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>
        <v>0.6</v>
      </c>
      <c r="C20" s="51">
        <v>1.2</v>
      </c>
      <c r="D20" s="51">
        <v>1.6</v>
      </c>
      <c r="E20" s="51">
        <v>2</v>
      </c>
      <c r="F20" s="51">
        <v>1.1000000000000001</v>
      </c>
      <c r="G20" s="51">
        <v>1.3</v>
      </c>
      <c r="H20" s="51">
        <v>1</v>
      </c>
      <c r="I20" s="51">
        <v>1.2</v>
      </c>
      <c r="J20" s="51">
        <v>0</v>
      </c>
      <c r="K20" s="51">
        <v>1.2</v>
      </c>
      <c r="L20" s="51">
        <v>0.9</v>
      </c>
      <c r="M20" s="51">
        <v>0.1</v>
      </c>
      <c r="N20" s="51">
        <v>0</v>
      </c>
      <c r="O20" s="51">
        <v>0.7</v>
      </c>
      <c r="P20" s="51">
        <v>2.8</v>
      </c>
      <c r="Q20" s="51">
        <v>1</v>
      </c>
      <c r="R20" s="51">
        <v>0.5</v>
      </c>
      <c r="S20" s="51">
        <v>0.8</v>
      </c>
      <c r="T20" s="51">
        <v>0.5</v>
      </c>
      <c r="U20" s="51">
        <v>0</v>
      </c>
      <c r="V20" s="51">
        <v>0.5</v>
      </c>
      <c r="W20" s="51">
        <v>0.2</v>
      </c>
      <c r="X20" s="51">
        <v>0</v>
      </c>
      <c r="Y20" s="51">
        <v>0.5</v>
      </c>
      <c r="Z20" s="51">
        <v>0.9</v>
      </c>
      <c r="AA20" s="51">
        <v>0.8</v>
      </c>
      <c r="AB20" s="51">
        <v>0.5</v>
      </c>
      <c r="AC20" s="51">
        <v>1.8</v>
      </c>
      <c r="AD20" s="51">
        <v>2.4</v>
      </c>
      <c r="AE20" s="51">
        <v>2.5</v>
      </c>
      <c r="AF20" s="51">
        <v>1.1000000000000001</v>
      </c>
      <c r="AG20" s="46">
        <f t="shared" si="0"/>
        <v>29.7</v>
      </c>
      <c r="AH20" s="48"/>
      <c r="AI20" s="48"/>
    </row>
    <row r="21" spans="1:35" s="44" customFormat="1" ht="18.75" customHeight="1" x14ac:dyDescent="0.35">
      <c r="A21" s="60" t="s">
        <v>74</v>
      </c>
      <c r="B21" s="49">
        <v>0.3</v>
      </c>
      <c r="C21" s="51">
        <v>0</v>
      </c>
      <c r="D21" s="51">
        <v>0.2</v>
      </c>
      <c r="E21" s="51">
        <v>0</v>
      </c>
      <c r="F21" s="51">
        <v>0.3</v>
      </c>
      <c r="G21" s="51">
        <v>0</v>
      </c>
      <c r="H21" s="51">
        <v>0</v>
      </c>
      <c r="I21" s="51">
        <v>0.5</v>
      </c>
      <c r="J21" s="51">
        <v>0.7</v>
      </c>
      <c r="K21" s="52">
        <v>0.5</v>
      </c>
      <c r="L21" s="52">
        <v>0.8</v>
      </c>
      <c r="M21" s="52">
        <v>0.3</v>
      </c>
      <c r="N21" s="52">
        <v>0</v>
      </c>
      <c r="O21" s="52">
        <v>0.4</v>
      </c>
      <c r="P21" s="52">
        <v>0</v>
      </c>
      <c r="Q21" s="52">
        <v>0.1</v>
      </c>
      <c r="R21" s="52">
        <v>0</v>
      </c>
      <c r="S21" s="52">
        <v>0.4</v>
      </c>
      <c r="T21" s="52">
        <v>0</v>
      </c>
      <c r="U21" s="52">
        <v>0.1</v>
      </c>
      <c r="V21" s="52">
        <v>0.2</v>
      </c>
      <c r="W21" s="52">
        <v>0.5</v>
      </c>
      <c r="X21" s="52">
        <v>0.3</v>
      </c>
      <c r="Y21" s="52">
        <v>0.2</v>
      </c>
      <c r="Z21" s="52">
        <v>0</v>
      </c>
      <c r="AA21" s="52">
        <v>0</v>
      </c>
      <c r="AB21" s="52">
        <v>0.2</v>
      </c>
      <c r="AC21" s="52">
        <v>0</v>
      </c>
      <c r="AD21" s="52">
        <v>0.8</v>
      </c>
      <c r="AE21" s="52">
        <v>0</v>
      </c>
      <c r="AF21" s="52">
        <v>0.8</v>
      </c>
      <c r="AG21" s="46">
        <f t="shared" si="0"/>
        <v>7.6</v>
      </c>
      <c r="AH21" s="48"/>
      <c r="AI21" s="48"/>
    </row>
    <row r="22" spans="1:35" s="44" customFormat="1" ht="18.75" customHeight="1" x14ac:dyDescent="0.35">
      <c r="A22" s="60" t="s">
        <v>75</v>
      </c>
      <c r="B22" s="49">
        <v>0</v>
      </c>
      <c r="C22" s="49">
        <v>0</v>
      </c>
      <c r="D22" s="49">
        <v>0</v>
      </c>
      <c r="E22" s="49">
        <v>0</v>
      </c>
      <c r="F22" s="49">
        <v>0</v>
      </c>
      <c r="G22" s="49">
        <v>3.4</v>
      </c>
      <c r="H22" s="49">
        <v>0</v>
      </c>
      <c r="I22" s="49">
        <v>0</v>
      </c>
      <c r="J22" s="49">
        <v>1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4.3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1</v>
      </c>
      <c r="Z22" s="49">
        <v>0</v>
      </c>
      <c r="AA22" s="49">
        <v>3.2</v>
      </c>
      <c r="AB22" s="49">
        <v>0</v>
      </c>
      <c r="AC22" s="49">
        <v>0</v>
      </c>
      <c r="AD22" s="49">
        <v>0</v>
      </c>
      <c r="AE22" s="49">
        <v>5.0999999999999996</v>
      </c>
      <c r="AF22" s="49">
        <v>0</v>
      </c>
      <c r="AG22" s="46">
        <f>SUM(B22:AF22)</f>
        <v>18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0">
        <v>0</v>
      </c>
      <c r="C24" s="51">
        <v>1.7</v>
      </c>
      <c r="D24" s="51">
        <v>0</v>
      </c>
      <c r="E24" s="51">
        <v>2.2999999999999998</v>
      </c>
      <c r="F24" s="51">
        <v>0</v>
      </c>
      <c r="G24" s="51">
        <v>3</v>
      </c>
      <c r="H24" s="51">
        <v>0</v>
      </c>
      <c r="I24" s="51">
        <v>1.9</v>
      </c>
      <c r="J24" s="51">
        <v>0</v>
      </c>
      <c r="K24" s="51">
        <v>2</v>
      </c>
      <c r="L24" s="51">
        <v>0</v>
      </c>
      <c r="M24" s="51">
        <v>2.7</v>
      </c>
      <c r="N24" s="51">
        <v>0</v>
      </c>
      <c r="O24" s="51">
        <v>3.2</v>
      </c>
      <c r="P24" s="51">
        <v>1.8</v>
      </c>
      <c r="Q24" s="51">
        <v>0</v>
      </c>
      <c r="R24" s="51">
        <v>3.6</v>
      </c>
      <c r="S24" s="51">
        <v>0</v>
      </c>
      <c r="T24" s="51">
        <v>2.2999999999999998</v>
      </c>
      <c r="U24" s="51">
        <v>0</v>
      </c>
      <c r="V24" s="51">
        <v>3.8</v>
      </c>
      <c r="W24" s="51">
        <v>2.2999999999999998</v>
      </c>
      <c r="X24" s="51">
        <v>0</v>
      </c>
      <c r="Y24" s="51">
        <v>1.7</v>
      </c>
      <c r="Z24" s="51">
        <v>0</v>
      </c>
      <c r="AA24" s="51">
        <v>3.2</v>
      </c>
      <c r="AB24" s="51">
        <v>0</v>
      </c>
      <c r="AC24" s="51">
        <v>3.8</v>
      </c>
      <c r="AD24" s="51">
        <v>0</v>
      </c>
      <c r="AE24" s="51">
        <v>2.9</v>
      </c>
      <c r="AF24" s="51">
        <v>0</v>
      </c>
      <c r="AG24" s="46">
        <f t="shared" si="0"/>
        <v>42.2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>
        <v>2</v>
      </c>
      <c r="C26" s="51">
        <v>4</v>
      </c>
      <c r="D26" s="51">
        <v>7</v>
      </c>
      <c r="E26" s="51">
        <v>0</v>
      </c>
      <c r="F26" s="51">
        <v>0</v>
      </c>
      <c r="G26" s="51">
        <v>0</v>
      </c>
      <c r="H26" s="51">
        <v>0</v>
      </c>
      <c r="I26" s="51">
        <v>1</v>
      </c>
      <c r="J26" s="51">
        <v>0</v>
      </c>
      <c r="K26" s="51">
        <v>0</v>
      </c>
      <c r="L26" s="51">
        <v>0</v>
      </c>
      <c r="M26" s="51">
        <v>0</v>
      </c>
      <c r="N26" s="51">
        <v>0</v>
      </c>
      <c r="O26" s="51">
        <v>1</v>
      </c>
      <c r="P26" s="51">
        <v>1.3</v>
      </c>
      <c r="Q26" s="51">
        <v>1</v>
      </c>
      <c r="R26" s="51">
        <v>2.5</v>
      </c>
      <c r="S26" s="51">
        <v>1.5</v>
      </c>
      <c r="T26" s="51">
        <v>0</v>
      </c>
      <c r="U26" s="51">
        <v>0</v>
      </c>
      <c r="V26" s="51">
        <v>0</v>
      </c>
      <c r="W26" s="51">
        <v>0</v>
      </c>
      <c r="X26" s="51">
        <v>0</v>
      </c>
      <c r="Y26" s="51">
        <v>2</v>
      </c>
      <c r="Z26" s="51">
        <v>0</v>
      </c>
      <c r="AA26" s="51">
        <v>0</v>
      </c>
      <c r="AB26" s="51">
        <v>0</v>
      </c>
      <c r="AC26" s="51">
        <v>1</v>
      </c>
      <c r="AD26" s="51">
        <v>0</v>
      </c>
      <c r="AE26" s="51">
        <v>1.1000000000000001</v>
      </c>
      <c r="AF26" s="51">
        <v>0</v>
      </c>
      <c r="AG26" s="46">
        <f t="shared" si="0"/>
        <v>25.400000000000002</v>
      </c>
      <c r="AH26" s="48"/>
      <c r="AI26" s="48"/>
    </row>
    <row r="27" spans="1:35" s="44" customFormat="1" ht="18.75" customHeight="1" x14ac:dyDescent="0.35">
      <c r="A27" s="60" t="s">
        <v>80</v>
      </c>
      <c r="B27" s="50">
        <v>0.2</v>
      </c>
      <c r="C27" s="51">
        <v>0.2</v>
      </c>
      <c r="D27" s="51">
        <v>0.4</v>
      </c>
      <c r="E27" s="51">
        <v>0.2</v>
      </c>
      <c r="F27" s="51">
        <v>0</v>
      </c>
      <c r="G27" s="51">
        <v>3.2</v>
      </c>
      <c r="H27" s="51">
        <v>0.4</v>
      </c>
      <c r="I27" s="51">
        <v>5</v>
      </c>
      <c r="J27" s="51">
        <v>0.3</v>
      </c>
      <c r="K27" s="51">
        <v>1.4</v>
      </c>
      <c r="L27" s="51">
        <v>2.5</v>
      </c>
      <c r="M27" s="51">
        <v>0</v>
      </c>
      <c r="N27" s="51">
        <v>0.3</v>
      </c>
      <c r="O27" s="51">
        <v>1.5</v>
      </c>
      <c r="P27" s="51">
        <v>0.3</v>
      </c>
      <c r="Q27" s="51">
        <v>0.4</v>
      </c>
      <c r="R27" s="51">
        <v>0.8</v>
      </c>
      <c r="S27" s="51">
        <v>0.3</v>
      </c>
      <c r="T27" s="51">
        <v>0</v>
      </c>
      <c r="U27" s="51">
        <v>0</v>
      </c>
      <c r="V27" s="51">
        <v>0.5</v>
      </c>
      <c r="W27" s="51">
        <v>0.8</v>
      </c>
      <c r="X27" s="51">
        <v>2.2999999999999998</v>
      </c>
      <c r="Y27" s="51">
        <v>1.5</v>
      </c>
      <c r="Z27" s="51">
        <v>0.5</v>
      </c>
      <c r="AA27" s="51">
        <v>2.4</v>
      </c>
      <c r="AB27" s="51">
        <v>1.7</v>
      </c>
      <c r="AC27" s="51">
        <v>1.3</v>
      </c>
      <c r="AD27" s="51">
        <v>0.5</v>
      </c>
      <c r="AE27" s="51">
        <v>0.8</v>
      </c>
      <c r="AF27" s="51">
        <v>1.3</v>
      </c>
      <c r="AG27" s="46">
        <f t="shared" si="0"/>
        <v>31.000000000000007</v>
      </c>
      <c r="AH27" s="48"/>
      <c r="AI27" s="48"/>
    </row>
    <row r="28" spans="1:35" s="44" customFormat="1" ht="18.75" customHeight="1" x14ac:dyDescent="0.35">
      <c r="A28" s="60" t="s">
        <v>76</v>
      </c>
      <c r="B28" s="49">
        <v>0.3</v>
      </c>
      <c r="C28" s="51">
        <v>0.1</v>
      </c>
      <c r="D28" s="51">
        <v>0.3</v>
      </c>
      <c r="E28" s="51">
        <v>0.4</v>
      </c>
      <c r="F28" s="51">
        <v>0.2</v>
      </c>
      <c r="G28" s="51">
        <v>0</v>
      </c>
      <c r="H28" s="51">
        <v>0</v>
      </c>
      <c r="I28" s="51">
        <v>0</v>
      </c>
      <c r="J28" s="51">
        <v>0</v>
      </c>
      <c r="K28" s="51">
        <v>0.1</v>
      </c>
      <c r="L28" s="51">
        <v>0.3</v>
      </c>
      <c r="M28" s="51">
        <v>0.1</v>
      </c>
      <c r="N28" s="51">
        <v>0</v>
      </c>
      <c r="O28" s="51">
        <v>0</v>
      </c>
      <c r="P28" s="51">
        <v>0</v>
      </c>
      <c r="Q28" s="51">
        <v>0.1</v>
      </c>
      <c r="R28" s="51">
        <v>0</v>
      </c>
      <c r="S28" s="51">
        <v>0</v>
      </c>
      <c r="T28" s="51">
        <v>0</v>
      </c>
      <c r="U28" s="51">
        <v>0.3</v>
      </c>
      <c r="V28" s="51">
        <v>0.1</v>
      </c>
      <c r="W28" s="51">
        <v>0.2</v>
      </c>
      <c r="X28" s="51">
        <v>0.3</v>
      </c>
      <c r="Y28" s="51">
        <v>0</v>
      </c>
      <c r="Z28" s="51">
        <v>0.2</v>
      </c>
      <c r="AA28" s="51">
        <v>0</v>
      </c>
      <c r="AB28" s="51">
        <v>0</v>
      </c>
      <c r="AC28" s="51">
        <v>0</v>
      </c>
      <c r="AD28" s="51">
        <v>0</v>
      </c>
      <c r="AE28" s="51">
        <v>0</v>
      </c>
      <c r="AF28" s="51">
        <v>0.2</v>
      </c>
      <c r="AG28" s="46">
        <f t="shared" si="0"/>
        <v>3.2000000000000006</v>
      </c>
      <c r="AH28" s="48"/>
      <c r="AI28" s="48"/>
    </row>
    <row r="29" spans="1:35" s="44" customFormat="1" ht="18.75" customHeight="1" x14ac:dyDescent="0.35">
      <c r="A29" s="60" t="s">
        <v>81</v>
      </c>
      <c r="B29" s="50">
        <v>0</v>
      </c>
      <c r="C29" s="51">
        <v>0</v>
      </c>
      <c r="D29" s="51">
        <v>3</v>
      </c>
      <c r="E29" s="51">
        <v>0</v>
      </c>
      <c r="F29" s="51">
        <v>2.5</v>
      </c>
      <c r="G29" s="51">
        <v>2</v>
      </c>
      <c r="H29" s="51">
        <v>0</v>
      </c>
      <c r="I29" s="51">
        <v>0</v>
      </c>
      <c r="J29" s="51">
        <v>3.5</v>
      </c>
      <c r="K29" s="114">
        <v>0</v>
      </c>
      <c r="L29" s="114">
        <v>0</v>
      </c>
      <c r="M29" s="52">
        <v>0</v>
      </c>
      <c r="N29" s="114">
        <v>3.6</v>
      </c>
      <c r="O29" s="52">
        <v>0</v>
      </c>
      <c r="P29" s="114">
        <v>4.5</v>
      </c>
      <c r="Q29" s="52">
        <v>0</v>
      </c>
      <c r="R29" s="52">
        <v>0</v>
      </c>
      <c r="S29" s="52">
        <v>0</v>
      </c>
      <c r="T29" s="114">
        <v>0</v>
      </c>
      <c r="U29" s="52">
        <v>6.5</v>
      </c>
      <c r="V29" s="114">
        <v>0</v>
      </c>
      <c r="W29" s="114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114">
        <v>0</v>
      </c>
      <c r="AE29" s="114">
        <v>0</v>
      </c>
      <c r="AF29" s="114">
        <v>0</v>
      </c>
      <c r="AG29" s="46">
        <f t="shared" si="0"/>
        <v>25.6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>
        <f>0.1+0.9+0.5</f>
        <v>1.5</v>
      </c>
      <c r="C31" s="51">
        <f>0.1+0.2+0.9</f>
        <v>1.2000000000000002</v>
      </c>
      <c r="D31" s="51">
        <f>0.1+0.9+0.7</f>
        <v>1.7</v>
      </c>
      <c r="E31" s="51">
        <v>1.7</v>
      </c>
      <c r="F31" s="51">
        <v>2.1</v>
      </c>
      <c r="G31" s="51">
        <v>3.1</v>
      </c>
      <c r="H31" s="51">
        <f>3+4+9</f>
        <v>16</v>
      </c>
      <c r="I31" s="51">
        <v>0</v>
      </c>
      <c r="J31" s="51">
        <f>0.9+1.2+4.3</f>
        <v>6.4</v>
      </c>
      <c r="K31" s="51">
        <v>6.9</v>
      </c>
      <c r="L31" s="51">
        <v>1.7</v>
      </c>
      <c r="M31" s="51">
        <v>1.7</v>
      </c>
      <c r="N31" s="51">
        <v>6.8</v>
      </c>
      <c r="O31" s="51">
        <v>1.4</v>
      </c>
      <c r="P31" s="51">
        <v>4</v>
      </c>
      <c r="Q31" s="51">
        <v>0</v>
      </c>
      <c r="R31" s="51">
        <v>0</v>
      </c>
      <c r="S31" s="51">
        <v>1.3</v>
      </c>
      <c r="T31" s="51">
        <v>1.7</v>
      </c>
      <c r="U31" s="51">
        <f>1.25+1.02+1.03</f>
        <v>3.3</v>
      </c>
      <c r="V31" s="51">
        <v>3.1</v>
      </c>
      <c r="W31" s="51">
        <v>4.0999999999999996</v>
      </c>
      <c r="X31" s="51">
        <v>3.4</v>
      </c>
      <c r="Y31" s="51">
        <v>0</v>
      </c>
      <c r="Z31" s="51">
        <f>0.1+0.9+4</f>
        <v>5</v>
      </c>
      <c r="AA31" s="51">
        <v>0.1</v>
      </c>
      <c r="AB31" s="51">
        <v>1</v>
      </c>
      <c r="AC31" s="51">
        <v>1</v>
      </c>
      <c r="AD31" s="51">
        <v>2.9</v>
      </c>
      <c r="AE31" s="51">
        <v>0</v>
      </c>
      <c r="AF31" s="51">
        <v>0</v>
      </c>
      <c r="AG31" s="46">
        <f t="shared" si="0"/>
        <v>83.1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22</v>
      </c>
      <c r="C33" s="51">
        <f t="shared" si="1"/>
        <v>25</v>
      </c>
      <c r="D33" s="51">
        <f t="shared" si="1"/>
        <v>30</v>
      </c>
      <c r="E33" s="51">
        <f t="shared" si="1"/>
        <v>25.3</v>
      </c>
      <c r="F33" s="51">
        <f t="shared" si="1"/>
        <v>14.299999999999999</v>
      </c>
      <c r="G33" s="51">
        <f t="shared" si="1"/>
        <v>29.099999999999998</v>
      </c>
      <c r="H33" s="51">
        <f t="shared" si="1"/>
        <v>26.299999999999997</v>
      </c>
      <c r="I33" s="51">
        <f t="shared" si="1"/>
        <v>21.5</v>
      </c>
      <c r="J33" s="51">
        <f t="shared" si="1"/>
        <v>24.4</v>
      </c>
      <c r="K33" s="51">
        <f t="shared" si="1"/>
        <v>23.4</v>
      </c>
      <c r="L33" s="51">
        <f t="shared" si="1"/>
        <v>22.299999999999997</v>
      </c>
      <c r="M33" s="51">
        <f t="shared" si="1"/>
        <v>16.600000000000001</v>
      </c>
      <c r="N33" s="51">
        <f t="shared" si="1"/>
        <v>28.000000000000004</v>
      </c>
      <c r="O33" s="51">
        <f t="shared" si="1"/>
        <v>25.299999999999994</v>
      </c>
      <c r="P33" s="51">
        <f t="shared" si="1"/>
        <v>38.010000000000005</v>
      </c>
      <c r="Q33" s="51">
        <f t="shared" si="1"/>
        <v>16.909999999999997</v>
      </c>
      <c r="R33" s="51">
        <f t="shared" si="1"/>
        <v>22.91</v>
      </c>
      <c r="S33" s="51">
        <f t="shared" si="1"/>
        <v>22.89</v>
      </c>
      <c r="T33" s="51">
        <f t="shared" si="1"/>
        <v>14.379999999999999</v>
      </c>
      <c r="U33" s="51">
        <f t="shared" si="1"/>
        <v>19.510999999999999</v>
      </c>
      <c r="V33" s="51">
        <f t="shared" si="1"/>
        <v>15.829999999999998</v>
      </c>
      <c r="W33" s="51">
        <f t="shared" si="1"/>
        <v>18.630000000000003</v>
      </c>
      <c r="X33" s="51">
        <f t="shared" si="1"/>
        <v>22.509999999999998</v>
      </c>
      <c r="Y33" s="51">
        <f t="shared" si="1"/>
        <v>12.709999999999999</v>
      </c>
      <c r="Z33" s="51">
        <f t="shared" si="1"/>
        <v>16.91</v>
      </c>
      <c r="AA33" s="51">
        <f t="shared" si="1"/>
        <v>23.6</v>
      </c>
      <c r="AB33" s="51">
        <f t="shared" si="1"/>
        <v>16.209999999999997</v>
      </c>
      <c r="AC33" s="51">
        <f t="shared" si="1"/>
        <v>18.62</v>
      </c>
      <c r="AD33" s="51">
        <f t="shared" si="1"/>
        <v>18.18</v>
      </c>
      <c r="AE33" s="51">
        <f t="shared" si="1"/>
        <v>24.19</v>
      </c>
      <c r="AF33" s="51">
        <f t="shared" si="1"/>
        <v>13.41</v>
      </c>
      <c r="AG33" s="56">
        <f>SUM(B33:AF33)</f>
        <v>668.91100000000017</v>
      </c>
      <c r="AH33" s="57"/>
      <c r="AI33" s="57"/>
    </row>
    <row r="34" spans="1:35" s="2" customFormat="1" x14ac:dyDescent="0.25">
      <c r="AG34" s="24">
        <f>SUM(AG3:AG32)</f>
        <v>668.91100000000006</v>
      </c>
    </row>
    <row r="35" spans="1:35" s="2" customFormat="1" x14ac:dyDescent="0.25"/>
    <row r="36" spans="1:35" s="2" customFormat="1" x14ac:dyDescent="0.25"/>
    <row r="37" spans="1:35" s="2" customFormat="1" ht="21" x14ac:dyDescent="0.35">
      <c r="AG37" s="150">
        <v>1097.9000000000001</v>
      </c>
    </row>
    <row r="38" spans="1:35" s="2" customFormat="1" ht="21" x14ac:dyDescent="0.35">
      <c r="AG38" s="150">
        <v>1798.7</v>
      </c>
    </row>
    <row r="39" spans="1:35" s="2" customFormat="1" ht="21" x14ac:dyDescent="0.35">
      <c r="AG39" s="150">
        <f>+SUM(AG37:AG38)</f>
        <v>2896.6000000000004</v>
      </c>
    </row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42.7109375" defaultRowHeight="15" x14ac:dyDescent="0.25"/>
  <cols>
    <col min="1" max="1" width="38.42578125" style="137" customWidth="1"/>
    <col min="2" max="28" width="6" style="121" bestFit="1" customWidth="1"/>
    <col min="29" max="29" width="6.28515625" style="121" customWidth="1"/>
    <col min="30" max="32" width="6" style="121" bestFit="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/>
      <c r="D3" s="85"/>
      <c r="E3" s="85"/>
      <c r="F3" s="85"/>
      <c r="G3" s="86"/>
      <c r="H3" s="85"/>
      <c r="I3" s="86"/>
      <c r="J3" s="85"/>
      <c r="K3" s="86"/>
      <c r="L3" s="85"/>
      <c r="M3" s="86"/>
      <c r="N3" s="85"/>
      <c r="O3" s="85"/>
      <c r="P3" s="86"/>
      <c r="Q3" s="85"/>
      <c r="R3" s="85"/>
      <c r="S3" s="86"/>
      <c r="T3" s="86"/>
      <c r="U3" s="86"/>
      <c r="V3" s="86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03">
        <f>SUM(B3:AF3)</f>
        <v>0</v>
      </c>
      <c r="AH3" s="119"/>
      <c r="AI3" s="120"/>
    </row>
    <row r="4" spans="1:35" s="91" customFormat="1" ht="33" customHeight="1" x14ac:dyDescent="0.25">
      <c r="A4" s="138" t="s">
        <v>193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103">
        <f t="shared" ref="AG4:AG33" si="0">SUM(B4:AF4)</f>
        <v>0</v>
      </c>
      <c r="AH4" s="120"/>
      <c r="AI4" s="120"/>
    </row>
    <row r="5" spans="1:35" s="91" customFormat="1" ht="18.75" customHeight="1" x14ac:dyDescent="0.25">
      <c r="A5" s="62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86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103">
        <f t="shared" si="0"/>
        <v>0</v>
      </c>
      <c r="AH8" s="120"/>
      <c r="AI8" s="120"/>
    </row>
    <row r="9" spans="1:35" s="91" customFormat="1" ht="18.75" customHeight="1" x14ac:dyDescent="0.25">
      <c r="A9" s="62" t="s">
        <v>66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3">
        <f t="shared" si="0"/>
        <v>0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39" t="s">
        <v>91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103">
        <f t="shared" si="0"/>
        <v>0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62" t="s">
        <v>71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106"/>
      <c r="Z14" s="106"/>
      <c r="AA14" s="106"/>
      <c r="AB14" s="106"/>
      <c r="AC14" s="106"/>
      <c r="AD14" s="106"/>
      <c r="AE14" s="106"/>
      <c r="AF14" s="106"/>
      <c r="AG14" s="103">
        <f t="shared" si="0"/>
        <v>0</v>
      </c>
      <c r="AH14" s="120"/>
      <c r="AI14" s="120"/>
    </row>
    <row r="15" spans="1:35" s="91" customFormat="1" ht="18.75" customHeight="1" x14ac:dyDescent="0.25">
      <c r="A15" s="62" t="s">
        <v>72</v>
      </c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103">
        <f t="shared" si="0"/>
        <v>0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195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103">
        <f t="shared" si="0"/>
        <v>0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103">
        <f t="shared" si="0"/>
        <v>0</v>
      </c>
      <c r="AH20" s="120"/>
      <c r="AI20" s="120"/>
    </row>
    <row r="21" spans="1:35" s="91" customFormat="1" ht="18.75" customHeight="1" x14ac:dyDescent="0.25">
      <c r="A21" s="62" t="s">
        <v>74</v>
      </c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132">
        <f t="shared" si="0"/>
        <v>0</v>
      </c>
      <c r="AH21" s="120"/>
      <c r="AI21" s="120"/>
    </row>
    <row r="22" spans="1:35" s="91" customFormat="1" ht="18.75" customHeight="1" x14ac:dyDescent="0.25">
      <c r="A22" s="62" t="s">
        <v>75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103">
        <f t="shared" si="0"/>
        <v>0</v>
      </c>
      <c r="AH22" s="120"/>
      <c r="AI22" s="120"/>
    </row>
    <row r="23" spans="1:35" s="91" customFormat="1" ht="18.75" customHeight="1" x14ac:dyDescent="0.25">
      <c r="A23" s="62" t="s">
        <v>77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103">
        <f t="shared" si="0"/>
        <v>0</v>
      </c>
      <c r="AH23" s="120"/>
      <c r="AI23" s="120"/>
    </row>
    <row r="24" spans="1:35" s="91" customFormat="1" ht="18.75" customHeight="1" x14ac:dyDescent="0.25">
      <c r="A24" s="62" t="s">
        <v>78</v>
      </c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103">
        <f t="shared" si="0"/>
        <v>0</v>
      </c>
      <c r="AH24" s="120"/>
      <c r="AI24" s="120"/>
    </row>
    <row r="25" spans="1:35" s="91" customFormat="1" ht="18.75" customHeight="1" x14ac:dyDescent="0.25">
      <c r="A25" s="62" t="s">
        <v>79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103">
        <f t="shared" si="0"/>
        <v>0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88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25">
      <c r="A29" s="62" t="s">
        <v>81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88"/>
      <c r="AG29" s="103">
        <f t="shared" si="0"/>
        <v>0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88"/>
      <c r="AG31" s="103">
        <f t="shared" si="0"/>
        <v>0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35" t="s">
        <v>155</v>
      </c>
      <c r="B33" s="87">
        <f>SUM(B3:B32)</f>
        <v>0</v>
      </c>
      <c r="C33" s="87">
        <f t="shared" ref="C33:AF33" si="1">SUM(C3:C32)</f>
        <v>0</v>
      </c>
      <c r="D33" s="87">
        <f t="shared" si="1"/>
        <v>0</v>
      </c>
      <c r="E33" s="87">
        <f t="shared" si="1"/>
        <v>0</v>
      </c>
      <c r="F33" s="87">
        <f t="shared" si="1"/>
        <v>0</v>
      </c>
      <c r="G33" s="87">
        <f t="shared" si="1"/>
        <v>0</v>
      </c>
      <c r="H33" s="87">
        <f t="shared" si="1"/>
        <v>0</v>
      </c>
      <c r="I33" s="87">
        <f t="shared" si="1"/>
        <v>0</v>
      </c>
      <c r="J33" s="87">
        <f t="shared" si="1"/>
        <v>0</v>
      </c>
      <c r="K33" s="87">
        <f t="shared" si="1"/>
        <v>0</v>
      </c>
      <c r="L33" s="87">
        <f t="shared" si="1"/>
        <v>0</v>
      </c>
      <c r="M33" s="87">
        <f t="shared" si="1"/>
        <v>0</v>
      </c>
      <c r="N33" s="87">
        <f t="shared" si="1"/>
        <v>0</v>
      </c>
      <c r="O33" s="87">
        <f t="shared" si="1"/>
        <v>0</v>
      </c>
      <c r="P33" s="87">
        <f t="shared" si="1"/>
        <v>0</v>
      </c>
      <c r="Q33" s="87">
        <f t="shared" si="1"/>
        <v>0</v>
      </c>
      <c r="R33" s="87">
        <f t="shared" si="1"/>
        <v>0</v>
      </c>
      <c r="S33" s="87">
        <f t="shared" si="1"/>
        <v>0</v>
      </c>
      <c r="T33" s="87">
        <f t="shared" si="1"/>
        <v>0</v>
      </c>
      <c r="U33" s="87">
        <f t="shared" si="1"/>
        <v>0</v>
      </c>
      <c r="V33" s="87">
        <f t="shared" si="1"/>
        <v>0</v>
      </c>
      <c r="W33" s="87">
        <f t="shared" si="1"/>
        <v>0</v>
      </c>
      <c r="X33" s="87">
        <f t="shared" si="1"/>
        <v>0</v>
      </c>
      <c r="Y33" s="87">
        <f t="shared" si="1"/>
        <v>0</v>
      </c>
      <c r="Z33" s="87">
        <f t="shared" si="1"/>
        <v>0</v>
      </c>
      <c r="AA33" s="87">
        <f t="shared" si="1"/>
        <v>0</v>
      </c>
      <c r="AB33" s="87">
        <f t="shared" si="1"/>
        <v>0</v>
      </c>
      <c r="AC33" s="87">
        <f t="shared" si="1"/>
        <v>0</v>
      </c>
      <c r="AD33" s="87">
        <f t="shared" si="1"/>
        <v>0</v>
      </c>
      <c r="AE33" s="87">
        <f t="shared" si="1"/>
        <v>0</v>
      </c>
      <c r="AF33" s="87">
        <f t="shared" si="1"/>
        <v>0</v>
      </c>
      <c r="AG33" s="105">
        <f t="shared" si="0"/>
        <v>0</v>
      </c>
      <c r="AH33" s="134"/>
      <c r="AI33" s="134"/>
    </row>
    <row r="34" spans="1:35" s="91" customFormat="1" x14ac:dyDescent="0.25">
      <c r="A34" s="136"/>
      <c r="AG34" s="24">
        <f>SUM(AG3:AG31)</f>
        <v>0</v>
      </c>
    </row>
  </sheetData>
  <mergeCells count="1">
    <mergeCell ref="A1:AG1"/>
  </mergeCells>
  <conditionalFormatting sqref="AG33">
    <cfRule type="cellIs" dxfId="83" priority="2" operator="equal">
      <formula>$AG$34</formula>
    </cfRule>
  </conditionalFormatting>
  <conditionalFormatting sqref="AG34">
    <cfRule type="cellIs" dxfId="82" priority="1" operator="equal">
      <formula>$AG$33</formula>
    </cfRule>
  </conditionalFormatting>
  <pageMargins left="0.7" right="0.7" top="0.75" bottom="0.75" header="0.3" footer="0.3"/>
  <pageSetup orientation="portrait" horizontalDpi="0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31" width="6" style="121" bestFit="1" customWidth="1"/>
    <col min="32" max="32" width="4.7109375" style="12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27.75" customHeight="1" x14ac:dyDescent="0.25">
      <c r="A3" s="139" t="s">
        <v>94</v>
      </c>
      <c r="B3" s="85"/>
      <c r="D3" s="85"/>
      <c r="E3" s="85"/>
      <c r="F3" s="85"/>
      <c r="G3" s="86"/>
      <c r="H3" s="85"/>
      <c r="I3" s="86"/>
      <c r="J3" s="85"/>
      <c r="K3" s="86"/>
      <c r="L3" s="85"/>
      <c r="M3" s="86"/>
      <c r="N3" s="85"/>
      <c r="O3" s="85"/>
      <c r="P3" s="86"/>
      <c r="Q3" s="85"/>
      <c r="R3" s="85"/>
      <c r="S3" s="86"/>
      <c r="T3" s="86"/>
      <c r="U3" s="86"/>
      <c r="V3" s="86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03">
        <f>SUM(B3:AF3)</f>
        <v>0</v>
      </c>
      <c r="AH3" s="119"/>
      <c r="AI3" s="120"/>
    </row>
    <row r="4" spans="1:35" s="91" customFormat="1" ht="25.5" customHeight="1" x14ac:dyDescent="0.25">
      <c r="A4" s="138" t="s">
        <v>193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103">
        <f t="shared" ref="AG4:AG34" si="0">SUM(B4:AF4)</f>
        <v>0</v>
      </c>
      <c r="AH4" s="120"/>
      <c r="AI4" s="120"/>
    </row>
    <row r="5" spans="1:35" s="91" customFormat="1" ht="18.75" customHeight="1" x14ac:dyDescent="0.25">
      <c r="A5" s="62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86"/>
      <c r="C7" s="86"/>
      <c r="D7" s="86"/>
      <c r="E7" s="86"/>
      <c r="F7" s="86"/>
      <c r="G7" s="86"/>
      <c r="H7" s="86"/>
      <c r="I7" s="86"/>
      <c r="J7" s="86"/>
      <c r="K7" s="86"/>
      <c r="L7" s="180"/>
      <c r="M7" s="86"/>
      <c r="N7" s="86"/>
      <c r="O7" s="86"/>
      <c r="P7" s="86"/>
      <c r="Q7" s="86"/>
      <c r="R7" s="86"/>
      <c r="S7" s="86"/>
      <c r="T7" s="86"/>
      <c r="U7" s="86"/>
      <c r="V7" s="86"/>
      <c r="W7" s="86"/>
      <c r="X7" s="86"/>
      <c r="Y7" s="86"/>
      <c r="Z7" s="86"/>
      <c r="AA7" s="86"/>
      <c r="AB7" s="86"/>
      <c r="AC7" s="86"/>
      <c r="AD7" s="86"/>
      <c r="AE7" s="86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103">
        <f t="shared" si="0"/>
        <v>0</v>
      </c>
      <c r="AH8" s="120"/>
      <c r="AI8" s="120"/>
    </row>
    <row r="9" spans="1:35" s="91" customFormat="1" ht="18.75" customHeight="1" x14ac:dyDescent="0.25">
      <c r="A9" s="62" t="s">
        <v>66</v>
      </c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3">
        <f t="shared" si="0"/>
        <v>0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79" t="s">
        <v>91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103">
        <f t="shared" si="0"/>
        <v>0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62" t="s">
        <v>71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106"/>
      <c r="Z14" s="106"/>
      <c r="AA14" s="106"/>
      <c r="AB14" s="106"/>
      <c r="AC14" s="106"/>
      <c r="AD14" s="106"/>
      <c r="AE14" s="106"/>
      <c r="AG14" s="103">
        <f>SUM(B14:AE14)</f>
        <v>0</v>
      </c>
      <c r="AH14" s="120"/>
      <c r="AI14" s="120"/>
    </row>
    <row r="15" spans="1:35" s="91" customFormat="1" ht="18.75" customHeight="1" x14ac:dyDescent="0.25">
      <c r="A15" s="62" t="s">
        <v>72</v>
      </c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103">
        <f t="shared" si="0"/>
        <v>0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194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103">
        <f t="shared" si="0"/>
        <v>0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103">
        <f t="shared" si="0"/>
        <v>0</v>
      </c>
      <c r="AH20" s="120"/>
      <c r="AI20" s="120"/>
    </row>
    <row r="21" spans="1:35" s="91" customFormat="1" ht="18.75" customHeight="1" x14ac:dyDescent="0.25">
      <c r="A21" s="62" t="s">
        <v>74</v>
      </c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132">
        <f t="shared" si="0"/>
        <v>0</v>
      </c>
      <c r="AH21" s="120"/>
      <c r="AI21" s="120"/>
    </row>
    <row r="22" spans="1:35" s="91" customFormat="1" ht="18.75" customHeight="1" x14ac:dyDescent="0.25">
      <c r="A22" s="62" t="s">
        <v>75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103">
        <f t="shared" si="0"/>
        <v>0</v>
      </c>
      <c r="AH22" s="120"/>
      <c r="AI22" s="120"/>
    </row>
    <row r="23" spans="1:35" s="91" customFormat="1" ht="18.75" customHeight="1" x14ac:dyDescent="0.25">
      <c r="A23" s="62" t="s">
        <v>77</v>
      </c>
      <c r="B23" s="86"/>
      <c r="C23" s="86"/>
      <c r="D23" s="86"/>
      <c r="E23" s="86"/>
      <c r="F23" s="86"/>
      <c r="G23" s="86"/>
      <c r="H23" s="86"/>
      <c r="I23" s="86"/>
      <c r="J23" s="86"/>
      <c r="K23" s="86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103">
        <f t="shared" si="0"/>
        <v>0</v>
      </c>
      <c r="AH23" s="120"/>
      <c r="AI23" s="120"/>
    </row>
    <row r="24" spans="1:35" s="91" customFormat="1" ht="18.75" customHeight="1" x14ac:dyDescent="0.25">
      <c r="A24" s="62" t="s">
        <v>78</v>
      </c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103">
        <f t="shared" si="0"/>
        <v>0</v>
      </c>
      <c r="AH24" s="120"/>
      <c r="AI24" s="120"/>
    </row>
    <row r="25" spans="1:35" s="91" customFormat="1" ht="18.75" customHeight="1" x14ac:dyDescent="0.25">
      <c r="A25" s="62" t="s">
        <v>79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103">
        <f t="shared" si="0"/>
        <v>0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33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25">
      <c r="A29" s="62" t="s">
        <v>81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88"/>
      <c r="AG29" s="103">
        <f t="shared" si="0"/>
        <v>0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88"/>
      <c r="AG31" s="103">
        <f t="shared" si="0"/>
        <v>0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181" t="s">
        <v>251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88"/>
      <c r="AG33" s="103">
        <f t="shared" si="0"/>
        <v>0</v>
      </c>
      <c r="AH33" s="120"/>
      <c r="AI33" s="120"/>
    </row>
    <row r="34" spans="1:35" s="91" customFormat="1" ht="18.75" customHeight="1" x14ac:dyDescent="0.25">
      <c r="A34" s="135" t="s">
        <v>155</v>
      </c>
      <c r="B34" s="87">
        <f>SUM(B3:B33)</f>
        <v>0</v>
      </c>
      <c r="C34" s="87">
        <f t="shared" ref="C34:AF34" si="1">SUM(C3:C33)</f>
        <v>0</v>
      </c>
      <c r="D34" s="87">
        <f t="shared" si="1"/>
        <v>0</v>
      </c>
      <c r="E34" s="87">
        <f t="shared" si="1"/>
        <v>0</v>
      </c>
      <c r="F34" s="87">
        <f t="shared" si="1"/>
        <v>0</v>
      </c>
      <c r="G34" s="87">
        <f t="shared" si="1"/>
        <v>0</v>
      </c>
      <c r="H34" s="87">
        <f t="shared" si="1"/>
        <v>0</v>
      </c>
      <c r="I34" s="87">
        <f t="shared" si="1"/>
        <v>0</v>
      </c>
      <c r="J34" s="87">
        <f t="shared" si="1"/>
        <v>0</v>
      </c>
      <c r="K34" s="87">
        <f t="shared" si="1"/>
        <v>0</v>
      </c>
      <c r="L34" s="87">
        <f t="shared" si="1"/>
        <v>0</v>
      </c>
      <c r="M34" s="87">
        <f t="shared" si="1"/>
        <v>0</v>
      </c>
      <c r="N34" s="87">
        <f t="shared" si="1"/>
        <v>0</v>
      </c>
      <c r="O34" s="87">
        <f t="shared" si="1"/>
        <v>0</v>
      </c>
      <c r="P34" s="87">
        <f t="shared" si="1"/>
        <v>0</v>
      </c>
      <c r="Q34" s="87">
        <f t="shared" si="1"/>
        <v>0</v>
      </c>
      <c r="R34" s="87">
        <f t="shared" si="1"/>
        <v>0</v>
      </c>
      <c r="S34" s="87">
        <f t="shared" si="1"/>
        <v>0</v>
      </c>
      <c r="T34" s="87">
        <f t="shared" si="1"/>
        <v>0</v>
      </c>
      <c r="U34" s="87">
        <f t="shared" si="1"/>
        <v>0</v>
      </c>
      <c r="V34" s="87">
        <f t="shared" si="1"/>
        <v>0</v>
      </c>
      <c r="W34" s="87">
        <f t="shared" si="1"/>
        <v>0</v>
      </c>
      <c r="X34" s="87">
        <f t="shared" si="1"/>
        <v>0</v>
      </c>
      <c r="Y34" s="87">
        <f t="shared" si="1"/>
        <v>0</v>
      </c>
      <c r="Z34" s="87">
        <f t="shared" si="1"/>
        <v>0</v>
      </c>
      <c r="AA34" s="87">
        <f t="shared" si="1"/>
        <v>0</v>
      </c>
      <c r="AB34" s="87">
        <f t="shared" si="1"/>
        <v>0</v>
      </c>
      <c r="AC34" s="87">
        <f t="shared" si="1"/>
        <v>0</v>
      </c>
      <c r="AD34" s="87">
        <f t="shared" si="1"/>
        <v>0</v>
      </c>
      <c r="AE34" s="87">
        <f t="shared" si="1"/>
        <v>0</v>
      </c>
      <c r="AF34" s="87">
        <f t="shared" si="1"/>
        <v>0</v>
      </c>
      <c r="AG34" s="105">
        <f t="shared" si="0"/>
        <v>0</v>
      </c>
      <c r="AH34" s="134"/>
      <c r="AI34" s="134"/>
    </row>
    <row r="35" spans="1:35" s="91" customFormat="1" x14ac:dyDescent="0.25">
      <c r="A35" s="136"/>
      <c r="AG35" s="24">
        <f>SUM(AG3:AG31)</f>
        <v>0</v>
      </c>
    </row>
  </sheetData>
  <mergeCells count="1">
    <mergeCell ref="A1:AG1"/>
  </mergeCells>
  <conditionalFormatting sqref="AG34">
    <cfRule type="cellIs" dxfId="81" priority="2" operator="equal">
      <formula>$AG$35</formula>
    </cfRule>
  </conditionalFormatting>
  <conditionalFormatting sqref="AG35">
    <cfRule type="cellIs" dxfId="80" priority="1" operator="equal">
      <formula>$AG$34</formula>
    </cfRule>
  </conditionalFormatting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5"/>
  <sheetViews>
    <sheetView workbookViewId="0">
      <selection sqref="A1:AG1"/>
    </sheetView>
  </sheetViews>
  <sheetFormatPr baseColWidth="10" defaultColWidth="42.7109375" defaultRowHeight="15" x14ac:dyDescent="0.25"/>
  <cols>
    <col min="1" max="1" width="31.85546875" style="137" customWidth="1"/>
    <col min="2" max="10" width="6" style="121" bestFit="1" customWidth="1"/>
    <col min="11" max="11" width="6" style="121" customWidth="1"/>
    <col min="12" max="32" width="6" style="121" bestFit="1" customWidth="1"/>
    <col min="33" max="33" width="9.7109375" style="121" customWidth="1"/>
    <col min="34" max="16384" width="42.7109375" style="121"/>
  </cols>
  <sheetData>
    <row r="1" spans="1:35" s="91" customFormat="1" ht="21" x14ac:dyDescent="0.35">
      <c r="A1" s="217" t="s">
        <v>157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24"/>
      <c r="AI1" s="24"/>
    </row>
    <row r="2" spans="1:35" s="91" customFormat="1" ht="38.25" customHeight="1" x14ac:dyDescent="0.25">
      <c r="A2" s="92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7.5" customHeight="1" x14ac:dyDescent="0.25">
      <c r="A3" s="139" t="s">
        <v>94</v>
      </c>
      <c r="B3" s="85"/>
      <c r="C3" s="88"/>
      <c r="D3" s="85"/>
      <c r="E3" s="85"/>
      <c r="F3" s="85"/>
      <c r="G3" s="86"/>
      <c r="H3" s="85"/>
      <c r="I3" s="86"/>
      <c r="J3" s="85"/>
      <c r="K3" s="86"/>
      <c r="L3" s="85"/>
      <c r="M3" s="86"/>
      <c r="N3" s="85"/>
      <c r="O3" s="85"/>
      <c r="P3" s="86"/>
      <c r="Q3" s="85"/>
      <c r="R3" s="85"/>
      <c r="S3" s="86"/>
      <c r="T3" s="86"/>
      <c r="U3" s="86"/>
      <c r="V3" s="86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03">
        <f>SUM(B3:AF3)</f>
        <v>0</v>
      </c>
      <c r="AH3" s="119"/>
      <c r="AI3" s="120"/>
    </row>
    <row r="4" spans="1:35" s="91" customFormat="1" ht="33" customHeight="1" x14ac:dyDescent="0.25">
      <c r="A4" s="138" t="s">
        <v>193</v>
      </c>
      <c r="B4" s="85"/>
      <c r="C4" s="88"/>
      <c r="D4" s="85"/>
      <c r="E4" s="85"/>
      <c r="F4" s="85"/>
      <c r="G4" s="86"/>
      <c r="H4" s="85"/>
      <c r="I4" s="86"/>
      <c r="J4" s="85"/>
      <c r="K4" s="86"/>
      <c r="L4" s="85"/>
      <c r="M4" s="86"/>
      <c r="N4" s="85"/>
      <c r="O4" s="85"/>
      <c r="P4" s="86"/>
      <c r="Q4" s="85"/>
      <c r="R4" s="85"/>
      <c r="S4" s="86"/>
      <c r="T4" s="86"/>
      <c r="U4" s="86"/>
      <c r="V4" s="86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03">
        <f t="shared" ref="AG4:AG34" si="0">SUM(B4:AF4)</f>
        <v>0</v>
      </c>
      <c r="AH4" s="120"/>
      <c r="AI4" s="120"/>
    </row>
    <row r="5" spans="1:35" s="91" customFormat="1" ht="18.75" customHeight="1" x14ac:dyDescent="0.25">
      <c r="A5" s="62" t="s">
        <v>83</v>
      </c>
      <c r="B5" s="85"/>
      <c r="C5" s="88"/>
      <c r="D5" s="85"/>
      <c r="E5" s="85"/>
      <c r="F5" s="85"/>
      <c r="G5" s="86"/>
      <c r="H5" s="85"/>
      <c r="I5" s="86"/>
      <c r="J5" s="85"/>
      <c r="K5" s="86"/>
      <c r="L5" s="85"/>
      <c r="M5" s="86"/>
      <c r="N5" s="85"/>
      <c r="O5" s="85"/>
      <c r="P5" s="86"/>
      <c r="Q5" s="85"/>
      <c r="R5" s="85"/>
      <c r="S5" s="86"/>
      <c r="T5" s="86"/>
      <c r="U5" s="86"/>
      <c r="V5" s="86"/>
      <c r="W5" s="85"/>
      <c r="X5" s="85"/>
      <c r="Y5" s="85"/>
      <c r="Z5" s="85"/>
      <c r="AA5" s="85"/>
      <c r="AB5" s="85"/>
      <c r="AC5" s="85"/>
      <c r="AD5" s="85"/>
      <c r="AE5" s="85"/>
      <c r="AF5" s="87"/>
      <c r="AG5" s="103">
        <f t="shared" si="0"/>
        <v>0</v>
      </c>
      <c r="AH5" s="120"/>
      <c r="AI5" s="120"/>
    </row>
    <row r="6" spans="1:35" s="91" customFormat="1" ht="18.75" customHeight="1" x14ac:dyDescent="0.25">
      <c r="A6" s="62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25">
      <c r="A7" s="62" t="s">
        <v>64</v>
      </c>
      <c r="B7" s="131"/>
      <c r="C7" s="131"/>
      <c r="D7" s="131"/>
      <c r="E7" s="131"/>
      <c r="F7" s="131"/>
      <c r="G7" s="131"/>
      <c r="H7" s="131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  <c r="U7" s="131"/>
      <c r="V7" s="131"/>
      <c r="W7" s="131"/>
      <c r="X7" s="131"/>
      <c r="Y7" s="131"/>
      <c r="Z7" s="131"/>
      <c r="AA7" s="131"/>
      <c r="AB7" s="131"/>
      <c r="AC7" s="131"/>
      <c r="AD7" s="131"/>
      <c r="AE7" s="131"/>
      <c r="AF7" s="86"/>
      <c r="AG7" s="103">
        <f t="shared" si="0"/>
        <v>0</v>
      </c>
      <c r="AH7" s="120"/>
      <c r="AI7" s="120"/>
    </row>
    <row r="8" spans="1:35" s="91" customFormat="1" ht="18.75" customHeight="1" x14ac:dyDescent="0.25">
      <c r="A8" s="62" t="s">
        <v>65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86"/>
      <c r="AA8" s="86"/>
      <c r="AB8" s="86"/>
      <c r="AC8" s="86"/>
      <c r="AD8" s="86"/>
      <c r="AE8" s="86"/>
      <c r="AF8" s="86"/>
      <c r="AG8" s="103">
        <f t="shared" si="0"/>
        <v>0</v>
      </c>
      <c r="AH8" s="120"/>
      <c r="AI8" s="120"/>
    </row>
    <row r="9" spans="1:35" s="91" customFormat="1" ht="18.75" customHeight="1" x14ac:dyDescent="0.25">
      <c r="A9" s="62" t="s">
        <v>66</v>
      </c>
      <c r="B9" s="86"/>
      <c r="C9" s="86"/>
      <c r="D9" s="86"/>
      <c r="E9" s="86"/>
      <c r="F9" s="86"/>
      <c r="G9" s="86"/>
      <c r="H9" s="86"/>
      <c r="I9" s="86"/>
      <c r="J9" s="86"/>
      <c r="K9" s="86"/>
      <c r="L9" s="86"/>
      <c r="M9" s="86"/>
      <c r="N9" s="86"/>
      <c r="O9" s="86"/>
      <c r="P9" s="86"/>
      <c r="Q9" s="86"/>
      <c r="R9" s="86"/>
      <c r="S9" s="86"/>
      <c r="T9" s="86"/>
      <c r="U9" s="86"/>
      <c r="V9" s="86"/>
      <c r="W9" s="86"/>
      <c r="X9" s="86"/>
      <c r="Y9" s="86"/>
      <c r="Z9" s="86"/>
      <c r="AA9" s="86"/>
      <c r="AB9" s="86"/>
      <c r="AC9" s="86"/>
      <c r="AD9" s="86"/>
      <c r="AE9" s="86"/>
      <c r="AF9" s="106"/>
      <c r="AG9" s="103">
        <f t="shared" si="0"/>
        <v>0</v>
      </c>
      <c r="AH9" s="120"/>
      <c r="AI9" s="120"/>
    </row>
    <row r="10" spans="1:35" s="91" customFormat="1" ht="18.75" customHeight="1" x14ac:dyDescent="0.25">
      <c r="A10" s="62" t="s">
        <v>67</v>
      </c>
      <c r="B10" s="86"/>
      <c r="C10" s="86"/>
      <c r="D10" s="86"/>
      <c r="E10" s="86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103">
        <f t="shared" si="0"/>
        <v>0</v>
      </c>
      <c r="AH10" s="120"/>
      <c r="AI10" s="120"/>
    </row>
    <row r="11" spans="1:35" s="91" customFormat="1" ht="18.75" customHeight="1" x14ac:dyDescent="0.25">
      <c r="A11" s="62" t="s">
        <v>152</v>
      </c>
      <c r="B11" s="86"/>
      <c r="C11" s="86"/>
      <c r="D11" s="86"/>
      <c r="E11" s="86"/>
      <c r="F11" s="86"/>
      <c r="G11" s="86"/>
      <c r="H11" s="86"/>
      <c r="I11" s="86"/>
      <c r="J11" s="86"/>
      <c r="K11" s="86"/>
      <c r="L11" s="86"/>
      <c r="M11" s="86"/>
      <c r="N11" s="86"/>
      <c r="O11" s="86"/>
      <c r="P11" s="86"/>
      <c r="Q11" s="86"/>
      <c r="R11" s="86"/>
      <c r="S11" s="86"/>
      <c r="T11" s="86"/>
      <c r="U11" s="86"/>
      <c r="V11" s="86"/>
      <c r="W11" s="86"/>
      <c r="X11" s="86"/>
      <c r="Y11" s="86"/>
      <c r="Z11" s="86"/>
      <c r="AA11" s="86"/>
      <c r="AB11" s="86"/>
      <c r="AC11" s="86"/>
      <c r="AD11" s="86"/>
      <c r="AE11" s="86"/>
      <c r="AF11" s="86"/>
      <c r="AG11" s="103">
        <f t="shared" si="0"/>
        <v>0</v>
      </c>
      <c r="AH11" s="120"/>
      <c r="AI11" s="120"/>
    </row>
    <row r="12" spans="1:35" s="91" customFormat="1" ht="18.75" customHeight="1" x14ac:dyDescent="0.25">
      <c r="A12" s="179" t="s">
        <v>91</v>
      </c>
      <c r="B12" s="86"/>
      <c r="C12" s="86"/>
      <c r="D12" s="86"/>
      <c r="E12" s="86"/>
      <c r="F12" s="86"/>
      <c r="G12" s="86"/>
      <c r="H12" s="86"/>
      <c r="I12" s="86"/>
      <c r="J12" s="86"/>
      <c r="K12" s="86"/>
      <c r="L12" s="86"/>
      <c r="M12" s="86"/>
      <c r="N12" s="86"/>
      <c r="O12" s="86"/>
      <c r="P12" s="86"/>
      <c r="Q12" s="86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103">
        <f t="shared" si="0"/>
        <v>0</v>
      </c>
      <c r="AH12" s="120"/>
      <c r="AI12" s="120"/>
    </row>
    <row r="13" spans="1:35" s="91" customFormat="1" ht="18.75" customHeight="1" x14ac:dyDescent="0.25">
      <c r="A13" s="62" t="s">
        <v>69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03">
        <f t="shared" si="0"/>
        <v>0</v>
      </c>
      <c r="AH13" s="120"/>
      <c r="AI13" s="120"/>
    </row>
    <row r="14" spans="1:35" s="91" customFormat="1" ht="18.75" customHeight="1" x14ac:dyDescent="0.25">
      <c r="A14" s="141" t="s">
        <v>71</v>
      </c>
      <c r="B14" s="86"/>
      <c r="C14" s="86"/>
      <c r="D14" s="86"/>
      <c r="E14" s="86"/>
      <c r="F14" s="86"/>
      <c r="G14" s="86"/>
      <c r="H14" s="86"/>
      <c r="I14" s="86"/>
      <c r="J14" s="86"/>
      <c r="K14" s="86"/>
      <c r="L14" s="86"/>
      <c r="M14" s="86"/>
      <c r="N14" s="86"/>
      <c r="O14" s="86"/>
      <c r="P14" s="86"/>
      <c r="Q14" s="86"/>
      <c r="R14" s="86"/>
      <c r="S14" s="86"/>
      <c r="T14" s="86"/>
      <c r="U14" s="86"/>
      <c r="V14" s="86"/>
      <c r="W14" s="86"/>
      <c r="X14" s="86"/>
      <c r="Y14" s="106"/>
      <c r="Z14" s="106"/>
      <c r="AA14" s="106"/>
      <c r="AB14" s="106"/>
      <c r="AC14" s="106"/>
      <c r="AD14" s="106"/>
      <c r="AE14" s="106"/>
      <c r="AF14" s="106"/>
      <c r="AG14" s="103">
        <f t="shared" si="0"/>
        <v>0</v>
      </c>
      <c r="AH14" s="120"/>
      <c r="AI14" s="120"/>
    </row>
    <row r="15" spans="1:35" s="91" customFormat="1" ht="18.75" customHeight="1" x14ac:dyDescent="0.25">
      <c r="A15" s="62" t="s">
        <v>72</v>
      </c>
      <c r="B15" s="86"/>
      <c r="C15" s="86"/>
      <c r="D15" s="86"/>
      <c r="E15" s="86"/>
      <c r="F15" s="86"/>
      <c r="G15" s="86"/>
      <c r="H15" s="86"/>
      <c r="I15" s="86"/>
      <c r="J15" s="86"/>
      <c r="K15" s="86"/>
      <c r="L15" s="86"/>
      <c r="M15" s="86"/>
      <c r="N15" s="86"/>
      <c r="O15" s="86"/>
      <c r="P15" s="86"/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103">
        <f t="shared" si="0"/>
        <v>0</v>
      </c>
      <c r="AH15" s="120"/>
      <c r="AI15" s="120"/>
    </row>
    <row r="16" spans="1:35" s="91" customFormat="1" ht="18.75" customHeight="1" x14ac:dyDescent="0.25">
      <c r="A16" s="62" t="s">
        <v>85</v>
      </c>
      <c r="B16" s="86"/>
      <c r="C16" s="86"/>
      <c r="D16" s="86"/>
      <c r="E16" s="86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103">
        <f t="shared" si="0"/>
        <v>0</v>
      </c>
      <c r="AH16" s="120"/>
      <c r="AI16" s="120"/>
    </row>
    <row r="17" spans="1:35" s="91" customFormat="1" ht="18.75" customHeight="1" x14ac:dyDescent="0.25">
      <c r="A17" s="62" t="s">
        <v>194</v>
      </c>
      <c r="B17" s="86"/>
      <c r="C17" s="86"/>
      <c r="D17" s="86"/>
      <c r="E17" s="86"/>
      <c r="F17" s="86"/>
      <c r="G17" s="86"/>
      <c r="H17" s="86"/>
      <c r="I17" s="86"/>
      <c r="J17" s="86"/>
      <c r="K17" s="86"/>
      <c r="L17" s="86"/>
      <c r="M17" s="86"/>
      <c r="N17" s="86"/>
      <c r="O17" s="86"/>
      <c r="P17" s="86"/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103">
        <f t="shared" si="0"/>
        <v>0</v>
      </c>
      <c r="AH17" s="120"/>
      <c r="AI17" s="120"/>
    </row>
    <row r="18" spans="1:35" s="91" customFormat="1" ht="18.75" customHeight="1" x14ac:dyDescent="0.25">
      <c r="A18" s="62" t="s">
        <v>73</v>
      </c>
      <c r="B18" s="86"/>
      <c r="C18" s="86"/>
      <c r="D18" s="86"/>
      <c r="E18" s="86"/>
      <c r="F18" s="86"/>
      <c r="G18" s="86"/>
      <c r="H18" s="86"/>
      <c r="I18" s="86"/>
      <c r="J18" s="86"/>
      <c r="K18" s="86"/>
      <c r="L18" s="86"/>
      <c r="M18" s="86"/>
      <c r="N18" s="86"/>
      <c r="O18" s="86"/>
      <c r="P18" s="86"/>
      <c r="Q18" s="86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103">
        <f t="shared" si="0"/>
        <v>0</v>
      </c>
      <c r="AH18" s="120"/>
      <c r="AI18" s="120"/>
    </row>
    <row r="19" spans="1:35" s="91" customFormat="1" ht="18.75" customHeight="1" x14ac:dyDescent="0.25">
      <c r="A19" s="62" t="s">
        <v>92</v>
      </c>
      <c r="B19" s="86"/>
      <c r="C19" s="86"/>
      <c r="D19" s="86"/>
      <c r="E19" s="86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103">
        <f t="shared" si="0"/>
        <v>0</v>
      </c>
      <c r="AH19" s="120"/>
      <c r="AI19" s="120"/>
    </row>
    <row r="20" spans="1:35" s="91" customFormat="1" ht="18.75" customHeight="1" x14ac:dyDescent="0.25">
      <c r="A20" s="62" t="s">
        <v>89</v>
      </c>
      <c r="B20" s="86"/>
      <c r="C20" s="86"/>
      <c r="D20" s="86"/>
      <c r="E20" s="86"/>
      <c r="F20" s="86"/>
      <c r="G20" s="86"/>
      <c r="H20" s="86"/>
      <c r="I20" s="86"/>
      <c r="J20" s="86"/>
      <c r="K20" s="86"/>
      <c r="L20" s="86"/>
      <c r="M20" s="86"/>
      <c r="N20" s="86"/>
      <c r="O20" s="86"/>
      <c r="P20" s="86"/>
      <c r="Q20" s="86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103">
        <f t="shared" si="0"/>
        <v>0</v>
      </c>
      <c r="AH20" s="120"/>
      <c r="AI20" s="120"/>
    </row>
    <row r="21" spans="1:35" s="91" customFormat="1" ht="18.75" customHeight="1" x14ac:dyDescent="0.25">
      <c r="A21" s="62" t="s">
        <v>74</v>
      </c>
      <c r="B21" s="86"/>
      <c r="C21" s="86"/>
      <c r="D21" s="86"/>
      <c r="E21" s="86"/>
      <c r="F21" s="86"/>
      <c r="G21" s="86"/>
      <c r="H21" s="86"/>
      <c r="I21" s="86"/>
      <c r="J21" s="86"/>
      <c r="K21" s="86"/>
      <c r="L21" s="86"/>
      <c r="M21" s="86"/>
      <c r="N21" s="86"/>
      <c r="O21" s="86"/>
      <c r="P21" s="86"/>
      <c r="Q21" s="86"/>
      <c r="R21" s="86"/>
      <c r="S21" s="86"/>
      <c r="T21" s="86"/>
      <c r="U21" s="86"/>
      <c r="V21" s="86"/>
      <c r="W21" s="86"/>
      <c r="X21" s="86"/>
      <c r="Y21" s="86"/>
      <c r="Z21" s="140"/>
      <c r="AA21" s="86"/>
      <c r="AB21" s="140"/>
      <c r="AC21" s="86"/>
      <c r="AD21" s="86"/>
      <c r="AE21" s="86"/>
      <c r="AF21" s="86"/>
      <c r="AG21" s="132">
        <f t="shared" si="0"/>
        <v>0</v>
      </c>
      <c r="AH21" s="120"/>
      <c r="AI21" s="120"/>
    </row>
    <row r="22" spans="1:35" s="91" customFormat="1" ht="18.75" customHeight="1" x14ac:dyDescent="0.25">
      <c r="A22" s="62" t="s">
        <v>75</v>
      </c>
      <c r="B22" s="86"/>
      <c r="C22" s="86"/>
      <c r="D22" s="86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103">
        <f t="shared" si="0"/>
        <v>0</v>
      </c>
      <c r="AH22" s="120"/>
      <c r="AI22" s="120"/>
    </row>
    <row r="23" spans="1:35" s="91" customFormat="1" ht="18.75" customHeight="1" x14ac:dyDescent="0.25">
      <c r="A23" s="62" t="s">
        <v>77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03">
        <f t="shared" si="0"/>
        <v>0</v>
      </c>
      <c r="AH23" s="120"/>
      <c r="AI23" s="120"/>
    </row>
    <row r="24" spans="1:35" s="91" customFormat="1" ht="18.75" customHeight="1" x14ac:dyDescent="0.25">
      <c r="A24" s="62" t="s">
        <v>78</v>
      </c>
      <c r="B24" s="86"/>
      <c r="C24" s="86"/>
      <c r="D24" s="86"/>
      <c r="E24" s="86"/>
      <c r="F24" s="86"/>
      <c r="G24" s="86"/>
      <c r="H24" s="86"/>
      <c r="I24" s="86"/>
      <c r="J24" s="86"/>
      <c r="K24" s="86"/>
      <c r="L24" s="86"/>
      <c r="M24" s="86"/>
      <c r="N24" s="86"/>
      <c r="O24" s="86"/>
      <c r="P24" s="86"/>
      <c r="Q24" s="86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103">
        <f t="shared" si="0"/>
        <v>0</v>
      </c>
      <c r="AH24" s="120"/>
      <c r="AI24" s="120"/>
    </row>
    <row r="25" spans="1:35" s="91" customFormat="1" ht="18.75" customHeight="1" x14ac:dyDescent="0.25">
      <c r="A25" s="62" t="s">
        <v>79</v>
      </c>
      <c r="B25" s="86"/>
      <c r="C25" s="86"/>
      <c r="D25" s="86"/>
      <c r="E25" s="86"/>
      <c r="F25" s="86"/>
      <c r="G25" s="86"/>
      <c r="H25" s="86"/>
      <c r="I25" s="86"/>
      <c r="J25" s="86"/>
      <c r="K25" s="86"/>
      <c r="L25" s="86"/>
      <c r="M25" s="86"/>
      <c r="N25" s="86"/>
      <c r="O25" s="86"/>
      <c r="P25" s="86"/>
      <c r="Q25" s="86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103">
        <f t="shared" si="0"/>
        <v>0</v>
      </c>
      <c r="AH25" s="120"/>
      <c r="AI25" s="120"/>
    </row>
    <row r="26" spans="1:35" s="91" customFormat="1" ht="18.75" customHeight="1" x14ac:dyDescent="0.25">
      <c r="A26" s="62" t="s">
        <v>154</v>
      </c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3">
        <f t="shared" si="0"/>
        <v>0</v>
      </c>
      <c r="AH26" s="120"/>
      <c r="AI26" s="120"/>
    </row>
    <row r="27" spans="1:35" s="91" customFormat="1" ht="18.75" customHeight="1" x14ac:dyDescent="0.25">
      <c r="A27" s="62" t="s">
        <v>80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03">
        <f t="shared" si="0"/>
        <v>0</v>
      </c>
      <c r="AH27" s="120"/>
      <c r="AI27" s="120"/>
    </row>
    <row r="28" spans="1:35" s="91" customFormat="1" ht="18.75" customHeight="1" x14ac:dyDescent="0.25">
      <c r="A28" s="62" t="s">
        <v>76</v>
      </c>
      <c r="B28" s="86"/>
      <c r="C28" s="86"/>
      <c r="D28" s="86"/>
      <c r="E28" s="86"/>
      <c r="F28" s="86"/>
      <c r="G28" s="86"/>
      <c r="H28" s="86"/>
      <c r="I28" s="86"/>
      <c r="J28" s="86"/>
      <c r="K28" s="86"/>
      <c r="L28" s="86"/>
      <c r="M28" s="86"/>
      <c r="N28" s="86"/>
      <c r="O28" s="86"/>
      <c r="P28" s="86"/>
      <c r="Q28" s="86"/>
      <c r="R28" s="86"/>
      <c r="S28" s="86"/>
      <c r="T28" s="86"/>
      <c r="U28" s="86"/>
      <c r="V28" s="86"/>
      <c r="W28" s="86"/>
      <c r="X28" s="86"/>
      <c r="Y28" s="86"/>
      <c r="Z28" s="140"/>
      <c r="AA28" s="86"/>
      <c r="AB28" s="140"/>
      <c r="AC28" s="86"/>
      <c r="AD28" s="86"/>
      <c r="AE28" s="86"/>
      <c r="AF28" s="88"/>
      <c r="AG28" s="103">
        <f t="shared" si="0"/>
        <v>0</v>
      </c>
      <c r="AH28" s="120"/>
      <c r="AI28" s="120"/>
    </row>
    <row r="29" spans="1:35" s="91" customFormat="1" ht="21.75" customHeight="1" x14ac:dyDescent="0.25">
      <c r="A29" s="62" t="s">
        <v>81</v>
      </c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88"/>
      <c r="AG29" s="103">
        <f t="shared" si="0"/>
        <v>0</v>
      </c>
      <c r="AH29" s="120"/>
      <c r="AI29" s="120"/>
    </row>
    <row r="30" spans="1:35" s="91" customFormat="1" ht="18.75" customHeight="1" x14ac:dyDescent="0.25">
      <c r="A30" s="62" t="s">
        <v>86</v>
      </c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25">
      <c r="A31" s="62" t="s">
        <v>82</v>
      </c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88"/>
      <c r="AG31" s="103">
        <f t="shared" si="0"/>
        <v>0</v>
      </c>
      <c r="AH31" s="120"/>
      <c r="AI31" s="120"/>
    </row>
    <row r="32" spans="1:35" s="91" customFormat="1" ht="18.75" customHeight="1" x14ac:dyDescent="0.25">
      <c r="A32" s="62" t="s">
        <v>179</v>
      </c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25">
      <c r="A33" s="62" t="s">
        <v>251</v>
      </c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88"/>
      <c r="AG33" s="103">
        <f t="shared" si="0"/>
        <v>0</v>
      </c>
      <c r="AH33" s="120"/>
      <c r="AI33" s="120"/>
    </row>
    <row r="34" spans="1:35" s="91" customFormat="1" ht="18.75" customHeight="1" x14ac:dyDescent="0.25">
      <c r="A34" s="135" t="s">
        <v>155</v>
      </c>
      <c r="B34" s="87">
        <f>SUM(B3:B33)</f>
        <v>0</v>
      </c>
      <c r="C34" s="87">
        <f t="shared" ref="C34:AF34" si="1">SUM(C3:C33)</f>
        <v>0</v>
      </c>
      <c r="D34" s="87">
        <f t="shared" si="1"/>
        <v>0</v>
      </c>
      <c r="E34" s="87">
        <f t="shared" si="1"/>
        <v>0</v>
      </c>
      <c r="F34" s="87">
        <f t="shared" si="1"/>
        <v>0</v>
      </c>
      <c r="G34" s="87">
        <f t="shared" si="1"/>
        <v>0</v>
      </c>
      <c r="H34" s="87">
        <f t="shared" si="1"/>
        <v>0</v>
      </c>
      <c r="I34" s="87">
        <f t="shared" si="1"/>
        <v>0</v>
      </c>
      <c r="J34" s="87">
        <f t="shared" si="1"/>
        <v>0</v>
      </c>
      <c r="K34" s="87">
        <f t="shared" si="1"/>
        <v>0</v>
      </c>
      <c r="L34" s="87">
        <f t="shared" si="1"/>
        <v>0</v>
      </c>
      <c r="M34" s="87">
        <f t="shared" si="1"/>
        <v>0</v>
      </c>
      <c r="N34" s="87">
        <f t="shared" si="1"/>
        <v>0</v>
      </c>
      <c r="O34" s="87">
        <f t="shared" si="1"/>
        <v>0</v>
      </c>
      <c r="P34" s="87">
        <f t="shared" si="1"/>
        <v>0</v>
      </c>
      <c r="Q34" s="87">
        <f t="shared" si="1"/>
        <v>0</v>
      </c>
      <c r="R34" s="87">
        <f t="shared" si="1"/>
        <v>0</v>
      </c>
      <c r="S34" s="87">
        <f t="shared" si="1"/>
        <v>0</v>
      </c>
      <c r="T34" s="87">
        <f t="shared" si="1"/>
        <v>0</v>
      </c>
      <c r="U34" s="87">
        <f t="shared" si="1"/>
        <v>0</v>
      </c>
      <c r="V34" s="87">
        <f t="shared" si="1"/>
        <v>0</v>
      </c>
      <c r="W34" s="87">
        <f t="shared" si="1"/>
        <v>0</v>
      </c>
      <c r="X34" s="87">
        <f t="shared" si="1"/>
        <v>0</v>
      </c>
      <c r="Y34" s="87">
        <f t="shared" si="1"/>
        <v>0</v>
      </c>
      <c r="Z34" s="87">
        <f t="shared" si="1"/>
        <v>0</v>
      </c>
      <c r="AA34" s="87">
        <f t="shared" si="1"/>
        <v>0</v>
      </c>
      <c r="AB34" s="87">
        <f t="shared" si="1"/>
        <v>0</v>
      </c>
      <c r="AC34" s="87">
        <f t="shared" si="1"/>
        <v>0</v>
      </c>
      <c r="AD34" s="87">
        <f t="shared" si="1"/>
        <v>0</v>
      </c>
      <c r="AE34" s="87">
        <f t="shared" si="1"/>
        <v>0</v>
      </c>
      <c r="AF34" s="87">
        <f t="shared" si="1"/>
        <v>0</v>
      </c>
      <c r="AG34" s="105">
        <f t="shared" si="0"/>
        <v>0</v>
      </c>
      <c r="AH34" s="134"/>
      <c r="AI34" s="134"/>
    </row>
    <row r="35" spans="1:35" s="91" customFormat="1" x14ac:dyDescent="0.25">
      <c r="A35" s="136"/>
      <c r="AG35" s="24">
        <f>SUM(AG3:AG33)</f>
        <v>0</v>
      </c>
    </row>
  </sheetData>
  <mergeCells count="1">
    <mergeCell ref="A1:AG1"/>
  </mergeCells>
  <conditionalFormatting sqref="AG34">
    <cfRule type="cellIs" dxfId="79" priority="2" operator="equal">
      <formula>$AG$35</formula>
    </cfRule>
  </conditionalFormatting>
  <conditionalFormatting sqref="AG35">
    <cfRule type="cellIs" dxfId="78" priority="1" operator="equal">
      <formula>$AG$34</formula>
    </cfRule>
  </conditionalFormatting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1" width="8.140625" customWidth="1"/>
    <col min="32" max="32" width="8" bestFit="1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>
        <v>0</v>
      </c>
      <c r="C5" s="51">
        <v>0.4</v>
      </c>
      <c r="D5" s="51">
        <v>0.2</v>
      </c>
      <c r="E5" s="51">
        <v>0.3</v>
      </c>
      <c r="F5" s="51">
        <v>0.5</v>
      </c>
      <c r="G5" s="51">
        <v>0.3</v>
      </c>
      <c r="H5" s="51">
        <v>0.5</v>
      </c>
      <c r="I5" s="51">
        <v>0</v>
      </c>
      <c r="J5" s="51">
        <v>0</v>
      </c>
      <c r="K5" s="51">
        <v>0.4</v>
      </c>
      <c r="L5" s="51">
        <v>0.5</v>
      </c>
      <c r="M5" s="51">
        <v>0.3</v>
      </c>
      <c r="N5" s="51">
        <v>0.4</v>
      </c>
      <c r="O5" s="51">
        <v>0</v>
      </c>
      <c r="P5" s="51">
        <v>0</v>
      </c>
      <c r="Q5" s="51">
        <v>0.1</v>
      </c>
      <c r="R5" s="51">
        <v>0.2</v>
      </c>
      <c r="S5" s="51">
        <v>0.3</v>
      </c>
      <c r="T5" s="51">
        <v>0.5</v>
      </c>
      <c r="U5" s="51">
        <v>0.3</v>
      </c>
      <c r="V5" s="51">
        <v>0.6</v>
      </c>
      <c r="W5" s="51">
        <v>0</v>
      </c>
      <c r="X5" s="51">
        <v>0.7</v>
      </c>
      <c r="Y5" s="51">
        <v>0.3</v>
      </c>
      <c r="Z5" s="51">
        <v>0.4</v>
      </c>
      <c r="AA5" s="51">
        <v>0.3</v>
      </c>
      <c r="AB5" s="51">
        <v>0.5</v>
      </c>
      <c r="AC5" s="51">
        <v>0.2</v>
      </c>
      <c r="AD5" s="51">
        <v>0</v>
      </c>
      <c r="AE5" s="51">
        <v>0.5</v>
      </c>
      <c r="AF5" s="51">
        <v>0.2</v>
      </c>
      <c r="AG5" s="46">
        <f t="shared" si="0"/>
        <v>8.8999999999999986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>
        <v>4.8</v>
      </c>
      <c r="C8" s="51">
        <v>3.3</v>
      </c>
      <c r="D8" s="51">
        <v>3.9</v>
      </c>
      <c r="E8" s="51">
        <v>3.6</v>
      </c>
      <c r="F8" s="51">
        <v>3.4</v>
      </c>
      <c r="G8" s="51">
        <v>3.5</v>
      </c>
      <c r="H8" s="51">
        <v>3.3</v>
      </c>
      <c r="I8" s="51">
        <v>3.5</v>
      </c>
      <c r="J8" s="51">
        <v>3.4</v>
      </c>
      <c r="K8" s="51">
        <v>3.7</v>
      </c>
      <c r="L8" s="51">
        <v>5.7</v>
      </c>
      <c r="M8" s="51">
        <v>4.2</v>
      </c>
      <c r="N8" s="51">
        <v>4</v>
      </c>
      <c r="O8" s="51">
        <v>5.3</v>
      </c>
      <c r="P8" s="51">
        <v>5.4</v>
      </c>
      <c r="Q8" s="51">
        <v>4.5</v>
      </c>
      <c r="R8" s="51">
        <v>5.3</v>
      </c>
      <c r="S8" s="51">
        <v>4.5999999999999996</v>
      </c>
      <c r="T8" s="51">
        <v>5</v>
      </c>
      <c r="U8" s="51">
        <v>4.5</v>
      </c>
      <c r="V8" s="51">
        <v>4.2</v>
      </c>
      <c r="W8" s="51">
        <v>4.5999999999999996</v>
      </c>
      <c r="X8" s="51">
        <v>5.5</v>
      </c>
      <c r="Y8" s="51">
        <v>5.2</v>
      </c>
      <c r="Z8" s="51">
        <v>5.8</v>
      </c>
      <c r="AA8" s="51">
        <v>4</v>
      </c>
      <c r="AB8" s="51">
        <v>5.6</v>
      </c>
      <c r="AC8" s="51">
        <v>5.6</v>
      </c>
      <c r="AD8" s="51">
        <v>4.4000000000000004</v>
      </c>
      <c r="AE8" s="51">
        <v>4.0999999999999996</v>
      </c>
      <c r="AF8" s="51">
        <v>3</v>
      </c>
      <c r="AG8" s="46">
        <f t="shared" si="0"/>
        <v>136.89999999999998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3.2</v>
      </c>
      <c r="C10" s="51">
        <v>6.2</v>
      </c>
      <c r="D10" s="51">
        <v>3.4</v>
      </c>
      <c r="E10" s="51">
        <v>5.3</v>
      </c>
      <c r="F10" s="51">
        <v>6.2</v>
      </c>
      <c r="G10" s="51">
        <v>7.1</v>
      </c>
      <c r="H10" s="51">
        <v>8.1999999999999993</v>
      </c>
      <c r="I10" s="51">
        <v>4.0999999999999996</v>
      </c>
      <c r="J10" s="51">
        <v>4.9000000000000004</v>
      </c>
      <c r="K10" s="51">
        <v>9.3000000000000007</v>
      </c>
      <c r="L10" s="51">
        <v>6.8</v>
      </c>
      <c r="M10" s="51">
        <v>0.35</v>
      </c>
      <c r="N10" s="51">
        <v>5.21</v>
      </c>
      <c r="O10" s="51">
        <v>6.15</v>
      </c>
      <c r="P10" s="51">
        <v>1.21</v>
      </c>
      <c r="Q10" s="51">
        <v>1.31</v>
      </c>
      <c r="R10" s="51">
        <v>3.1</v>
      </c>
      <c r="S10" s="51">
        <v>6.8</v>
      </c>
      <c r="T10" s="51">
        <v>3.5</v>
      </c>
      <c r="U10" s="51">
        <v>6.2</v>
      </c>
      <c r="V10" s="51">
        <v>8.1999999999999993</v>
      </c>
      <c r="W10" s="51">
        <v>5.0999999999999996</v>
      </c>
      <c r="X10" s="51">
        <v>4.2</v>
      </c>
      <c r="Y10" s="51">
        <v>3.2</v>
      </c>
      <c r="Z10" s="51">
        <v>3.1</v>
      </c>
      <c r="AA10" s="51">
        <v>9.3000000000000007</v>
      </c>
      <c r="AB10" s="51">
        <v>6.8</v>
      </c>
      <c r="AC10" s="51">
        <v>0.31</v>
      </c>
      <c r="AD10" s="51">
        <v>5.0999999999999996</v>
      </c>
      <c r="AE10" s="51">
        <v>5.0999999999999996</v>
      </c>
      <c r="AF10" s="51">
        <v>6.1</v>
      </c>
      <c r="AG10" s="46">
        <f t="shared" si="0"/>
        <v>155.03999999999996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2.2999999999999998</v>
      </c>
      <c r="C12" s="51">
        <v>1.9</v>
      </c>
      <c r="D12" s="51">
        <v>3.1</v>
      </c>
      <c r="E12" s="51">
        <v>1.5</v>
      </c>
      <c r="F12" s="51">
        <v>4.3</v>
      </c>
      <c r="G12" s="51">
        <v>1.9</v>
      </c>
      <c r="H12" s="51">
        <v>1.3</v>
      </c>
      <c r="I12" s="51">
        <v>1.5</v>
      </c>
      <c r="J12" s="51">
        <v>2</v>
      </c>
      <c r="K12" s="51">
        <v>1.3</v>
      </c>
      <c r="L12" s="51">
        <v>1</v>
      </c>
      <c r="M12" s="51">
        <v>1.5</v>
      </c>
      <c r="N12" s="51">
        <v>2</v>
      </c>
      <c r="O12" s="51">
        <v>1.3</v>
      </c>
      <c r="P12" s="51">
        <v>1</v>
      </c>
      <c r="Q12" s="51">
        <v>1</v>
      </c>
      <c r="R12" s="51">
        <v>1</v>
      </c>
      <c r="S12" s="51">
        <v>1</v>
      </c>
      <c r="T12" s="51">
        <v>2.4</v>
      </c>
      <c r="U12" s="51">
        <v>1.3</v>
      </c>
      <c r="V12" s="51">
        <v>2.9</v>
      </c>
      <c r="W12" s="51">
        <v>0</v>
      </c>
      <c r="X12" s="51">
        <v>1.3</v>
      </c>
      <c r="Y12" s="51">
        <v>1</v>
      </c>
      <c r="Z12" s="51">
        <v>2.2999999999999998</v>
      </c>
      <c r="AA12" s="51">
        <v>2.8</v>
      </c>
      <c r="AB12" s="51">
        <v>2.4</v>
      </c>
      <c r="AC12" s="51">
        <v>2.2999999999999998</v>
      </c>
      <c r="AD12" s="51">
        <v>1.9</v>
      </c>
      <c r="AE12" s="51">
        <v>2</v>
      </c>
      <c r="AF12" s="51">
        <v>1.3</v>
      </c>
      <c r="AG12" s="46">
        <f t="shared" si="0"/>
        <v>54.799999999999976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0">
        <v>3.9</v>
      </c>
      <c r="C15" s="51">
        <v>4.3</v>
      </c>
      <c r="D15" s="51">
        <v>4.0999999999999996</v>
      </c>
      <c r="E15" s="51">
        <v>2.1</v>
      </c>
      <c r="F15" s="51">
        <v>1.3</v>
      </c>
      <c r="G15" s="51">
        <v>1.7</v>
      </c>
      <c r="H15" s="51">
        <v>1.5</v>
      </c>
      <c r="I15" s="51">
        <v>1.3</v>
      </c>
      <c r="J15" s="51">
        <v>3.8</v>
      </c>
      <c r="K15" s="51">
        <v>4</v>
      </c>
      <c r="L15" s="51">
        <v>4.4000000000000004</v>
      </c>
      <c r="M15" s="51">
        <v>4.7</v>
      </c>
      <c r="N15" s="51">
        <v>3</v>
      </c>
      <c r="O15" s="51">
        <v>3.8</v>
      </c>
      <c r="P15" s="51">
        <v>3.9</v>
      </c>
      <c r="Q15" s="51">
        <v>1.8</v>
      </c>
      <c r="R15" s="51">
        <v>1.2</v>
      </c>
      <c r="S15" s="51">
        <v>1.1000000000000001</v>
      </c>
      <c r="T15" s="51">
        <v>1.2</v>
      </c>
      <c r="U15" s="51">
        <v>2.1</v>
      </c>
      <c r="V15" s="51">
        <v>0.9</v>
      </c>
      <c r="W15" s="51">
        <v>3.3</v>
      </c>
      <c r="X15" s="51">
        <v>3.7</v>
      </c>
      <c r="Y15" s="51">
        <v>4.4000000000000004</v>
      </c>
      <c r="Z15" s="51">
        <v>3.8</v>
      </c>
      <c r="AA15" s="51">
        <v>3.9</v>
      </c>
      <c r="AB15" s="51">
        <v>4</v>
      </c>
      <c r="AC15" s="51">
        <v>4.4000000000000004</v>
      </c>
      <c r="AD15" s="51">
        <v>2.7</v>
      </c>
      <c r="AE15" s="51">
        <v>5.0999999999999996</v>
      </c>
      <c r="AF15" s="51">
        <v>2.7</v>
      </c>
      <c r="AG15" s="46">
        <f t="shared" si="0"/>
        <v>94.100000000000009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1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1.2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46">
        <f t="shared" si="0"/>
        <v>2.2000000000000002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v>2.5</v>
      </c>
      <c r="C20" s="51">
        <v>4</v>
      </c>
      <c r="D20" s="51">
        <v>3.8</v>
      </c>
      <c r="E20" s="51">
        <f>0.8+1.5</f>
        <v>2.2999999999999998</v>
      </c>
      <c r="F20" s="51">
        <v>3.5</v>
      </c>
      <c r="G20" s="51">
        <f>2.3+2.5</f>
        <v>4.8</v>
      </c>
      <c r="H20" s="51">
        <f>1.8+3.3</f>
        <v>5.0999999999999996</v>
      </c>
      <c r="I20" s="51">
        <f>1.3+3.1</f>
        <v>4.4000000000000004</v>
      </c>
      <c r="J20" s="51">
        <f>1.5+2.1</f>
        <v>3.6</v>
      </c>
      <c r="K20" s="51">
        <f>0.9+1.5</f>
        <v>2.4</v>
      </c>
      <c r="L20" s="51">
        <v>2.8</v>
      </c>
      <c r="M20" s="51">
        <v>2.8</v>
      </c>
      <c r="N20" s="51">
        <f>0.9+2.8</f>
        <v>3.6999999999999997</v>
      </c>
      <c r="O20" s="51">
        <v>4.0999999999999996</v>
      </c>
      <c r="P20" s="51">
        <f>1.1+2.5</f>
        <v>3.6</v>
      </c>
      <c r="Q20" s="51">
        <f>0.9+2.8</f>
        <v>3.6999999999999997</v>
      </c>
      <c r="R20" s="51">
        <v>3.9</v>
      </c>
      <c r="S20" s="51">
        <v>3.9</v>
      </c>
      <c r="T20" s="51">
        <v>3.8</v>
      </c>
      <c r="U20" s="51">
        <f>0.9+3.6</f>
        <v>4.5</v>
      </c>
      <c r="V20" s="51">
        <v>3.5</v>
      </c>
      <c r="W20" s="51">
        <v>3</v>
      </c>
      <c r="X20" s="51">
        <v>3.8</v>
      </c>
      <c r="Y20" s="51">
        <v>3</v>
      </c>
      <c r="Z20" s="51">
        <v>3.8</v>
      </c>
      <c r="AA20" s="51">
        <v>4</v>
      </c>
      <c r="AB20" s="51">
        <v>2.5</v>
      </c>
      <c r="AC20" s="51">
        <f>2.1+1.5</f>
        <v>3.6</v>
      </c>
      <c r="AD20" s="51">
        <f>1.3+3.5</f>
        <v>4.8</v>
      </c>
      <c r="AE20" s="51">
        <f>1.1+4.5</f>
        <v>5.6</v>
      </c>
      <c r="AF20" s="51">
        <f>1.2+2.5</f>
        <v>3.7</v>
      </c>
      <c r="AG20" s="46">
        <f t="shared" si="0"/>
        <v>114.49999999999999</v>
      </c>
      <c r="AH20" s="48"/>
      <c r="AI20" s="48"/>
    </row>
    <row r="21" spans="1:35" s="44" customFormat="1" ht="18.75" customHeight="1" x14ac:dyDescent="0.35">
      <c r="A21" s="60" t="s">
        <v>74</v>
      </c>
      <c r="B21" s="51">
        <v>2</v>
      </c>
      <c r="C21" s="51">
        <v>1.3</v>
      </c>
      <c r="D21" s="51">
        <v>0.9</v>
      </c>
      <c r="E21" s="51">
        <v>1.2</v>
      </c>
      <c r="F21" s="51">
        <v>1</v>
      </c>
      <c r="G21" s="51">
        <v>1.2</v>
      </c>
      <c r="H21" s="51">
        <v>1</v>
      </c>
      <c r="I21" s="51">
        <v>1.6</v>
      </c>
      <c r="J21" s="51">
        <v>2.1</v>
      </c>
      <c r="K21" s="51">
        <v>2</v>
      </c>
      <c r="L21" s="51">
        <v>2.4</v>
      </c>
      <c r="M21" s="51">
        <v>1.7</v>
      </c>
      <c r="N21" s="51">
        <v>1.1000000000000001</v>
      </c>
      <c r="O21" s="51">
        <v>1</v>
      </c>
      <c r="P21" s="51">
        <v>1.7</v>
      </c>
      <c r="Q21" s="51">
        <v>1.9</v>
      </c>
      <c r="R21" s="51">
        <v>1.5</v>
      </c>
      <c r="S21" s="51">
        <v>1.2</v>
      </c>
      <c r="T21" s="51">
        <v>2.1</v>
      </c>
      <c r="U21" s="51">
        <v>1</v>
      </c>
      <c r="V21" s="51">
        <v>1.8</v>
      </c>
      <c r="W21" s="51">
        <v>1.5</v>
      </c>
      <c r="X21" s="51">
        <v>1.4</v>
      </c>
      <c r="Y21" s="51">
        <v>1.3</v>
      </c>
      <c r="Z21" s="51">
        <v>2.2000000000000002</v>
      </c>
      <c r="AA21" s="51">
        <v>1.7</v>
      </c>
      <c r="AB21" s="51">
        <v>1.2</v>
      </c>
      <c r="AC21" s="51">
        <v>1.9</v>
      </c>
      <c r="AD21" s="51">
        <v>1.6</v>
      </c>
      <c r="AE21" s="51">
        <v>1.3</v>
      </c>
      <c r="AF21" s="51">
        <v>1.1000000000000001</v>
      </c>
      <c r="AG21" s="46">
        <f t="shared" si="0"/>
        <v>46.900000000000006</v>
      </c>
      <c r="AH21" s="48"/>
      <c r="AI21" s="48"/>
    </row>
    <row r="22" spans="1:35" s="44" customFormat="1" ht="18.75" customHeight="1" x14ac:dyDescent="0.35">
      <c r="A22" s="60" t="s">
        <v>75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0.4</v>
      </c>
      <c r="O22" s="51">
        <v>0</v>
      </c>
      <c r="P22" s="51">
        <v>0</v>
      </c>
      <c r="Q22" s="51">
        <v>0</v>
      </c>
      <c r="R22" s="51">
        <v>0.3</v>
      </c>
      <c r="S22" s="51">
        <v>0.5</v>
      </c>
      <c r="T22" s="51">
        <v>0.5</v>
      </c>
      <c r="U22" s="51">
        <v>0.5</v>
      </c>
      <c r="V22" s="51">
        <v>0.5</v>
      </c>
      <c r="W22" s="51">
        <v>0.5</v>
      </c>
      <c r="X22" s="51">
        <v>0.5</v>
      </c>
      <c r="Y22" s="51">
        <v>0.5</v>
      </c>
      <c r="Z22" s="51">
        <v>0.5</v>
      </c>
      <c r="AA22" s="51">
        <v>0.5</v>
      </c>
      <c r="AB22" s="51">
        <v>0.5</v>
      </c>
      <c r="AC22" s="51">
        <v>0.5</v>
      </c>
      <c r="AD22" s="51">
        <v>0</v>
      </c>
      <c r="AE22" s="51">
        <v>0.5</v>
      </c>
      <c r="AF22" s="51">
        <v>0.5</v>
      </c>
      <c r="AG22" s="46">
        <f t="shared" si="0"/>
        <v>7.2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3</v>
      </c>
      <c r="C24" s="51">
        <v>2</v>
      </c>
      <c r="D24" s="51">
        <v>5</v>
      </c>
      <c r="E24" s="51">
        <v>3</v>
      </c>
      <c r="F24" s="51">
        <v>2</v>
      </c>
      <c r="G24" s="51">
        <v>3</v>
      </c>
      <c r="H24" s="51">
        <v>4</v>
      </c>
      <c r="I24" s="51">
        <v>5</v>
      </c>
      <c r="J24" s="51">
        <v>3</v>
      </c>
      <c r="K24" s="51">
        <v>2</v>
      </c>
      <c r="L24" s="51">
        <v>3</v>
      </c>
      <c r="M24" s="51">
        <v>4</v>
      </c>
      <c r="N24" s="51">
        <v>3</v>
      </c>
      <c r="O24" s="51">
        <v>2</v>
      </c>
      <c r="P24" s="51">
        <v>3</v>
      </c>
      <c r="Q24" s="51">
        <v>2</v>
      </c>
      <c r="R24" s="51">
        <v>4</v>
      </c>
      <c r="S24" s="51">
        <v>3</v>
      </c>
      <c r="T24" s="51">
        <v>2</v>
      </c>
      <c r="U24" s="51">
        <v>1</v>
      </c>
      <c r="V24" s="51">
        <v>3</v>
      </c>
      <c r="W24" s="51">
        <v>2</v>
      </c>
      <c r="X24" s="51">
        <v>4</v>
      </c>
      <c r="Y24" s="51">
        <v>3</v>
      </c>
      <c r="Z24" s="51">
        <v>3</v>
      </c>
      <c r="AA24" s="51">
        <v>2</v>
      </c>
      <c r="AB24" s="51">
        <v>1</v>
      </c>
      <c r="AC24" s="51">
        <v>3</v>
      </c>
      <c r="AD24" s="51">
        <v>4</v>
      </c>
      <c r="AE24" s="51">
        <v>9</v>
      </c>
      <c r="AF24" s="51">
        <v>2</v>
      </c>
      <c r="AG24" s="46">
        <f t="shared" si="0"/>
        <v>95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>
        <f>4.1+5+3.1</f>
        <v>12.2</v>
      </c>
      <c r="C31" s="51">
        <f>0.4+1.3+2.1</f>
        <v>3.8000000000000003</v>
      </c>
      <c r="D31" s="51">
        <f>4+3.1+5</f>
        <v>12.1</v>
      </c>
      <c r="E31" s="51">
        <f>4.3+5.3+4.1</f>
        <v>13.7</v>
      </c>
      <c r="F31" s="51">
        <f>9.8+6.9+7.6</f>
        <v>24.300000000000004</v>
      </c>
      <c r="G31" s="51">
        <f>4+5.1+4</f>
        <v>13.1</v>
      </c>
      <c r="H31" s="51">
        <f>4.1+5+6.1</f>
        <v>15.2</v>
      </c>
      <c r="I31" s="51">
        <f>4.1+5+4.3</f>
        <v>13.399999999999999</v>
      </c>
      <c r="J31" s="51">
        <f>5.1+6+4.1</f>
        <v>15.2</v>
      </c>
      <c r="K31" s="51">
        <f>4.1+5+7.1</f>
        <v>16.2</v>
      </c>
      <c r="L31" s="51">
        <f>4.3+5.3+4.9</f>
        <v>14.5</v>
      </c>
      <c r="M31" s="51">
        <f>4.3+5.3+5.3</f>
        <v>14.899999999999999</v>
      </c>
      <c r="N31" s="51">
        <f>10.1+9.5+10</f>
        <v>29.6</v>
      </c>
      <c r="O31" s="51">
        <f>4+7.1+8</f>
        <v>19.100000000000001</v>
      </c>
      <c r="P31" s="51">
        <f>7+4.1+5.1</f>
        <v>16.2</v>
      </c>
      <c r="Q31" s="51">
        <f>4.1+1.4</f>
        <v>5.5</v>
      </c>
      <c r="R31" s="51">
        <f>4.1+3.2+4.1</f>
        <v>11.399999999999999</v>
      </c>
      <c r="S31" s="51">
        <f>9.5+6.9+7.3</f>
        <v>23.7</v>
      </c>
      <c r="T31" s="51">
        <f>9+7.1+8</f>
        <v>24.1</v>
      </c>
      <c r="U31" s="51">
        <f>7.1+4+5</f>
        <v>16.100000000000001</v>
      </c>
      <c r="V31" s="51">
        <f>7.1+4+6</f>
        <v>17.100000000000001</v>
      </c>
      <c r="W31" s="51">
        <f>8.1+9.1+7</f>
        <v>24.2</v>
      </c>
      <c r="X31" s="51">
        <f>8+9.1+7.1</f>
        <v>24.200000000000003</v>
      </c>
      <c r="Y31" s="51">
        <f>7.1+8.2+9.1</f>
        <v>24.4</v>
      </c>
      <c r="Z31" s="51">
        <f>3.4+3.5+3.4</f>
        <v>10.3</v>
      </c>
      <c r="AA31" s="51">
        <f>6.2+7.2+3.5</f>
        <v>16.899999999999999</v>
      </c>
      <c r="AB31" s="51">
        <f>6.5+7.8+8.5</f>
        <v>22.8</v>
      </c>
      <c r="AC31" s="51">
        <f>7.55+6.95+7.35</f>
        <v>21.85</v>
      </c>
      <c r="AD31" s="51">
        <f>7.5+9.8+4.9</f>
        <v>22.200000000000003</v>
      </c>
      <c r="AE31" s="51">
        <f>7.5+9.55+7.55</f>
        <v>24.6</v>
      </c>
      <c r="AF31" s="51">
        <f>7+6+4</f>
        <v>17</v>
      </c>
      <c r="AG31" s="46">
        <f t="shared" si="0"/>
        <v>539.85</v>
      </c>
      <c r="AH31" s="48"/>
      <c r="AI31" s="48"/>
    </row>
    <row r="32" spans="1:35" s="44" customFormat="1" ht="18.75" customHeight="1" x14ac:dyDescent="0.35">
      <c r="A32" s="60" t="s">
        <v>178</v>
      </c>
      <c r="B32" s="52">
        <v>0.3</v>
      </c>
      <c r="C32" s="52">
        <v>0.5</v>
      </c>
      <c r="D32" s="52">
        <v>0.4</v>
      </c>
      <c r="E32" s="52">
        <v>0.3</v>
      </c>
      <c r="F32" s="52">
        <v>0.4</v>
      </c>
      <c r="G32" s="52">
        <v>0</v>
      </c>
      <c r="H32" s="52">
        <v>0</v>
      </c>
      <c r="I32" s="52">
        <v>0.3</v>
      </c>
      <c r="J32" s="52">
        <v>0.4</v>
      </c>
      <c r="K32" s="52">
        <v>0.8</v>
      </c>
      <c r="L32" s="52">
        <v>0.4</v>
      </c>
      <c r="M32" s="52">
        <v>0.3</v>
      </c>
      <c r="N32" s="52">
        <v>0.5</v>
      </c>
      <c r="O32" s="52">
        <v>0.8</v>
      </c>
      <c r="P32" s="52">
        <v>0.5</v>
      </c>
      <c r="Q32" s="52">
        <v>0.4</v>
      </c>
      <c r="R32" s="52">
        <v>0.3</v>
      </c>
      <c r="S32" s="52">
        <v>0.8</v>
      </c>
      <c r="T32" s="52">
        <v>0.6</v>
      </c>
      <c r="U32" s="52">
        <v>0.3</v>
      </c>
      <c r="V32" s="52">
        <v>0.5</v>
      </c>
      <c r="W32" s="52">
        <v>0.4</v>
      </c>
      <c r="X32" s="52">
        <v>0.3</v>
      </c>
      <c r="Y32" s="52">
        <v>0.4</v>
      </c>
      <c r="Z32" s="52">
        <v>0.5</v>
      </c>
      <c r="AA32" s="52">
        <v>0.2</v>
      </c>
      <c r="AB32" s="52">
        <v>0.2</v>
      </c>
      <c r="AC32" s="52">
        <v>0.1</v>
      </c>
      <c r="AD32" s="52">
        <v>0.3</v>
      </c>
      <c r="AE32" s="52">
        <v>0.4</v>
      </c>
      <c r="AF32" s="52">
        <v>0.3</v>
      </c>
      <c r="AG32" s="46">
        <f t="shared" si="0"/>
        <v>11.900000000000002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34.200000000000003</v>
      </c>
      <c r="C33" s="51">
        <f t="shared" si="1"/>
        <v>27.700000000000003</v>
      </c>
      <c r="D33" s="51">
        <f t="shared" si="1"/>
        <v>36.9</v>
      </c>
      <c r="E33" s="51">
        <f t="shared" si="1"/>
        <v>33.299999999999997</v>
      </c>
      <c r="F33" s="51">
        <f t="shared" si="1"/>
        <v>46.9</v>
      </c>
      <c r="G33" s="51">
        <f t="shared" si="1"/>
        <v>36.599999999999994</v>
      </c>
      <c r="H33" s="51">
        <f t="shared" si="1"/>
        <v>41.099999999999994</v>
      </c>
      <c r="I33" s="51">
        <f t="shared" si="1"/>
        <v>35.099999999999994</v>
      </c>
      <c r="J33" s="51">
        <f t="shared" si="1"/>
        <v>38.4</v>
      </c>
      <c r="K33" s="51">
        <f t="shared" si="1"/>
        <v>42.099999999999994</v>
      </c>
      <c r="L33" s="51">
        <f t="shared" si="1"/>
        <v>41.499999999999993</v>
      </c>
      <c r="M33" s="51">
        <f t="shared" si="1"/>
        <v>34.75</v>
      </c>
      <c r="N33" s="51">
        <f t="shared" si="1"/>
        <v>52.91</v>
      </c>
      <c r="O33" s="51">
        <f t="shared" si="1"/>
        <v>43.55</v>
      </c>
      <c r="P33" s="51">
        <f t="shared" si="1"/>
        <v>36.51</v>
      </c>
      <c r="Q33" s="51">
        <f t="shared" si="1"/>
        <v>22.21</v>
      </c>
      <c r="R33" s="51">
        <f t="shared" si="1"/>
        <v>32.199999999999996</v>
      </c>
      <c r="S33" s="51">
        <f t="shared" si="1"/>
        <v>46.899999999999991</v>
      </c>
      <c r="T33" s="51">
        <f t="shared" si="1"/>
        <v>46.9</v>
      </c>
      <c r="U33" s="51">
        <f t="shared" si="1"/>
        <v>37.799999999999997</v>
      </c>
      <c r="V33" s="51">
        <f t="shared" si="1"/>
        <v>43.2</v>
      </c>
      <c r="W33" s="51">
        <f t="shared" si="1"/>
        <v>44.6</v>
      </c>
      <c r="X33" s="51">
        <f t="shared" si="1"/>
        <v>49.6</v>
      </c>
      <c r="Y33" s="51">
        <f t="shared" si="1"/>
        <v>46.699999999999996</v>
      </c>
      <c r="Z33" s="51">
        <f t="shared" si="1"/>
        <v>35.700000000000003</v>
      </c>
      <c r="AA33" s="51">
        <f t="shared" si="1"/>
        <v>45.6</v>
      </c>
      <c r="AB33" s="51">
        <f t="shared" si="1"/>
        <v>47.5</v>
      </c>
      <c r="AC33" s="51">
        <f t="shared" si="1"/>
        <v>43.76</v>
      </c>
      <c r="AD33" s="51">
        <f t="shared" si="1"/>
        <v>47</v>
      </c>
      <c r="AE33" s="51">
        <f t="shared" si="1"/>
        <v>58.2</v>
      </c>
      <c r="AF33" s="51">
        <f t="shared" si="1"/>
        <v>37.9</v>
      </c>
      <c r="AG33" s="56">
        <f>SUM(B33:AF33)</f>
        <v>1267.2900000000002</v>
      </c>
      <c r="AH33" s="57"/>
      <c r="AI33" s="57"/>
    </row>
    <row r="34" spans="1:35" s="2" customFormat="1" x14ac:dyDescent="0.25">
      <c r="AG34" s="24">
        <f>SUM(AG3:AG31)</f>
        <v>1255.3899999999999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>
        <v>0.3</v>
      </c>
      <c r="C5" s="51">
        <v>0.3</v>
      </c>
      <c r="D5" s="51">
        <v>0.1</v>
      </c>
      <c r="E5" s="51">
        <v>0</v>
      </c>
      <c r="F5" s="51">
        <v>0</v>
      </c>
      <c r="G5" s="51">
        <v>0.4</v>
      </c>
      <c r="H5" s="51">
        <v>0.2</v>
      </c>
      <c r="I5" s="51">
        <v>0.1</v>
      </c>
      <c r="J5" s="51">
        <v>0.4</v>
      </c>
      <c r="K5" s="51">
        <v>0.1</v>
      </c>
      <c r="L5" s="51">
        <v>0</v>
      </c>
      <c r="M5" s="51">
        <v>0</v>
      </c>
      <c r="N5" s="51">
        <v>0.3</v>
      </c>
      <c r="O5" s="51">
        <v>0.2</v>
      </c>
      <c r="P5" s="51">
        <v>0.4</v>
      </c>
      <c r="Q5" s="51">
        <v>0.1</v>
      </c>
      <c r="R5" s="51">
        <v>0.4</v>
      </c>
      <c r="S5" s="51">
        <v>0</v>
      </c>
      <c r="T5" s="51">
        <v>0</v>
      </c>
      <c r="U5" s="51">
        <v>0.5</v>
      </c>
      <c r="V5" s="51">
        <v>0.3</v>
      </c>
      <c r="W5" s="51">
        <v>0.2</v>
      </c>
      <c r="X5" s="51">
        <v>0</v>
      </c>
      <c r="Y5" s="51">
        <v>0.1</v>
      </c>
      <c r="Z5" s="51">
        <v>0</v>
      </c>
      <c r="AA5" s="51">
        <v>0</v>
      </c>
      <c r="AB5" s="51">
        <v>0.4</v>
      </c>
      <c r="AC5" s="51">
        <v>0.2</v>
      </c>
      <c r="AD5" s="51"/>
      <c r="AE5" s="51"/>
      <c r="AF5" s="51"/>
      <c r="AG5" s="46">
        <f t="shared" si="0"/>
        <v>5.0000000000000009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>
        <v>4.9000000000000004</v>
      </c>
      <c r="C8" s="51">
        <v>3.9</v>
      </c>
      <c r="D8" s="51">
        <v>4.8</v>
      </c>
      <c r="E8" s="51">
        <v>4.9000000000000004</v>
      </c>
      <c r="F8" s="51">
        <v>5.9</v>
      </c>
      <c r="G8" s="51">
        <v>3.9</v>
      </c>
      <c r="H8" s="51">
        <v>3.9</v>
      </c>
      <c r="I8" s="51">
        <v>4.3</v>
      </c>
      <c r="J8" s="51">
        <v>5.9</v>
      </c>
      <c r="K8" s="51">
        <v>5.6</v>
      </c>
      <c r="L8" s="51">
        <v>11.54</v>
      </c>
      <c r="M8" s="51">
        <v>6.4</v>
      </c>
      <c r="N8" s="51">
        <v>5.7</v>
      </c>
      <c r="O8" s="51">
        <v>5.3</v>
      </c>
      <c r="P8" s="51">
        <v>3.9</v>
      </c>
      <c r="Q8" s="51">
        <v>4.9000000000000004</v>
      </c>
      <c r="R8" s="51">
        <v>4.9000000000000004</v>
      </c>
      <c r="S8" s="51">
        <v>6.1</v>
      </c>
      <c r="T8" s="51">
        <v>5</v>
      </c>
      <c r="U8" s="51">
        <v>4.8</v>
      </c>
      <c r="V8" s="51">
        <v>5.2</v>
      </c>
      <c r="W8" s="51">
        <v>5.7</v>
      </c>
      <c r="X8" s="51">
        <v>7.7</v>
      </c>
      <c r="Y8" s="51">
        <v>6.1</v>
      </c>
      <c r="Z8" s="51">
        <v>4.8</v>
      </c>
      <c r="AA8" s="51">
        <v>10.199999999999999</v>
      </c>
      <c r="AB8" s="51">
        <v>5.5</v>
      </c>
      <c r="AC8" s="51">
        <v>6</v>
      </c>
      <c r="AD8" s="51"/>
      <c r="AE8" s="51"/>
      <c r="AF8" s="51"/>
      <c r="AG8" s="46">
        <f t="shared" si="0"/>
        <v>157.74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5.4</v>
      </c>
      <c r="C10" s="51">
        <v>6.3</v>
      </c>
      <c r="D10" s="51">
        <v>9.4</v>
      </c>
      <c r="E10" s="51">
        <v>8.3000000000000007</v>
      </c>
      <c r="F10" s="51">
        <v>7.1</v>
      </c>
      <c r="G10" s="51">
        <v>6.2</v>
      </c>
      <c r="H10" s="51">
        <v>5.4</v>
      </c>
      <c r="I10" s="51">
        <v>6.1</v>
      </c>
      <c r="J10" s="51">
        <v>9.3000000000000007</v>
      </c>
      <c r="K10" s="51">
        <v>6.4</v>
      </c>
      <c r="L10" s="51">
        <v>3</v>
      </c>
      <c r="M10" s="51">
        <v>4.2</v>
      </c>
      <c r="N10" s="51">
        <v>7.2</v>
      </c>
      <c r="O10" s="51">
        <v>4.3</v>
      </c>
      <c r="P10" s="51">
        <v>9.3000000000000007</v>
      </c>
      <c r="Q10" s="51">
        <v>3.15</v>
      </c>
      <c r="R10" s="51">
        <v>3.21</v>
      </c>
      <c r="S10" s="51">
        <v>4.1500000000000004</v>
      </c>
      <c r="T10" s="51">
        <v>2.21</v>
      </c>
      <c r="U10" s="51">
        <v>7.5</v>
      </c>
      <c r="V10" s="51">
        <v>7.2</v>
      </c>
      <c r="W10" s="51">
        <v>8.3000000000000007</v>
      </c>
      <c r="X10" s="51">
        <v>9.1</v>
      </c>
      <c r="Y10" s="51">
        <v>6</v>
      </c>
      <c r="Z10" s="51">
        <v>8.1</v>
      </c>
      <c r="AA10" s="51">
        <v>9.3000000000000007</v>
      </c>
      <c r="AB10" s="51">
        <v>5.4</v>
      </c>
      <c r="AC10" s="51">
        <v>6.1</v>
      </c>
      <c r="AD10" s="51"/>
      <c r="AE10" s="51"/>
      <c r="AF10" s="51"/>
      <c r="AG10" s="46">
        <f t="shared" si="0"/>
        <v>177.62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1.5</v>
      </c>
      <c r="C12" s="51">
        <v>1</v>
      </c>
      <c r="D12" s="51">
        <v>1.3</v>
      </c>
      <c r="E12" s="51">
        <v>1</v>
      </c>
      <c r="F12" s="51">
        <v>1.3</v>
      </c>
      <c r="G12" s="51">
        <v>1.3</v>
      </c>
      <c r="H12" s="51">
        <v>1.5</v>
      </c>
      <c r="I12" s="51">
        <v>1.3</v>
      </c>
      <c r="J12" s="51">
        <v>2.2000000000000002</v>
      </c>
      <c r="K12" s="51">
        <v>1.6</v>
      </c>
      <c r="L12" s="51">
        <v>2.7</v>
      </c>
      <c r="M12" s="51">
        <v>1</v>
      </c>
      <c r="N12" s="51">
        <v>1.3</v>
      </c>
      <c r="O12" s="51">
        <v>1</v>
      </c>
      <c r="P12" s="51">
        <v>1</v>
      </c>
      <c r="Q12" s="51">
        <v>1.1000000000000001</v>
      </c>
      <c r="R12" s="51">
        <v>0</v>
      </c>
      <c r="S12" s="51">
        <v>1</v>
      </c>
      <c r="T12" s="51">
        <v>1.2</v>
      </c>
      <c r="U12" s="51">
        <v>1</v>
      </c>
      <c r="V12" s="51">
        <v>2.2999999999999998</v>
      </c>
      <c r="W12" s="51">
        <v>1.2</v>
      </c>
      <c r="X12" s="51">
        <v>1.6</v>
      </c>
      <c r="Y12" s="51">
        <v>0</v>
      </c>
      <c r="Z12" s="51">
        <v>1.3</v>
      </c>
      <c r="AA12" s="51">
        <v>1.5</v>
      </c>
      <c r="AB12" s="51">
        <v>1.3</v>
      </c>
      <c r="AC12" s="51">
        <v>1.7</v>
      </c>
      <c r="AD12" s="51"/>
      <c r="AE12" s="51"/>
      <c r="AF12" s="51"/>
      <c r="AG12" s="46">
        <f t="shared" si="0"/>
        <v>36.200000000000003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0.3</v>
      </c>
      <c r="C14" s="51">
        <v>0.4</v>
      </c>
      <c r="D14" s="51">
        <v>0.2</v>
      </c>
      <c r="E14" s="51">
        <v>0.6</v>
      </c>
      <c r="F14" s="51">
        <v>0.5</v>
      </c>
      <c r="G14" s="51">
        <v>0.3</v>
      </c>
      <c r="H14" s="51">
        <v>0.2</v>
      </c>
      <c r="I14" s="51">
        <v>0.1</v>
      </c>
      <c r="J14" s="51">
        <v>0.5</v>
      </c>
      <c r="K14" s="51">
        <v>1.2</v>
      </c>
      <c r="L14" s="51">
        <v>0.9</v>
      </c>
      <c r="M14" s="51">
        <v>0.4</v>
      </c>
      <c r="N14" s="51">
        <v>1.3</v>
      </c>
      <c r="O14" s="51">
        <v>0.8</v>
      </c>
      <c r="P14" s="51">
        <v>0.6</v>
      </c>
      <c r="Q14" s="51">
        <v>0</v>
      </c>
      <c r="R14" s="51">
        <v>1.2</v>
      </c>
      <c r="S14" s="51">
        <v>1</v>
      </c>
      <c r="T14" s="51">
        <v>1.9</v>
      </c>
      <c r="U14" s="51">
        <v>0.9</v>
      </c>
      <c r="V14" s="51">
        <v>0</v>
      </c>
      <c r="W14" s="51">
        <v>0</v>
      </c>
      <c r="X14" s="51">
        <v>0</v>
      </c>
      <c r="Y14" s="114">
        <v>1.5</v>
      </c>
      <c r="Z14" s="52">
        <v>1</v>
      </c>
      <c r="AA14" s="52">
        <v>0</v>
      </c>
      <c r="AB14" s="52">
        <v>1.4</v>
      </c>
      <c r="AC14" s="52">
        <v>0.4</v>
      </c>
      <c r="AD14" s="52"/>
      <c r="AE14" s="52"/>
      <c r="AF14" s="52"/>
      <c r="AG14" s="46">
        <f t="shared" si="0"/>
        <v>17.599999999999998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>
        <v>0</v>
      </c>
      <c r="C17" s="51">
        <v>0</v>
      </c>
      <c r="D17" s="51">
        <v>0</v>
      </c>
      <c r="E17" s="51">
        <v>0</v>
      </c>
      <c r="F17" s="51">
        <v>1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0</v>
      </c>
      <c r="O17" s="51">
        <v>0</v>
      </c>
      <c r="P17" s="51">
        <v>0</v>
      </c>
      <c r="Q17" s="51">
        <v>0</v>
      </c>
      <c r="R17" s="51">
        <v>0</v>
      </c>
      <c r="S17" s="51">
        <v>0.6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/>
      <c r="AE17" s="51"/>
      <c r="AF17" s="51"/>
      <c r="AG17" s="46">
        <f t="shared" si="0"/>
        <v>1.6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f>1.3+1.8</f>
        <v>3.1</v>
      </c>
      <c r="C20" s="51">
        <v>3</v>
      </c>
      <c r="D20" s="51">
        <v>3.3</v>
      </c>
      <c r="E20" s="51">
        <v>2.1</v>
      </c>
      <c r="F20" s="51">
        <v>2.9</v>
      </c>
      <c r="G20" s="51">
        <v>2.5</v>
      </c>
      <c r="H20" s="51">
        <v>2.8</v>
      </c>
      <c r="I20" s="51">
        <v>2</v>
      </c>
      <c r="J20" s="51">
        <v>3.1</v>
      </c>
      <c r="K20" s="51">
        <v>2.7</v>
      </c>
      <c r="L20" s="51">
        <v>3.3</v>
      </c>
      <c r="M20" s="51">
        <v>2.2999999999999998</v>
      </c>
      <c r="N20" s="51">
        <v>2.7</v>
      </c>
      <c r="O20" s="51">
        <v>4.3</v>
      </c>
      <c r="P20" s="51">
        <v>2.8</v>
      </c>
      <c r="Q20" s="51">
        <v>3.4</v>
      </c>
      <c r="R20" s="51">
        <v>3.1</v>
      </c>
      <c r="S20" s="51">
        <v>2.9</v>
      </c>
      <c r="T20" s="51">
        <v>3.1</v>
      </c>
      <c r="U20" s="51">
        <v>1.5</v>
      </c>
      <c r="V20" s="51">
        <v>4.3</v>
      </c>
      <c r="W20" s="51">
        <v>2.8</v>
      </c>
      <c r="X20" s="51">
        <v>2.2999999999999998</v>
      </c>
      <c r="Y20" s="51">
        <v>2.6</v>
      </c>
      <c r="Z20" s="51">
        <v>1.8</v>
      </c>
      <c r="AA20" s="51">
        <v>1.3</v>
      </c>
      <c r="AB20" s="51">
        <v>1.7</v>
      </c>
      <c r="AC20" s="51">
        <v>1.8</v>
      </c>
      <c r="AD20" s="51"/>
      <c r="AE20" s="51"/>
      <c r="AF20" s="51"/>
      <c r="AG20" s="46">
        <f t="shared" si="0"/>
        <v>75.499999999999986</v>
      </c>
      <c r="AH20" s="48"/>
      <c r="AI20" s="48"/>
    </row>
    <row r="21" spans="1:35" s="44" customFormat="1" ht="18.75" customHeight="1" x14ac:dyDescent="0.35">
      <c r="A21" s="60" t="s">
        <v>74</v>
      </c>
      <c r="B21" s="51">
        <v>0.9</v>
      </c>
      <c r="C21" s="51">
        <v>1</v>
      </c>
      <c r="D21" s="51">
        <v>0.4</v>
      </c>
      <c r="E21" s="51">
        <v>0.7</v>
      </c>
      <c r="F21" s="51">
        <v>0.7</v>
      </c>
      <c r="G21" s="51">
        <v>0.9</v>
      </c>
      <c r="H21" s="51">
        <v>1</v>
      </c>
      <c r="I21" s="51">
        <v>0.9</v>
      </c>
      <c r="J21" s="51">
        <v>0.9</v>
      </c>
      <c r="K21" s="51">
        <v>1</v>
      </c>
      <c r="L21" s="51">
        <v>0.7</v>
      </c>
      <c r="M21" s="51">
        <v>1.1000000000000001</v>
      </c>
      <c r="N21" s="51">
        <v>0.9</v>
      </c>
      <c r="O21" s="51">
        <v>0.4</v>
      </c>
      <c r="P21" s="51">
        <v>0.7</v>
      </c>
      <c r="Q21" s="51">
        <v>0.4</v>
      </c>
      <c r="R21" s="51">
        <v>0.4</v>
      </c>
      <c r="S21" s="51">
        <v>0.9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0.9</v>
      </c>
      <c r="AC21" s="51">
        <v>1</v>
      </c>
      <c r="AD21" s="51"/>
      <c r="AE21" s="51"/>
      <c r="AF21" s="51"/>
      <c r="AG21" s="46">
        <f t="shared" si="0"/>
        <v>15.800000000000002</v>
      </c>
      <c r="AH21" s="48"/>
      <c r="AI21" s="48"/>
    </row>
    <row r="22" spans="1:35" s="44" customFormat="1" ht="18.75" customHeight="1" x14ac:dyDescent="0.35">
      <c r="A22" s="60" t="s">
        <v>75</v>
      </c>
      <c r="B22" s="51">
        <v>0</v>
      </c>
      <c r="C22" s="51">
        <v>0</v>
      </c>
      <c r="D22" s="51">
        <v>0</v>
      </c>
      <c r="E22" s="51">
        <v>0</v>
      </c>
      <c r="F22" s="51">
        <v>0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</v>
      </c>
      <c r="N22" s="51">
        <v>1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/>
      <c r="AE22" s="51"/>
      <c r="AF22" s="51"/>
      <c r="AG22" s="46">
        <f t="shared" si="0"/>
        <v>1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>
        <v>2.9</v>
      </c>
      <c r="C29" s="52">
        <v>1.7</v>
      </c>
      <c r="D29" s="52">
        <v>1.8</v>
      </c>
      <c r="E29" s="52">
        <v>2</v>
      </c>
      <c r="F29" s="52">
        <v>1.9</v>
      </c>
      <c r="G29" s="52">
        <v>6.1</v>
      </c>
      <c r="H29" s="52">
        <v>6.8</v>
      </c>
      <c r="I29" s="52">
        <v>7.2</v>
      </c>
      <c r="J29" s="52">
        <v>5.8</v>
      </c>
      <c r="K29" s="52">
        <v>7.3</v>
      </c>
      <c r="L29" s="114">
        <v>8.1</v>
      </c>
      <c r="M29" s="52">
        <v>4.7</v>
      </c>
      <c r="N29" s="114">
        <v>2.8</v>
      </c>
      <c r="O29" s="52">
        <v>1.4</v>
      </c>
      <c r="P29" s="52">
        <v>1.8</v>
      </c>
      <c r="Q29" s="52">
        <v>1.8</v>
      </c>
      <c r="R29" s="52">
        <v>2</v>
      </c>
      <c r="S29" s="52">
        <v>1.8</v>
      </c>
      <c r="T29" s="52">
        <v>3.2</v>
      </c>
      <c r="U29" s="52">
        <v>8.1999999999999993</v>
      </c>
      <c r="V29" s="114">
        <v>8.6999999999999993</v>
      </c>
      <c r="W29" s="52">
        <v>7.3</v>
      </c>
      <c r="X29" s="52">
        <v>2.8</v>
      </c>
      <c r="Y29" s="52">
        <v>1.8</v>
      </c>
      <c r="Z29" s="52">
        <v>1.8</v>
      </c>
      <c r="AA29" s="52">
        <v>1.3</v>
      </c>
      <c r="AB29" s="52">
        <v>2.1</v>
      </c>
      <c r="AC29" s="52">
        <v>2.4</v>
      </c>
      <c r="AD29" s="52"/>
      <c r="AE29" s="52"/>
      <c r="AF29" s="52"/>
      <c r="AG29" s="46">
        <f t="shared" si="0"/>
        <v>107.49999999999999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>
        <v>2</v>
      </c>
      <c r="C31" s="52">
        <v>2.2999999999999998</v>
      </c>
      <c r="D31" s="52">
        <v>0</v>
      </c>
      <c r="E31" s="52">
        <v>0</v>
      </c>
      <c r="F31" s="114">
        <v>0</v>
      </c>
      <c r="G31" s="114">
        <v>1.4</v>
      </c>
      <c r="H31" s="114">
        <v>3.4</v>
      </c>
      <c r="I31" s="52">
        <v>2.6</v>
      </c>
      <c r="J31" s="52">
        <v>4.0999999999999996</v>
      </c>
      <c r="K31" s="114">
        <v>3.5</v>
      </c>
      <c r="L31" s="114">
        <v>4.7</v>
      </c>
      <c r="M31" s="114">
        <v>0</v>
      </c>
      <c r="N31" s="114">
        <v>5.4</v>
      </c>
      <c r="O31" s="114">
        <v>3.2</v>
      </c>
      <c r="P31" s="114">
        <v>1.9</v>
      </c>
      <c r="Q31" s="114">
        <v>3.2</v>
      </c>
      <c r="R31" s="114">
        <v>8.0500000000000007</v>
      </c>
      <c r="S31" s="114">
        <v>4.3</v>
      </c>
      <c r="T31" s="114">
        <v>0</v>
      </c>
      <c r="U31" s="114">
        <v>6.1</v>
      </c>
      <c r="V31" s="114">
        <v>3.2</v>
      </c>
      <c r="W31" s="114">
        <v>1.4</v>
      </c>
      <c r="X31" s="114">
        <v>2.6</v>
      </c>
      <c r="Y31" s="114">
        <v>1.7</v>
      </c>
      <c r="Z31" s="114">
        <v>2.2999999999999998</v>
      </c>
      <c r="AA31" s="114">
        <v>0</v>
      </c>
      <c r="AB31" s="114">
        <v>8.1999999999999993</v>
      </c>
      <c r="AC31" s="114">
        <v>2.2999999999999998</v>
      </c>
      <c r="AD31" s="114"/>
      <c r="AE31" s="114"/>
      <c r="AF31" s="114"/>
      <c r="AG31" s="46">
        <f t="shared" si="0"/>
        <v>77.849999999999994</v>
      </c>
      <c r="AH31" s="48"/>
      <c r="AI31" s="48"/>
    </row>
    <row r="32" spans="1:35" s="44" customFormat="1" ht="18.75" customHeight="1" x14ac:dyDescent="0.35">
      <c r="A32" s="60" t="s">
        <v>178</v>
      </c>
      <c r="B32" s="52">
        <v>0.5</v>
      </c>
      <c r="C32" s="52">
        <v>0.2</v>
      </c>
      <c r="D32" s="52">
        <v>0.4</v>
      </c>
      <c r="E32" s="52">
        <v>0.3</v>
      </c>
      <c r="F32" s="52">
        <v>0.4</v>
      </c>
      <c r="G32" s="52">
        <v>0.4</v>
      </c>
      <c r="H32" s="52">
        <v>1</v>
      </c>
      <c r="I32" s="52">
        <v>0.8</v>
      </c>
      <c r="J32" s="52">
        <v>0.4</v>
      </c>
      <c r="K32" s="52">
        <v>0.2</v>
      </c>
      <c r="L32" s="52">
        <v>0.3</v>
      </c>
      <c r="M32" s="52">
        <v>0.5</v>
      </c>
      <c r="N32" s="52">
        <v>0.3</v>
      </c>
      <c r="O32" s="52">
        <v>0.6</v>
      </c>
      <c r="P32" s="52">
        <v>0.3</v>
      </c>
      <c r="Q32" s="52">
        <v>0.5</v>
      </c>
      <c r="R32" s="52">
        <v>0.2</v>
      </c>
      <c r="S32" s="52">
        <v>0.5</v>
      </c>
      <c r="T32" s="52">
        <v>0.4</v>
      </c>
      <c r="U32" s="52">
        <v>3.2</v>
      </c>
      <c r="V32" s="52">
        <v>0.2</v>
      </c>
      <c r="W32" s="52">
        <v>0.3</v>
      </c>
      <c r="X32" s="52">
        <v>0.9</v>
      </c>
      <c r="Y32" s="52">
        <v>0.2</v>
      </c>
      <c r="Z32" s="52">
        <v>0.5</v>
      </c>
      <c r="AA32" s="52">
        <v>0.3</v>
      </c>
      <c r="AB32" s="52">
        <v>0.2</v>
      </c>
      <c r="AC32" s="52">
        <v>0.3</v>
      </c>
      <c r="AD32" s="52"/>
      <c r="AE32" s="52"/>
      <c r="AF32" s="52"/>
      <c r="AG32" s="46">
        <f t="shared" si="0"/>
        <v>14.299999999999999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21.8</v>
      </c>
      <c r="C33" s="51">
        <f t="shared" ref="C33:AF33" si="1">SUM(C3:C32)</f>
        <v>20.100000000000001</v>
      </c>
      <c r="D33" s="51">
        <f t="shared" si="1"/>
        <v>21.7</v>
      </c>
      <c r="E33" s="51">
        <f t="shared" si="1"/>
        <v>19.900000000000002</v>
      </c>
      <c r="F33" s="51">
        <f t="shared" si="1"/>
        <v>21.699999999999996</v>
      </c>
      <c r="G33" s="51">
        <f t="shared" si="1"/>
        <v>23.4</v>
      </c>
      <c r="H33" s="51">
        <f t="shared" si="1"/>
        <v>26.2</v>
      </c>
      <c r="I33" s="51">
        <f t="shared" si="1"/>
        <v>25.400000000000002</v>
      </c>
      <c r="J33" s="51">
        <f t="shared" si="1"/>
        <v>32.6</v>
      </c>
      <c r="K33" s="51">
        <f t="shared" si="1"/>
        <v>29.599999999999998</v>
      </c>
      <c r="L33" s="51">
        <f t="shared" si="1"/>
        <v>35.239999999999995</v>
      </c>
      <c r="M33" s="51">
        <f t="shared" si="1"/>
        <v>20.6</v>
      </c>
      <c r="N33" s="51">
        <f t="shared" si="1"/>
        <v>28.900000000000002</v>
      </c>
      <c r="O33" s="51">
        <f t="shared" si="1"/>
        <v>21.5</v>
      </c>
      <c r="P33" s="51">
        <f t="shared" si="1"/>
        <v>22.7</v>
      </c>
      <c r="Q33" s="51">
        <f t="shared" si="1"/>
        <v>18.55</v>
      </c>
      <c r="R33" s="51">
        <f t="shared" si="1"/>
        <v>23.46</v>
      </c>
      <c r="S33" s="51">
        <f t="shared" si="1"/>
        <v>23.25</v>
      </c>
      <c r="T33" s="51">
        <f t="shared" si="1"/>
        <v>17.009999999999998</v>
      </c>
      <c r="U33" s="51">
        <f t="shared" si="1"/>
        <v>33.700000000000003</v>
      </c>
      <c r="V33" s="51">
        <f t="shared" si="1"/>
        <v>31.4</v>
      </c>
      <c r="W33" s="51">
        <f t="shared" si="1"/>
        <v>27.2</v>
      </c>
      <c r="X33" s="51">
        <f t="shared" si="1"/>
        <v>27.000000000000004</v>
      </c>
      <c r="Y33" s="51">
        <f t="shared" si="1"/>
        <v>20</v>
      </c>
      <c r="Z33" s="51">
        <f t="shared" si="1"/>
        <v>21.6</v>
      </c>
      <c r="AA33" s="51">
        <f t="shared" si="1"/>
        <v>23.900000000000002</v>
      </c>
      <c r="AB33" s="51">
        <f t="shared" si="1"/>
        <v>27.1</v>
      </c>
      <c r="AC33" s="51">
        <f t="shared" si="1"/>
        <v>22.2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687.71</v>
      </c>
      <c r="AH33" s="57"/>
      <c r="AI33" s="57"/>
    </row>
    <row r="34" spans="1:35" s="2" customFormat="1" x14ac:dyDescent="0.25">
      <c r="AG34" s="24">
        <f>SUM(AG3:AG31)</f>
        <v>673.41000000000008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" width="8.140625" customWidth="1"/>
    <col min="4" max="4" width="11.28515625" customWidth="1"/>
    <col min="5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>
        <v>0.2</v>
      </c>
      <c r="C3" s="50">
        <v>0.1</v>
      </c>
      <c r="D3" s="49">
        <v>0.5</v>
      </c>
      <c r="E3" s="49">
        <v>2</v>
      </c>
      <c r="F3" s="49">
        <v>2</v>
      </c>
      <c r="G3" s="49">
        <v>3</v>
      </c>
      <c r="H3" s="49">
        <v>2</v>
      </c>
      <c r="I3" s="50">
        <v>0.1</v>
      </c>
      <c r="J3" s="49">
        <v>0.2</v>
      </c>
      <c r="K3" s="50">
        <v>0.3</v>
      </c>
      <c r="L3" s="49">
        <v>0.5</v>
      </c>
      <c r="M3" s="50">
        <v>2</v>
      </c>
      <c r="N3" s="49">
        <v>2</v>
      </c>
      <c r="O3" s="49">
        <v>3</v>
      </c>
      <c r="P3" s="50">
        <v>2</v>
      </c>
      <c r="Q3" s="49">
        <v>1</v>
      </c>
      <c r="R3" s="49">
        <v>3</v>
      </c>
      <c r="S3" s="50">
        <v>2.8</v>
      </c>
      <c r="T3" s="50">
        <v>1.5</v>
      </c>
      <c r="U3" s="50">
        <v>3</v>
      </c>
      <c r="V3" s="50">
        <v>3.54</v>
      </c>
      <c r="W3" s="49">
        <v>4</v>
      </c>
      <c r="X3" s="49">
        <v>0</v>
      </c>
      <c r="Y3" s="49">
        <v>0</v>
      </c>
      <c r="Z3" s="49">
        <v>3.5</v>
      </c>
      <c r="AA3" s="49">
        <v>2.5</v>
      </c>
      <c r="AB3" s="49">
        <v>1</v>
      </c>
      <c r="AC3" s="49">
        <v>4.5</v>
      </c>
      <c r="AD3" s="49">
        <v>3</v>
      </c>
      <c r="AE3" s="49">
        <v>2.5</v>
      </c>
      <c r="AF3" s="49">
        <v>1.5</v>
      </c>
      <c r="AG3" s="46">
        <f>SUM(B3:AF3)</f>
        <v>57.24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>
        <v>0.3</v>
      </c>
      <c r="C8" s="51">
        <v>0.4</v>
      </c>
      <c r="D8" s="51">
        <v>0.5</v>
      </c>
      <c r="E8" s="51">
        <v>0.5</v>
      </c>
      <c r="F8" s="51">
        <v>0.4</v>
      </c>
      <c r="G8" s="51">
        <v>0.7</v>
      </c>
      <c r="H8" s="51">
        <v>0.6</v>
      </c>
      <c r="I8" s="51">
        <v>1</v>
      </c>
      <c r="J8" s="51">
        <v>1</v>
      </c>
      <c r="K8" s="51">
        <v>1</v>
      </c>
      <c r="L8" s="51">
        <v>0.5</v>
      </c>
      <c r="M8" s="51">
        <v>2.2999999999999998</v>
      </c>
      <c r="N8" s="51">
        <v>0.4</v>
      </c>
      <c r="O8" s="51">
        <v>0.7</v>
      </c>
      <c r="P8" s="51">
        <v>0.6</v>
      </c>
      <c r="Q8" s="51">
        <v>1</v>
      </c>
      <c r="R8" s="51">
        <v>0.7</v>
      </c>
      <c r="S8" s="51">
        <v>1</v>
      </c>
      <c r="T8" s="51">
        <v>0.5</v>
      </c>
      <c r="U8" s="51">
        <v>0.5</v>
      </c>
      <c r="V8" s="51">
        <v>0.4</v>
      </c>
      <c r="W8" s="51">
        <v>0.7</v>
      </c>
      <c r="X8" s="51">
        <v>0.6</v>
      </c>
      <c r="Y8" s="51">
        <v>1</v>
      </c>
      <c r="Z8" s="51">
        <v>0.7</v>
      </c>
      <c r="AA8" s="51">
        <v>1.1000000000000001</v>
      </c>
      <c r="AB8" s="51">
        <v>0.5</v>
      </c>
      <c r="AC8" s="51">
        <v>0.8</v>
      </c>
      <c r="AD8" s="51">
        <v>0.8</v>
      </c>
      <c r="AE8" s="51">
        <v>1</v>
      </c>
      <c r="AF8" s="51">
        <v>0.8</v>
      </c>
      <c r="AG8" s="46">
        <f t="shared" si="0"/>
        <v>23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9.6999999999999993</v>
      </c>
      <c r="C10" s="51">
        <v>8.1999999999999993</v>
      </c>
      <c r="D10" s="51">
        <v>6.4</v>
      </c>
      <c r="E10" s="51">
        <v>7.2</v>
      </c>
      <c r="F10" s="51">
        <v>7</v>
      </c>
      <c r="G10" s="51">
        <v>6.5</v>
      </c>
      <c r="H10" s="51">
        <v>5.21</v>
      </c>
      <c r="I10" s="51">
        <v>9.6999999999999993</v>
      </c>
      <c r="J10" s="51">
        <v>10.199999999999999</v>
      </c>
      <c r="K10" s="51">
        <v>11.5</v>
      </c>
      <c r="L10" s="51">
        <v>10.5</v>
      </c>
      <c r="M10" s="51">
        <v>9.6999999999999993</v>
      </c>
      <c r="N10" s="51">
        <v>6.8</v>
      </c>
      <c r="O10" s="51">
        <v>12.2</v>
      </c>
      <c r="P10" s="51">
        <v>5.21</v>
      </c>
      <c r="Q10" s="51">
        <v>3.21</v>
      </c>
      <c r="R10" s="51">
        <v>11.15</v>
      </c>
      <c r="S10" s="51">
        <v>8.0500000000000007</v>
      </c>
      <c r="T10" s="51">
        <v>10.5</v>
      </c>
      <c r="U10" s="51">
        <v>7.1</v>
      </c>
      <c r="V10" s="51">
        <v>6.1</v>
      </c>
      <c r="W10" s="51">
        <v>7.13</v>
      </c>
      <c r="X10" s="51">
        <v>4.41</v>
      </c>
      <c r="Y10" s="51">
        <v>6.31</v>
      </c>
      <c r="Z10" s="51">
        <v>11.15</v>
      </c>
      <c r="AA10" s="51">
        <v>9.0500000000000007</v>
      </c>
      <c r="AB10" s="51">
        <v>11.05</v>
      </c>
      <c r="AC10" s="51">
        <v>8.11</v>
      </c>
      <c r="AD10" s="51">
        <v>5.0999999999999996</v>
      </c>
      <c r="AE10" s="51">
        <v>6.15</v>
      </c>
      <c r="AF10" s="51">
        <v>7.21</v>
      </c>
      <c r="AG10" s="46">
        <f t="shared" si="0"/>
        <v>247.80000000000004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3.3</v>
      </c>
      <c r="C12" s="145">
        <v>4</v>
      </c>
      <c r="D12" s="145">
        <v>1.5</v>
      </c>
      <c r="E12" s="145">
        <v>1.9</v>
      </c>
      <c r="F12" s="51">
        <v>3</v>
      </c>
      <c r="G12" s="51">
        <v>2.2999999999999998</v>
      </c>
      <c r="H12" s="51">
        <v>2.6</v>
      </c>
      <c r="I12" s="51">
        <v>2.1</v>
      </c>
      <c r="J12" s="51">
        <v>1.9</v>
      </c>
      <c r="K12" s="51">
        <v>1.3</v>
      </c>
      <c r="L12" s="51">
        <v>1.5</v>
      </c>
      <c r="M12" s="51">
        <v>1</v>
      </c>
      <c r="N12" s="51">
        <v>1.3</v>
      </c>
      <c r="O12" s="51">
        <v>1.3</v>
      </c>
      <c r="P12" s="51">
        <v>1.9</v>
      </c>
      <c r="Q12" s="51">
        <v>1.3</v>
      </c>
      <c r="R12" s="51">
        <v>1.5</v>
      </c>
      <c r="S12" s="51">
        <v>1.3</v>
      </c>
      <c r="T12" s="51">
        <v>0</v>
      </c>
      <c r="U12" s="51">
        <v>1.3</v>
      </c>
      <c r="V12" s="51">
        <v>1.3</v>
      </c>
      <c r="W12" s="51">
        <v>1.5</v>
      </c>
      <c r="X12" s="51">
        <v>1.3</v>
      </c>
      <c r="Y12" s="51">
        <v>1.3</v>
      </c>
      <c r="Z12" s="51">
        <v>1</v>
      </c>
      <c r="AA12" s="51">
        <v>1.3</v>
      </c>
      <c r="AB12" s="51">
        <v>1</v>
      </c>
      <c r="AC12" s="51">
        <v>1</v>
      </c>
      <c r="AD12" s="51">
        <v>1.2</v>
      </c>
      <c r="AE12" s="51">
        <v>1.3</v>
      </c>
      <c r="AF12" s="51">
        <v>1</v>
      </c>
      <c r="AG12" s="46">
        <f t="shared" si="0"/>
        <v>49.499999999999986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2</v>
      </c>
      <c r="C14" s="51">
        <v>1.2</v>
      </c>
      <c r="D14" s="51">
        <v>2</v>
      </c>
      <c r="E14" s="51">
        <v>2.5</v>
      </c>
      <c r="F14" s="51">
        <v>3</v>
      </c>
      <c r="G14" s="51">
        <v>2</v>
      </c>
      <c r="H14" s="51">
        <v>2.5</v>
      </c>
      <c r="I14" s="51">
        <v>3</v>
      </c>
      <c r="J14" s="51">
        <v>2.5</v>
      </c>
      <c r="K14" s="51">
        <v>3</v>
      </c>
      <c r="L14" s="51">
        <v>2</v>
      </c>
      <c r="M14" s="51">
        <v>2.5</v>
      </c>
      <c r="N14" s="51">
        <v>3</v>
      </c>
      <c r="O14" s="51">
        <v>3.5</v>
      </c>
      <c r="P14" s="51">
        <v>3</v>
      </c>
      <c r="Q14" s="51">
        <v>2</v>
      </c>
      <c r="R14" s="51">
        <v>0.5</v>
      </c>
      <c r="S14" s="51">
        <v>0.3</v>
      </c>
      <c r="T14" s="51">
        <v>0.5</v>
      </c>
      <c r="U14" s="51">
        <v>0.3</v>
      </c>
      <c r="V14" s="51">
        <v>0.2</v>
      </c>
      <c r="W14" s="51">
        <v>0.1</v>
      </c>
      <c r="X14" s="51">
        <v>0.5</v>
      </c>
      <c r="Y14" s="114">
        <v>0.2</v>
      </c>
      <c r="Z14" s="52">
        <v>3</v>
      </c>
      <c r="AA14" s="114">
        <v>3.5</v>
      </c>
      <c r="AB14" s="52">
        <v>3.8</v>
      </c>
      <c r="AC14" s="52">
        <v>3</v>
      </c>
      <c r="AD14" s="52">
        <v>2</v>
      </c>
      <c r="AE14" s="52">
        <v>2.5</v>
      </c>
      <c r="AF14" s="52">
        <v>2</v>
      </c>
      <c r="AG14" s="46">
        <f t="shared" si="0"/>
        <v>62.1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>
        <v>0</v>
      </c>
      <c r="C17" s="51">
        <v>0</v>
      </c>
      <c r="D17" s="51">
        <v>1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</v>
      </c>
      <c r="N17" s="51">
        <v>1</v>
      </c>
      <c r="O17" s="51">
        <v>0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1</v>
      </c>
      <c r="X17" s="51">
        <v>0</v>
      </c>
      <c r="Y17" s="51">
        <v>0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46">
        <f t="shared" si="0"/>
        <v>3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v>2</v>
      </c>
      <c r="C20" s="51">
        <v>3.3</v>
      </c>
      <c r="D20" s="51">
        <v>2.5</v>
      </c>
      <c r="E20" s="51">
        <v>1.3</v>
      </c>
      <c r="F20" s="51">
        <v>3.3</v>
      </c>
      <c r="G20" s="51">
        <v>4</v>
      </c>
      <c r="H20" s="51">
        <v>4.5999999999999996</v>
      </c>
      <c r="I20" s="51">
        <v>3</v>
      </c>
      <c r="J20" s="51">
        <v>3.2</v>
      </c>
      <c r="K20" s="51">
        <v>4.3</v>
      </c>
      <c r="L20" s="51">
        <v>3.5</v>
      </c>
      <c r="M20" s="51">
        <v>2.7</v>
      </c>
      <c r="N20" s="51">
        <v>4.0999999999999996</v>
      </c>
      <c r="O20" s="51">
        <v>3.4</v>
      </c>
      <c r="P20" s="51">
        <v>4.2</v>
      </c>
      <c r="Q20" s="51">
        <v>4.3</v>
      </c>
      <c r="R20" s="51">
        <v>3.5</v>
      </c>
      <c r="S20" s="51">
        <v>3.7</v>
      </c>
      <c r="T20" s="51">
        <v>2.8</v>
      </c>
      <c r="U20" s="51">
        <v>5.7</v>
      </c>
      <c r="V20" s="51">
        <v>4</v>
      </c>
      <c r="W20" s="51">
        <v>4.5999999999999996</v>
      </c>
      <c r="X20" s="51">
        <v>3.5</v>
      </c>
      <c r="Y20" s="51">
        <v>3.8</v>
      </c>
      <c r="Z20" s="51">
        <v>4.4000000000000004</v>
      </c>
      <c r="AA20" s="51">
        <v>4.5</v>
      </c>
      <c r="AB20" s="51">
        <v>4.5999999999999996</v>
      </c>
      <c r="AC20" s="51">
        <v>5.2</v>
      </c>
      <c r="AD20" s="51">
        <v>4.4000000000000004</v>
      </c>
      <c r="AE20" s="51">
        <v>3.8</v>
      </c>
      <c r="AF20" s="51">
        <v>4.2</v>
      </c>
      <c r="AG20" s="46">
        <f t="shared" si="0"/>
        <v>116.4</v>
      </c>
      <c r="AH20" s="48"/>
      <c r="AI20" s="48"/>
    </row>
    <row r="21" spans="1:35" s="44" customFormat="1" ht="18.75" customHeight="1" x14ac:dyDescent="0.35">
      <c r="A21" s="60" t="s">
        <v>74</v>
      </c>
      <c r="B21" s="51">
        <v>0.4</v>
      </c>
      <c r="C21" s="51">
        <v>0.6</v>
      </c>
      <c r="D21" s="51">
        <v>0</v>
      </c>
      <c r="E21" s="51">
        <v>0.9</v>
      </c>
      <c r="F21" s="51">
        <v>0</v>
      </c>
      <c r="G21" s="51">
        <v>0.4</v>
      </c>
      <c r="H21" s="51">
        <v>0</v>
      </c>
      <c r="I21" s="51">
        <v>0</v>
      </c>
      <c r="J21" s="51">
        <v>0</v>
      </c>
      <c r="K21" s="51">
        <v>0</v>
      </c>
      <c r="L21" s="51">
        <v>0.5</v>
      </c>
      <c r="M21" s="51">
        <v>0.3</v>
      </c>
      <c r="N21" s="51">
        <v>0</v>
      </c>
      <c r="O21" s="51">
        <v>0</v>
      </c>
      <c r="P21" s="51">
        <v>1.25</v>
      </c>
      <c r="Q21" s="51">
        <v>0.4</v>
      </c>
      <c r="R21" s="51">
        <v>0.9</v>
      </c>
      <c r="S21" s="51">
        <v>0.7</v>
      </c>
      <c r="T21" s="51">
        <v>1</v>
      </c>
      <c r="U21" s="51">
        <v>0.5</v>
      </c>
      <c r="V21" s="51">
        <v>0.1</v>
      </c>
      <c r="W21" s="51">
        <v>0.3</v>
      </c>
      <c r="X21" s="51">
        <v>0.5</v>
      </c>
      <c r="Y21" s="51">
        <v>0.3</v>
      </c>
      <c r="Z21" s="51">
        <v>0.1</v>
      </c>
      <c r="AA21" s="51">
        <v>0</v>
      </c>
      <c r="AB21" s="51">
        <v>0</v>
      </c>
      <c r="AC21" s="51">
        <v>0.9</v>
      </c>
      <c r="AD21" s="51">
        <v>0.95</v>
      </c>
      <c r="AE21" s="51">
        <v>0.7</v>
      </c>
      <c r="AF21" s="51">
        <v>0</v>
      </c>
      <c r="AG21" s="46">
        <f t="shared" si="0"/>
        <v>11.7</v>
      </c>
      <c r="AH21" s="48"/>
      <c r="AI21" s="48"/>
    </row>
    <row r="22" spans="1:35" s="44" customFormat="1" ht="18.75" customHeight="1" x14ac:dyDescent="0.35">
      <c r="A22" s="60" t="s">
        <v>75</v>
      </c>
      <c r="B22" s="51">
        <v>0</v>
      </c>
      <c r="C22" s="51">
        <v>0</v>
      </c>
      <c r="D22" s="51">
        <v>2.1</v>
      </c>
      <c r="E22" s="51">
        <v>0</v>
      </c>
      <c r="F22" s="51">
        <v>0</v>
      </c>
      <c r="G22" s="51">
        <v>0</v>
      </c>
      <c r="H22" s="51">
        <v>0.5</v>
      </c>
      <c r="I22" s="51">
        <v>0.5</v>
      </c>
      <c r="J22" s="51">
        <v>0.5</v>
      </c>
      <c r="K22" s="51">
        <v>0.3</v>
      </c>
      <c r="L22" s="51">
        <v>0</v>
      </c>
      <c r="M22" s="51">
        <v>0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3.1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4.0999999999999996</v>
      </c>
      <c r="AG22" s="46">
        <f t="shared" si="0"/>
        <v>11.1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2.2999999999999998</v>
      </c>
      <c r="C24" s="51">
        <v>2.2000000000000002</v>
      </c>
      <c r="D24" s="51">
        <v>3.6</v>
      </c>
      <c r="E24" s="51">
        <v>1.5</v>
      </c>
      <c r="F24" s="51">
        <v>4</v>
      </c>
      <c r="G24" s="51">
        <v>3.2</v>
      </c>
      <c r="H24" s="51">
        <v>3.2</v>
      </c>
      <c r="I24" s="51">
        <v>2.1</v>
      </c>
      <c r="J24" s="51">
        <v>1.9</v>
      </c>
      <c r="K24" s="51">
        <v>3.4</v>
      </c>
      <c r="L24" s="51">
        <v>3.6</v>
      </c>
      <c r="M24" s="51">
        <v>3.2</v>
      </c>
      <c r="N24" s="51">
        <v>2.8</v>
      </c>
      <c r="O24" s="51">
        <v>2.7</v>
      </c>
      <c r="P24" s="51">
        <v>3.6</v>
      </c>
      <c r="Q24" s="51">
        <v>3.3</v>
      </c>
      <c r="R24" s="51">
        <v>2.9</v>
      </c>
      <c r="S24" s="51">
        <v>2.2999999999999998</v>
      </c>
      <c r="T24" s="51">
        <v>2.7</v>
      </c>
      <c r="U24" s="51">
        <v>2.1</v>
      </c>
      <c r="V24" s="51">
        <v>3</v>
      </c>
      <c r="W24" s="51">
        <v>2.2999999999999998</v>
      </c>
      <c r="X24" s="51">
        <v>3.4</v>
      </c>
      <c r="Y24" s="51">
        <v>1.9</v>
      </c>
      <c r="Z24" s="51">
        <v>3.6</v>
      </c>
      <c r="AA24" s="51">
        <v>2.2000000000000002</v>
      </c>
      <c r="AB24" s="51">
        <v>3.9</v>
      </c>
      <c r="AC24" s="51">
        <v>3</v>
      </c>
      <c r="AD24" s="51">
        <v>2</v>
      </c>
      <c r="AE24" s="51">
        <v>1.7</v>
      </c>
      <c r="AF24" s="51">
        <v>2.8</v>
      </c>
      <c r="AG24" s="46">
        <f t="shared" si="0"/>
        <v>86.4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114"/>
      <c r="C28" s="114"/>
      <c r="D28" s="114"/>
      <c r="E28" s="114"/>
      <c r="F28" s="52"/>
      <c r="G28" s="114"/>
      <c r="H28" s="52"/>
      <c r="I28" s="114"/>
      <c r="J28" s="114"/>
      <c r="K28" s="52"/>
      <c r="L28" s="114"/>
      <c r="M28" s="114"/>
      <c r="N28" s="114"/>
      <c r="O28" s="114"/>
      <c r="P28" s="114"/>
      <c r="Q28" s="114"/>
      <c r="R28" s="52"/>
      <c r="S28" s="52"/>
      <c r="T28" s="114"/>
      <c r="U28" s="52"/>
      <c r="V28" s="114"/>
      <c r="W28" s="52"/>
      <c r="X28" s="52"/>
      <c r="Y28" s="114"/>
      <c r="Z28" s="114"/>
      <c r="AA28" s="114"/>
      <c r="AB28" s="52"/>
      <c r="AC28" s="114"/>
      <c r="AD28" s="114"/>
      <c r="AE28" s="114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>
        <f>1.1+0.7</f>
        <v>1.8</v>
      </c>
      <c r="C29" s="52">
        <f>0.9+1.6</f>
        <v>2.5</v>
      </c>
      <c r="D29" s="52">
        <f>1.3+1.6</f>
        <v>2.9000000000000004</v>
      </c>
      <c r="E29" s="52">
        <f>1.3+1.9</f>
        <v>3.2</v>
      </c>
      <c r="F29" s="52">
        <f>1.7+0.7</f>
        <v>2.4</v>
      </c>
      <c r="G29" s="52">
        <f>1.1+0.9</f>
        <v>2</v>
      </c>
      <c r="H29" s="52">
        <f>1.9+1.3</f>
        <v>3.2</v>
      </c>
      <c r="I29" s="52">
        <f>1.1+1.3</f>
        <v>2.4000000000000004</v>
      </c>
      <c r="J29" s="52">
        <v>1.3</v>
      </c>
      <c r="K29" s="52">
        <v>1.6</v>
      </c>
      <c r="L29" s="114">
        <v>1.5</v>
      </c>
      <c r="M29" s="52">
        <v>1</v>
      </c>
      <c r="N29" s="114">
        <v>3.2</v>
      </c>
      <c r="O29" s="114">
        <v>2.8</v>
      </c>
      <c r="P29" s="52">
        <v>1.9</v>
      </c>
      <c r="Q29" s="52">
        <v>2.9</v>
      </c>
      <c r="R29" s="52">
        <v>2.6</v>
      </c>
      <c r="S29" s="114">
        <v>1.8</v>
      </c>
      <c r="T29" s="52">
        <v>1.1000000000000001</v>
      </c>
      <c r="U29" s="52">
        <v>0.9</v>
      </c>
      <c r="V29" s="114">
        <v>3.2</v>
      </c>
      <c r="W29" s="52">
        <v>1.3</v>
      </c>
      <c r="X29" s="52">
        <v>3.1</v>
      </c>
      <c r="Y29" s="52">
        <v>2.6</v>
      </c>
      <c r="Z29" s="114">
        <v>3.1</v>
      </c>
      <c r="AA29" s="52">
        <v>1.8</v>
      </c>
      <c r="AB29" s="52">
        <v>2.2999999999999998</v>
      </c>
      <c r="AC29" s="52">
        <v>1.9</v>
      </c>
      <c r="AD29" s="52">
        <v>2.8</v>
      </c>
      <c r="AE29" s="52">
        <v>2.6</v>
      </c>
      <c r="AF29" s="52">
        <v>3.2</v>
      </c>
      <c r="AG29" s="46">
        <f t="shared" si="0"/>
        <v>70.899999999999991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>
        <f>4.4+7.1+5.2</f>
        <v>16.7</v>
      </c>
      <c r="C31" s="51">
        <f>9.8+8.1+6</f>
        <v>23.9</v>
      </c>
      <c r="D31" s="51">
        <f>4.3+7.1+6.2</f>
        <v>17.599999999999998</v>
      </c>
      <c r="E31" s="51">
        <f>4.4+4.4+6.5</f>
        <v>15.3</v>
      </c>
      <c r="F31" s="51">
        <f>5.3+6.1+7.1</f>
        <v>18.5</v>
      </c>
      <c r="G31" s="51">
        <f>7.2+4.5+3.4</f>
        <v>15.1</v>
      </c>
      <c r="H31" s="51">
        <f>7.5+4.3+4.2</f>
        <v>16</v>
      </c>
      <c r="I31" s="51">
        <f>8.3+4.9+9.9</f>
        <v>23.1</v>
      </c>
      <c r="J31" s="51">
        <f>9.9+4.3+6.9</f>
        <v>21.1</v>
      </c>
      <c r="K31" s="51">
        <f>9.8+10.5+4.3</f>
        <v>24.6</v>
      </c>
      <c r="L31" s="51">
        <f>10.55+9.45+7.45</f>
        <v>27.45</v>
      </c>
      <c r="M31" s="51">
        <f>4+7.3+6.1</f>
        <v>17.399999999999999</v>
      </c>
      <c r="N31" s="51">
        <f>9.4+3.4+5.1</f>
        <v>17.899999999999999</v>
      </c>
      <c r="O31" s="51">
        <f>10.4+7.4+3.3</f>
        <v>21.1</v>
      </c>
      <c r="P31" s="51">
        <f>7+6.4+5</f>
        <v>18.399999999999999</v>
      </c>
      <c r="Q31" s="51">
        <f>7.5+10.9+4.3</f>
        <v>22.7</v>
      </c>
      <c r="R31" s="51">
        <f>7.1+6+4.1</f>
        <v>17.2</v>
      </c>
      <c r="S31" s="51">
        <f>4.2+5+6.2</f>
        <v>15.399999999999999</v>
      </c>
      <c r="T31" s="51">
        <f>4.17+4.2+7.3</f>
        <v>15.670000000000002</v>
      </c>
      <c r="U31" s="51">
        <f>7+6+5.1</f>
        <v>18.100000000000001</v>
      </c>
      <c r="V31" s="51">
        <f>8.2+5.3+4.4</f>
        <v>17.899999999999999</v>
      </c>
      <c r="W31" s="51">
        <f>6.4+5.4+3.4</f>
        <v>15.200000000000001</v>
      </c>
      <c r="X31" s="51">
        <f>7.1+6.4+5.4</f>
        <v>18.899999999999999</v>
      </c>
      <c r="Y31" s="51">
        <f>10.9+4.3+6.1</f>
        <v>21.299999999999997</v>
      </c>
      <c r="Z31" s="51">
        <f>7+7+6</f>
        <v>20</v>
      </c>
      <c r="AA31" s="51">
        <f>9.8+9.5+4.3</f>
        <v>23.6</v>
      </c>
      <c r="AB31" s="51">
        <f>6+4+3</f>
        <v>13</v>
      </c>
      <c r="AC31" s="51">
        <f>6+7+5</f>
        <v>18</v>
      </c>
      <c r="AD31" s="51">
        <f>6+7+5</f>
        <v>18</v>
      </c>
      <c r="AE31" s="51">
        <f>8.1+5.5+5.1</f>
        <v>18.7</v>
      </c>
      <c r="AF31" s="51">
        <f>6.4+9.8+7.5</f>
        <v>23.700000000000003</v>
      </c>
      <c r="AG31" s="46">
        <f t="shared" si="0"/>
        <v>591.52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38.700000000000003</v>
      </c>
      <c r="C33" s="51">
        <f t="shared" ref="C33:AF33" si="1">SUM(C3:C32)</f>
        <v>46.4</v>
      </c>
      <c r="D33" s="51">
        <f t="shared" si="1"/>
        <v>40.599999999999994</v>
      </c>
      <c r="E33" s="51">
        <f t="shared" si="1"/>
        <v>36.299999999999997</v>
      </c>
      <c r="F33" s="51">
        <f t="shared" si="1"/>
        <v>43.599999999999994</v>
      </c>
      <c r="G33" s="51">
        <f t="shared" si="1"/>
        <v>39.199999999999996</v>
      </c>
      <c r="H33" s="51">
        <f t="shared" si="1"/>
        <v>40.409999999999997</v>
      </c>
      <c r="I33" s="51">
        <f t="shared" si="1"/>
        <v>47</v>
      </c>
      <c r="J33" s="51">
        <f t="shared" si="1"/>
        <v>43.8</v>
      </c>
      <c r="K33" s="51">
        <f t="shared" si="1"/>
        <v>51.300000000000004</v>
      </c>
      <c r="L33" s="51">
        <f t="shared" si="1"/>
        <v>51.55</v>
      </c>
      <c r="M33" s="51">
        <f t="shared" si="1"/>
        <v>42.099999999999994</v>
      </c>
      <c r="N33" s="51">
        <f t="shared" si="1"/>
        <v>42.5</v>
      </c>
      <c r="O33" s="51">
        <f t="shared" si="1"/>
        <v>50.7</v>
      </c>
      <c r="P33" s="51">
        <f t="shared" si="1"/>
        <v>42.06</v>
      </c>
      <c r="Q33" s="51">
        <f t="shared" si="1"/>
        <v>42.11</v>
      </c>
      <c r="R33" s="51">
        <f t="shared" si="1"/>
        <v>43.95</v>
      </c>
      <c r="S33" s="51">
        <f t="shared" si="1"/>
        <v>37.35</v>
      </c>
      <c r="T33" s="51">
        <f t="shared" si="1"/>
        <v>39.370000000000005</v>
      </c>
      <c r="U33" s="51">
        <f t="shared" si="1"/>
        <v>39.5</v>
      </c>
      <c r="V33" s="51">
        <f t="shared" si="1"/>
        <v>39.739999999999995</v>
      </c>
      <c r="W33" s="51">
        <f t="shared" si="1"/>
        <v>38.130000000000003</v>
      </c>
      <c r="X33" s="51">
        <f t="shared" si="1"/>
        <v>36.209999999999994</v>
      </c>
      <c r="Y33" s="51">
        <f t="shared" si="1"/>
        <v>38.709999999999994</v>
      </c>
      <c r="Z33" s="51">
        <f t="shared" si="1"/>
        <v>50.550000000000004</v>
      </c>
      <c r="AA33" s="51">
        <f t="shared" si="1"/>
        <v>49.550000000000004</v>
      </c>
      <c r="AB33" s="51">
        <f t="shared" si="1"/>
        <v>41.150000000000006</v>
      </c>
      <c r="AC33" s="51">
        <f t="shared" si="1"/>
        <v>46.41</v>
      </c>
      <c r="AD33" s="51">
        <f t="shared" si="1"/>
        <v>40.25</v>
      </c>
      <c r="AE33" s="51">
        <f t="shared" si="1"/>
        <v>40.950000000000003</v>
      </c>
      <c r="AF33" s="51">
        <f t="shared" si="1"/>
        <v>50.510000000000005</v>
      </c>
      <c r="AG33" s="56">
        <f>SUM(B33:AF33)</f>
        <v>1330.6600000000003</v>
      </c>
      <c r="AH33" s="57"/>
      <c r="AI33" s="57"/>
    </row>
    <row r="34" spans="1:35" s="2" customFormat="1" x14ac:dyDescent="0.25">
      <c r="AG34" s="24">
        <f>SUM(AG3:AG31)</f>
        <v>1330.66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" width="8.140625" customWidth="1"/>
    <col min="4" max="4" width="11.28515625" customWidth="1"/>
    <col min="5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50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3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>
        <v>2.5</v>
      </c>
      <c r="C8" s="51">
        <v>3</v>
      </c>
      <c r="D8" s="51">
        <v>3</v>
      </c>
      <c r="E8" s="51">
        <v>2.9</v>
      </c>
      <c r="F8" s="51">
        <v>2.8</v>
      </c>
      <c r="G8" s="51">
        <v>2.2000000000000002</v>
      </c>
      <c r="H8" s="51">
        <v>2.5</v>
      </c>
      <c r="I8" s="51">
        <v>2.6</v>
      </c>
      <c r="J8" s="51">
        <v>2</v>
      </c>
      <c r="K8" s="51">
        <v>1.9</v>
      </c>
      <c r="L8" s="51">
        <v>1.5</v>
      </c>
      <c r="M8" s="51">
        <v>2.9</v>
      </c>
      <c r="N8" s="51">
        <v>2</v>
      </c>
      <c r="O8" s="51">
        <v>2.9</v>
      </c>
      <c r="P8" s="51">
        <v>2.5</v>
      </c>
      <c r="Q8" s="51">
        <v>2.6</v>
      </c>
      <c r="R8" s="51">
        <v>2</v>
      </c>
      <c r="S8" s="51">
        <v>1.9</v>
      </c>
      <c r="T8" s="51">
        <v>1.2</v>
      </c>
      <c r="U8" s="51">
        <v>1.9</v>
      </c>
      <c r="V8" s="51">
        <v>2</v>
      </c>
      <c r="W8" s="51">
        <v>2.1</v>
      </c>
      <c r="X8" s="51">
        <v>2.1</v>
      </c>
      <c r="Y8" s="51">
        <v>2</v>
      </c>
      <c r="Z8" s="51">
        <v>1.9</v>
      </c>
      <c r="AA8" s="51">
        <v>1.8</v>
      </c>
      <c r="AB8" s="51">
        <v>1.2</v>
      </c>
      <c r="AC8" s="51">
        <v>1.9</v>
      </c>
      <c r="AD8" s="51">
        <v>2</v>
      </c>
      <c r="AE8" s="51">
        <v>2.1</v>
      </c>
      <c r="AF8" s="51"/>
      <c r="AG8" s="46">
        <f t="shared" si="0"/>
        <v>65.899999999999991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9.4</v>
      </c>
      <c r="C10" s="51">
        <v>10.199999999999999</v>
      </c>
      <c r="D10" s="51">
        <v>8.6999999999999993</v>
      </c>
      <c r="E10" s="51">
        <v>6.5</v>
      </c>
      <c r="F10" s="51">
        <v>9.3000000000000007</v>
      </c>
      <c r="G10" s="51">
        <v>5.4</v>
      </c>
      <c r="H10" s="51">
        <v>4.4000000000000004</v>
      </c>
      <c r="I10" s="51">
        <v>9.1</v>
      </c>
      <c r="J10" s="51">
        <v>6.5</v>
      </c>
      <c r="K10" s="51">
        <v>5.4</v>
      </c>
      <c r="L10" s="51">
        <v>9.3000000000000007</v>
      </c>
      <c r="M10" s="51">
        <v>10.1</v>
      </c>
      <c r="N10" s="51">
        <v>7.2</v>
      </c>
      <c r="O10" s="51">
        <v>9</v>
      </c>
      <c r="P10" s="51">
        <v>6.2</v>
      </c>
      <c r="Q10" s="51">
        <v>5.3</v>
      </c>
      <c r="R10" s="51">
        <v>7.1</v>
      </c>
      <c r="S10" s="51">
        <v>3.2</v>
      </c>
      <c r="T10" s="51">
        <v>8.4</v>
      </c>
      <c r="U10" s="51">
        <v>1.9</v>
      </c>
      <c r="V10" s="51">
        <v>6.1</v>
      </c>
      <c r="W10" s="51">
        <v>5</v>
      </c>
      <c r="X10" s="51">
        <v>3.2</v>
      </c>
      <c r="Y10" s="51">
        <v>1.6</v>
      </c>
      <c r="Z10" s="51">
        <v>8.5</v>
      </c>
      <c r="AA10" s="51">
        <v>10.3</v>
      </c>
      <c r="AB10" s="51">
        <v>8.6</v>
      </c>
      <c r="AC10" s="51">
        <v>9.5</v>
      </c>
      <c r="AD10" s="51">
        <v>10.199999999999999</v>
      </c>
      <c r="AE10" s="51">
        <v>8.1999999999999993</v>
      </c>
      <c r="AF10" s="51"/>
      <c r="AG10" s="46">
        <f t="shared" si="0"/>
        <v>213.79999999999995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1.3</v>
      </c>
      <c r="C12" s="145">
        <v>1</v>
      </c>
      <c r="D12" s="145">
        <v>1.4</v>
      </c>
      <c r="E12" s="145">
        <v>2</v>
      </c>
      <c r="F12" s="51">
        <v>4.0999999999999996</v>
      </c>
      <c r="G12" s="51">
        <v>1.3</v>
      </c>
      <c r="H12" s="51">
        <v>1.5</v>
      </c>
      <c r="I12" s="51">
        <v>1.2</v>
      </c>
      <c r="J12" s="51">
        <v>1.3</v>
      </c>
      <c r="K12" s="51">
        <v>1</v>
      </c>
      <c r="L12" s="51">
        <v>1</v>
      </c>
      <c r="M12" s="51">
        <v>1.1000000000000001</v>
      </c>
      <c r="N12" s="51">
        <v>1</v>
      </c>
      <c r="O12" s="51">
        <v>1.3</v>
      </c>
      <c r="P12" s="51">
        <v>1.5</v>
      </c>
      <c r="Q12" s="51">
        <v>1</v>
      </c>
      <c r="R12" s="51">
        <v>1.5</v>
      </c>
      <c r="S12" s="51">
        <v>1.8</v>
      </c>
      <c r="T12" s="51">
        <v>2</v>
      </c>
      <c r="U12" s="51">
        <v>0.8</v>
      </c>
      <c r="V12" s="51">
        <v>0</v>
      </c>
      <c r="W12" s="51">
        <v>1</v>
      </c>
      <c r="X12" s="51">
        <v>1</v>
      </c>
      <c r="Y12" s="51">
        <v>1</v>
      </c>
      <c r="Z12" s="51">
        <v>1</v>
      </c>
      <c r="AA12" s="51">
        <v>1.3</v>
      </c>
      <c r="AB12" s="51">
        <v>1</v>
      </c>
      <c r="AC12" s="51">
        <v>1.1000000000000001</v>
      </c>
      <c r="AD12" s="51">
        <v>1</v>
      </c>
      <c r="AE12" s="51">
        <v>1.3</v>
      </c>
      <c r="AF12" s="51"/>
      <c r="AG12" s="46">
        <f t="shared" si="0"/>
        <v>38.800000000000004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0.5</v>
      </c>
      <c r="C14" s="51">
        <v>0.3</v>
      </c>
      <c r="D14" s="51">
        <v>0.5</v>
      </c>
      <c r="E14" s="51">
        <v>0.5</v>
      </c>
      <c r="F14" s="51">
        <v>0.8</v>
      </c>
      <c r="G14" s="51">
        <v>0</v>
      </c>
      <c r="H14" s="51">
        <v>0.8</v>
      </c>
      <c r="I14" s="51">
        <v>0.9</v>
      </c>
      <c r="J14" s="51">
        <v>0.9</v>
      </c>
      <c r="K14" s="51">
        <v>0.9</v>
      </c>
      <c r="L14" s="51">
        <v>0.8</v>
      </c>
      <c r="M14" s="51">
        <v>0.9</v>
      </c>
      <c r="N14" s="51">
        <v>0.3</v>
      </c>
      <c r="O14" s="51">
        <v>0.2</v>
      </c>
      <c r="P14" s="51">
        <v>0.3</v>
      </c>
      <c r="Q14" s="51">
        <v>0</v>
      </c>
      <c r="R14" s="51">
        <v>0.3</v>
      </c>
      <c r="S14" s="51">
        <v>0.4</v>
      </c>
      <c r="T14" s="51">
        <v>0.2</v>
      </c>
      <c r="U14" s="51">
        <v>0.8</v>
      </c>
      <c r="V14" s="51">
        <v>0.9</v>
      </c>
      <c r="W14" s="51">
        <v>0.3</v>
      </c>
      <c r="X14" s="51">
        <v>0.5</v>
      </c>
      <c r="Y14" s="114">
        <v>0.7</v>
      </c>
      <c r="Z14" s="52">
        <v>0.7</v>
      </c>
      <c r="AA14" s="114">
        <v>0</v>
      </c>
      <c r="AB14" s="52">
        <v>0</v>
      </c>
      <c r="AC14" s="52">
        <v>0</v>
      </c>
      <c r="AD14" s="52">
        <v>0</v>
      </c>
      <c r="AE14" s="52">
        <v>0</v>
      </c>
      <c r="AF14" s="52"/>
      <c r="AG14" s="46">
        <f t="shared" si="0"/>
        <v>13.400000000000002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>
        <v>0</v>
      </c>
      <c r="C17" s="51">
        <v>0</v>
      </c>
      <c r="D17" s="51">
        <v>0</v>
      </c>
      <c r="E17" s="51">
        <v>0</v>
      </c>
      <c r="F17" s="51">
        <v>1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0.9</v>
      </c>
      <c r="N17" s="51">
        <v>0</v>
      </c>
      <c r="O17" s="51">
        <v>0</v>
      </c>
      <c r="P17" s="51">
        <v>0.5</v>
      </c>
      <c r="Q17" s="51">
        <v>0</v>
      </c>
      <c r="R17" s="51">
        <v>0.1</v>
      </c>
      <c r="S17" s="51">
        <v>0.4</v>
      </c>
      <c r="T17" s="51">
        <v>0</v>
      </c>
      <c r="U17" s="51"/>
      <c r="V17" s="51">
        <v>0</v>
      </c>
      <c r="W17" s="51">
        <v>0</v>
      </c>
      <c r="X17" s="51">
        <v>0.8</v>
      </c>
      <c r="Y17" s="51">
        <v>0</v>
      </c>
      <c r="Z17" s="51">
        <v>0</v>
      </c>
      <c r="AA17" s="51">
        <v>0.5</v>
      </c>
      <c r="AB17" s="51">
        <v>0</v>
      </c>
      <c r="AC17" s="51">
        <v>0</v>
      </c>
      <c r="AD17" s="51">
        <v>0</v>
      </c>
      <c r="AE17" s="51">
        <v>0</v>
      </c>
      <c r="AF17" s="51"/>
      <c r="AG17" s="46">
        <f t="shared" si="0"/>
        <v>4.2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225</v>
      </c>
      <c r="B20" s="51">
        <v>1</v>
      </c>
      <c r="C20" s="51">
        <v>1</v>
      </c>
      <c r="D20" s="51">
        <v>2.1</v>
      </c>
      <c r="E20" s="51">
        <v>1.8</v>
      </c>
      <c r="F20" s="51">
        <v>1</v>
      </c>
      <c r="G20" s="51">
        <v>1.9</v>
      </c>
      <c r="H20" s="51">
        <v>0.5</v>
      </c>
      <c r="I20" s="51">
        <v>2</v>
      </c>
      <c r="J20" s="51">
        <v>1.8</v>
      </c>
      <c r="K20" s="51">
        <v>2</v>
      </c>
      <c r="L20" s="51">
        <v>1.9</v>
      </c>
      <c r="M20" s="51">
        <v>1.8</v>
      </c>
      <c r="N20" s="51">
        <v>1.9</v>
      </c>
      <c r="O20" s="51">
        <v>2.5</v>
      </c>
      <c r="P20" s="51">
        <v>2</v>
      </c>
      <c r="Q20" s="51">
        <v>1.9</v>
      </c>
      <c r="R20" s="51">
        <v>1</v>
      </c>
      <c r="S20" s="51">
        <v>1.5</v>
      </c>
      <c r="T20" s="51">
        <v>1.9</v>
      </c>
      <c r="U20" s="51">
        <v>1.8</v>
      </c>
      <c r="V20" s="51">
        <v>1.5</v>
      </c>
      <c r="W20" s="51">
        <v>1.5</v>
      </c>
      <c r="X20" s="51">
        <v>1.9</v>
      </c>
      <c r="Y20" s="51">
        <v>2</v>
      </c>
      <c r="Z20" s="51">
        <v>2</v>
      </c>
      <c r="AA20" s="51">
        <v>2.5</v>
      </c>
      <c r="AB20" s="51">
        <v>2</v>
      </c>
      <c r="AC20" s="51">
        <v>2.1</v>
      </c>
      <c r="AD20" s="51">
        <v>2.1</v>
      </c>
      <c r="AE20" s="51">
        <v>0</v>
      </c>
      <c r="AF20" s="51"/>
      <c r="AG20" s="46"/>
      <c r="AH20" s="48"/>
      <c r="AI20" s="48"/>
    </row>
    <row r="21" spans="1:35" s="44" customFormat="1" ht="18.75" customHeight="1" x14ac:dyDescent="0.35">
      <c r="A21" s="60" t="s">
        <v>257</v>
      </c>
      <c r="B21" s="51">
        <v>1.8</v>
      </c>
      <c r="C21" s="51">
        <v>1.9</v>
      </c>
      <c r="D21" s="51">
        <v>2.1</v>
      </c>
      <c r="E21" s="51">
        <v>2.1</v>
      </c>
      <c r="F21" s="51">
        <v>2.1</v>
      </c>
      <c r="G21" s="51">
        <v>1.8</v>
      </c>
      <c r="H21" s="51">
        <v>1.2</v>
      </c>
      <c r="I21" s="51">
        <v>2.1</v>
      </c>
      <c r="J21" s="51">
        <v>1.5</v>
      </c>
      <c r="K21" s="51">
        <v>3.2</v>
      </c>
      <c r="L21" s="51">
        <v>1.8</v>
      </c>
      <c r="M21" s="51">
        <v>1.5</v>
      </c>
      <c r="N21" s="51">
        <v>1.5</v>
      </c>
      <c r="O21" s="51">
        <v>1.5</v>
      </c>
      <c r="P21" s="51">
        <v>2.2999999999999998</v>
      </c>
      <c r="Q21" s="51">
        <v>2.5</v>
      </c>
      <c r="R21" s="51">
        <v>2.8</v>
      </c>
      <c r="S21" s="51">
        <v>2.9</v>
      </c>
      <c r="T21" s="51">
        <v>2.4</v>
      </c>
      <c r="U21" s="51">
        <v>2</v>
      </c>
      <c r="V21" s="51">
        <v>2.2999999999999998</v>
      </c>
      <c r="W21" s="51">
        <v>2.9</v>
      </c>
      <c r="X21" s="51">
        <v>3</v>
      </c>
      <c r="Y21" s="51">
        <v>1.5</v>
      </c>
      <c r="Z21" s="51">
        <v>1.8</v>
      </c>
      <c r="AA21" s="51">
        <v>2.8</v>
      </c>
      <c r="AB21" s="51">
        <v>3.5</v>
      </c>
      <c r="AC21" s="51">
        <v>1.8</v>
      </c>
      <c r="AD21" s="51">
        <v>2.5</v>
      </c>
      <c r="AE21" s="51">
        <v>2.8</v>
      </c>
      <c r="AF21" s="51"/>
      <c r="AG21" s="46">
        <f t="shared" si="0"/>
        <v>65.899999999999991</v>
      </c>
      <c r="AH21" s="48"/>
      <c r="AI21" s="48"/>
    </row>
    <row r="22" spans="1:35" s="44" customFormat="1" ht="18.75" customHeight="1" x14ac:dyDescent="0.35">
      <c r="A22" s="60" t="s">
        <v>74</v>
      </c>
      <c r="B22" s="51">
        <v>0.9</v>
      </c>
      <c r="C22" s="51">
        <v>0.6</v>
      </c>
      <c r="D22" s="51">
        <v>1</v>
      </c>
      <c r="E22" s="51">
        <v>0.4</v>
      </c>
      <c r="F22" s="51">
        <v>1.2</v>
      </c>
      <c r="G22" s="51">
        <v>0.4</v>
      </c>
      <c r="H22" s="51">
        <v>0.6</v>
      </c>
      <c r="I22" s="51">
        <v>0.8</v>
      </c>
      <c r="J22" s="51">
        <v>0.9</v>
      </c>
      <c r="K22" s="51">
        <v>1</v>
      </c>
      <c r="L22" s="51">
        <v>0.8</v>
      </c>
      <c r="M22" s="51">
        <v>0.2</v>
      </c>
      <c r="N22" s="51">
        <v>0.6</v>
      </c>
      <c r="O22" s="51">
        <v>0.9</v>
      </c>
      <c r="P22" s="51">
        <v>0.7</v>
      </c>
      <c r="Q22" s="51">
        <v>0.3</v>
      </c>
      <c r="R22" s="51">
        <v>0.1</v>
      </c>
      <c r="S22" s="51">
        <v>0.5</v>
      </c>
      <c r="T22" s="51">
        <v>0.7</v>
      </c>
      <c r="U22" s="51">
        <v>0.3</v>
      </c>
      <c r="V22" s="51">
        <v>0.6</v>
      </c>
      <c r="W22" s="51">
        <v>0.2</v>
      </c>
      <c r="X22" s="51">
        <v>0.9</v>
      </c>
      <c r="Y22" s="51">
        <v>0.3</v>
      </c>
      <c r="Z22" s="51">
        <v>0.6</v>
      </c>
      <c r="AA22" s="51">
        <v>0.7</v>
      </c>
      <c r="AB22" s="51">
        <v>0.3</v>
      </c>
      <c r="AC22" s="51">
        <v>0.8</v>
      </c>
      <c r="AD22" s="51">
        <v>0.2</v>
      </c>
      <c r="AE22" s="51">
        <v>0.4</v>
      </c>
      <c r="AF22" s="51"/>
      <c r="AG22" s="46">
        <f t="shared" si="0"/>
        <v>17.899999999999999</v>
      </c>
      <c r="AH22" s="48"/>
      <c r="AI22" s="48"/>
    </row>
    <row r="23" spans="1:35" s="44" customFormat="1" ht="18.75" customHeight="1" x14ac:dyDescent="0.35">
      <c r="A23" s="60" t="s">
        <v>75</v>
      </c>
      <c r="B23" s="51">
        <v>4</v>
      </c>
      <c r="C23" s="51">
        <v>0</v>
      </c>
      <c r="D23" s="51">
        <v>3.2</v>
      </c>
      <c r="E23" s="51">
        <v>0.4</v>
      </c>
      <c r="F23" s="51">
        <v>0.3</v>
      </c>
      <c r="G23" s="51">
        <v>0</v>
      </c>
      <c r="H23" s="51">
        <v>0</v>
      </c>
      <c r="I23" s="51">
        <v>0</v>
      </c>
      <c r="J23" s="51">
        <v>0</v>
      </c>
      <c r="K23" s="51">
        <v>0.4</v>
      </c>
      <c r="L23" s="51">
        <v>0.2</v>
      </c>
      <c r="M23" s="51">
        <v>0.2</v>
      </c>
      <c r="N23" s="51">
        <v>0.1</v>
      </c>
      <c r="O23" s="51">
        <v>0</v>
      </c>
      <c r="P23" s="51">
        <v>0</v>
      </c>
      <c r="Q23" s="51">
        <v>0</v>
      </c>
      <c r="R23" s="51">
        <v>0.8</v>
      </c>
      <c r="S23" s="51">
        <v>0.6</v>
      </c>
      <c r="T23" s="51">
        <v>0.4</v>
      </c>
      <c r="U23" s="51">
        <v>0.4</v>
      </c>
      <c r="V23" s="51">
        <v>0.3</v>
      </c>
      <c r="W23" s="51">
        <v>0.4</v>
      </c>
      <c r="X23" s="51">
        <v>0.4</v>
      </c>
      <c r="Y23" s="51">
        <v>0</v>
      </c>
      <c r="Z23" s="51">
        <v>0</v>
      </c>
      <c r="AA23" s="51">
        <v>0</v>
      </c>
      <c r="AB23" s="51">
        <v>0</v>
      </c>
      <c r="AC23" s="51">
        <v>0</v>
      </c>
      <c r="AD23" s="51">
        <v>0</v>
      </c>
      <c r="AE23" s="51">
        <v>0</v>
      </c>
      <c r="AF23" s="51"/>
      <c r="AG23" s="46">
        <f t="shared" si="0"/>
        <v>12.100000000000001</v>
      </c>
      <c r="AH23" s="48"/>
      <c r="AI23" s="48"/>
    </row>
    <row r="24" spans="1:35" s="44" customFormat="1" ht="18.75" customHeight="1" x14ac:dyDescent="0.35">
      <c r="A24" s="60" t="s">
        <v>77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78</v>
      </c>
      <c r="B25" s="51">
        <v>2</v>
      </c>
      <c r="C25" s="51">
        <v>1</v>
      </c>
      <c r="D25" s="51">
        <v>2.2999999999999998</v>
      </c>
      <c r="E25" s="51">
        <v>2.2999999999999998</v>
      </c>
      <c r="F25" s="51">
        <v>5.4</v>
      </c>
      <c r="G25" s="51">
        <v>4</v>
      </c>
      <c r="H25" s="51">
        <v>3</v>
      </c>
      <c r="I25" s="51">
        <v>3.1</v>
      </c>
      <c r="J25" s="51">
        <v>4</v>
      </c>
      <c r="K25" s="51">
        <v>3.2</v>
      </c>
      <c r="L25" s="51">
        <v>2</v>
      </c>
      <c r="M25" s="51">
        <v>3</v>
      </c>
      <c r="N25" s="51">
        <v>2</v>
      </c>
      <c r="O25" s="51">
        <v>1</v>
      </c>
      <c r="P25" s="51">
        <v>1</v>
      </c>
      <c r="Q25" s="51">
        <v>2</v>
      </c>
      <c r="R25" s="51">
        <v>2.2999999999999998</v>
      </c>
      <c r="S25" s="51">
        <v>2.2999999999999998</v>
      </c>
      <c r="T25" s="51">
        <v>3</v>
      </c>
      <c r="U25" s="51">
        <v>2</v>
      </c>
      <c r="V25" s="51">
        <v>2</v>
      </c>
      <c r="W25" s="51">
        <v>2</v>
      </c>
      <c r="X25" s="51">
        <v>3</v>
      </c>
      <c r="Y25" s="51">
        <v>2</v>
      </c>
      <c r="Z25" s="51">
        <v>3</v>
      </c>
      <c r="AA25" s="51">
        <v>2</v>
      </c>
      <c r="AB25" s="51">
        <v>1</v>
      </c>
      <c r="AC25" s="51">
        <v>3</v>
      </c>
      <c r="AD25" s="51">
        <v>2</v>
      </c>
      <c r="AE25" s="51">
        <v>3</v>
      </c>
      <c r="AF25" s="51"/>
      <c r="AG25" s="46">
        <f t="shared" si="0"/>
        <v>73.899999999999991</v>
      </c>
      <c r="AH25" s="48"/>
      <c r="AI25" s="48"/>
    </row>
    <row r="26" spans="1:35" s="44" customFormat="1" ht="18.75" customHeight="1" x14ac:dyDescent="0.35">
      <c r="A26" s="60" t="s">
        <v>79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154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80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76</v>
      </c>
      <c r="B29" s="114"/>
      <c r="C29" s="114"/>
      <c r="D29" s="114"/>
      <c r="E29" s="114"/>
      <c r="F29" s="52"/>
      <c r="G29" s="114"/>
      <c r="H29" s="52"/>
      <c r="I29" s="114"/>
      <c r="J29" s="114"/>
      <c r="K29" s="52"/>
      <c r="L29" s="114"/>
      <c r="M29" s="114"/>
      <c r="N29" s="114"/>
      <c r="O29" s="114"/>
      <c r="P29" s="114"/>
      <c r="Q29" s="114"/>
      <c r="R29" s="52"/>
      <c r="S29" s="52"/>
      <c r="T29" s="114"/>
      <c r="U29" s="52"/>
      <c r="V29" s="114"/>
      <c r="W29" s="52"/>
      <c r="X29" s="52"/>
      <c r="Y29" s="114"/>
      <c r="Z29" s="114"/>
      <c r="AA29" s="114"/>
      <c r="AB29" s="52"/>
      <c r="AC29" s="114"/>
      <c r="AD29" s="114"/>
      <c r="AE29" s="114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81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114"/>
      <c r="M30" s="52"/>
      <c r="N30" s="114"/>
      <c r="O30" s="114"/>
      <c r="P30" s="52"/>
      <c r="Q30" s="52"/>
      <c r="R30" s="52"/>
      <c r="S30" s="114"/>
      <c r="T30" s="52"/>
      <c r="U30" s="52"/>
      <c r="V30" s="114"/>
      <c r="W30" s="52"/>
      <c r="X30" s="52"/>
      <c r="Y30" s="52"/>
      <c r="Z30" s="114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86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82</v>
      </c>
      <c r="B32" s="49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178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46">
        <f t="shared" si="0"/>
        <v>0</v>
      </c>
      <c r="AH33" s="48"/>
      <c r="AI33" s="48"/>
    </row>
    <row r="34" spans="1:35" s="44" customFormat="1" ht="18.75" customHeight="1" x14ac:dyDescent="0.35">
      <c r="A34" s="59" t="s">
        <v>155</v>
      </c>
      <c r="B34" s="51">
        <f>SUM(B3:B33)</f>
        <v>23.4</v>
      </c>
      <c r="C34" s="51">
        <f t="shared" ref="C34:AF34" si="1">SUM(C3:C33)</f>
        <v>19</v>
      </c>
      <c r="D34" s="51">
        <f t="shared" si="1"/>
        <v>24.3</v>
      </c>
      <c r="E34" s="51">
        <f t="shared" si="1"/>
        <v>18.899999999999999</v>
      </c>
      <c r="F34" s="51">
        <f t="shared" si="1"/>
        <v>28.000000000000007</v>
      </c>
      <c r="G34" s="51">
        <f t="shared" si="1"/>
        <v>17</v>
      </c>
      <c r="H34" s="51">
        <f t="shared" si="1"/>
        <v>14.5</v>
      </c>
      <c r="I34" s="51">
        <f t="shared" si="1"/>
        <v>21.8</v>
      </c>
      <c r="J34" s="51">
        <f t="shared" si="1"/>
        <v>18.900000000000002</v>
      </c>
      <c r="K34" s="51">
        <f t="shared" si="1"/>
        <v>19.000000000000004</v>
      </c>
      <c r="L34" s="51">
        <f t="shared" si="1"/>
        <v>19.3</v>
      </c>
      <c r="M34" s="51">
        <f t="shared" si="1"/>
        <v>22.599999999999998</v>
      </c>
      <c r="N34" s="51">
        <f t="shared" si="1"/>
        <v>16.600000000000001</v>
      </c>
      <c r="O34" s="51">
        <f t="shared" si="1"/>
        <v>19.299999999999997</v>
      </c>
      <c r="P34" s="51">
        <f t="shared" si="1"/>
        <v>17</v>
      </c>
      <c r="Q34" s="51">
        <f t="shared" si="1"/>
        <v>15.600000000000001</v>
      </c>
      <c r="R34" s="51">
        <f t="shared" si="1"/>
        <v>18</v>
      </c>
      <c r="S34" s="51">
        <f t="shared" si="1"/>
        <v>15.5</v>
      </c>
      <c r="T34" s="51">
        <f t="shared" si="1"/>
        <v>20.199999999999996</v>
      </c>
      <c r="U34" s="51">
        <f t="shared" si="1"/>
        <v>11.9</v>
      </c>
      <c r="V34" s="51">
        <f t="shared" si="1"/>
        <v>15.700000000000001</v>
      </c>
      <c r="W34" s="51">
        <f t="shared" si="1"/>
        <v>15.4</v>
      </c>
      <c r="X34" s="51">
        <f t="shared" si="1"/>
        <v>16.8</v>
      </c>
      <c r="Y34" s="51">
        <f t="shared" si="1"/>
        <v>11.100000000000001</v>
      </c>
      <c r="Z34" s="51">
        <f t="shared" si="1"/>
        <v>19.5</v>
      </c>
      <c r="AA34" s="51">
        <f t="shared" si="1"/>
        <v>21.900000000000002</v>
      </c>
      <c r="AB34" s="51">
        <f t="shared" si="1"/>
        <v>17.599999999999998</v>
      </c>
      <c r="AC34" s="51">
        <f t="shared" si="1"/>
        <v>20.2</v>
      </c>
      <c r="AD34" s="51">
        <f t="shared" si="1"/>
        <v>19.999999999999996</v>
      </c>
      <c r="AE34" s="51">
        <f t="shared" si="1"/>
        <v>17.799999999999997</v>
      </c>
      <c r="AF34" s="51">
        <f t="shared" si="1"/>
        <v>0</v>
      </c>
      <c r="AG34" s="56">
        <f>SUM(B34:AF34)</f>
        <v>556.79999999999995</v>
      </c>
      <c r="AH34" s="57"/>
      <c r="AI34" s="57"/>
    </row>
    <row r="35" spans="1:35" s="2" customFormat="1" x14ac:dyDescent="0.25">
      <c r="AG35" s="24">
        <f>SUM(AG3:AG32)</f>
        <v>505.89999999999986</v>
      </c>
    </row>
    <row r="36" spans="1:35" s="2" customFormat="1" x14ac:dyDescent="0.25"/>
    <row r="37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AI36"/>
  <sheetViews>
    <sheetView topLeftCell="A4" zoomScale="53" zoomScaleNormal="53" workbookViewId="0">
      <selection activeCell="AG34" sqref="AG34"/>
    </sheetView>
  </sheetViews>
  <sheetFormatPr baseColWidth="10" defaultRowHeight="15" x14ac:dyDescent="0.25"/>
  <cols>
    <col min="1" max="1" width="58" customWidth="1"/>
    <col min="2" max="3" width="8.140625" customWidth="1"/>
    <col min="4" max="4" width="8.7109375" customWidth="1"/>
    <col min="5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50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>
        <v>0.6</v>
      </c>
      <c r="C8" s="51">
        <v>1</v>
      </c>
      <c r="D8" s="51">
        <v>2</v>
      </c>
      <c r="E8" s="51">
        <v>0.4</v>
      </c>
      <c r="F8" s="51">
        <v>0.9</v>
      </c>
      <c r="G8" s="51">
        <v>0.1</v>
      </c>
      <c r="H8" s="51">
        <v>0.5</v>
      </c>
      <c r="I8" s="51">
        <v>0.9</v>
      </c>
      <c r="J8" s="51">
        <v>0.2</v>
      </c>
      <c r="K8" s="51">
        <v>0.1</v>
      </c>
      <c r="L8" s="51">
        <v>0.2</v>
      </c>
      <c r="M8" s="51">
        <v>0.2</v>
      </c>
      <c r="N8" s="51">
        <v>0.8</v>
      </c>
      <c r="O8" s="51">
        <v>0.2</v>
      </c>
      <c r="P8" s="51">
        <v>0.5</v>
      </c>
      <c r="Q8" s="51">
        <v>0.8</v>
      </c>
      <c r="R8" s="51">
        <v>0.3</v>
      </c>
      <c r="S8" s="51">
        <v>0.1</v>
      </c>
      <c r="T8" s="51">
        <v>1</v>
      </c>
      <c r="U8" s="51">
        <v>2</v>
      </c>
      <c r="V8" s="51">
        <v>0.3</v>
      </c>
      <c r="W8" s="51">
        <v>0.4</v>
      </c>
      <c r="X8" s="51">
        <v>0.3</v>
      </c>
      <c r="Y8" s="51">
        <v>0.4</v>
      </c>
      <c r="Z8" s="51">
        <v>0.2</v>
      </c>
      <c r="AA8" s="51">
        <v>0.1</v>
      </c>
      <c r="AB8" s="51">
        <v>1.5</v>
      </c>
      <c r="AC8" s="51">
        <v>0.2</v>
      </c>
      <c r="AD8" s="51">
        <v>0.3</v>
      </c>
      <c r="AE8" s="51">
        <v>2</v>
      </c>
      <c r="AF8" s="51">
        <v>0.4</v>
      </c>
      <c r="AG8" s="46">
        <f t="shared" si="0"/>
        <v>18.899999999999999</v>
      </c>
      <c r="AH8" s="48"/>
      <c r="AI8" s="48"/>
    </row>
    <row r="9" spans="1:35" s="44" customFormat="1" ht="18.75" customHeight="1" x14ac:dyDescent="0.35">
      <c r="A9" s="60" t="s">
        <v>66</v>
      </c>
      <c r="B9" s="52">
        <f>4.9+5+9.8</f>
        <v>19.700000000000003</v>
      </c>
      <c r="C9" s="52">
        <f>9.8+6.9+4.1</f>
        <v>20.800000000000004</v>
      </c>
      <c r="D9" s="52">
        <f>4.5+4.1+6</f>
        <v>14.6</v>
      </c>
      <c r="E9" s="52">
        <f>3.14+5.2+4.4</f>
        <v>12.74</v>
      </c>
      <c r="F9" s="114">
        <f>3.1+4+2.3</f>
        <v>9.3999999999999986</v>
      </c>
      <c r="G9" s="114">
        <f>4.3+5.1+6.3</f>
        <v>15.7</v>
      </c>
      <c r="H9" s="114">
        <f>6.1+9.2+7.4</f>
        <v>22.7</v>
      </c>
      <c r="I9" s="52">
        <f>5.1+4.4+2.5</f>
        <v>12</v>
      </c>
      <c r="J9" s="52">
        <f>5+9.7+9.3</f>
        <v>24</v>
      </c>
      <c r="K9" s="114">
        <f>1.24+0.9+9.8</f>
        <v>11.940000000000001</v>
      </c>
      <c r="L9" s="187">
        <f>9.8+7.9+0.3</f>
        <v>18.000000000000004</v>
      </c>
      <c r="M9" s="52">
        <f>9.1+7+4.1</f>
        <v>20.200000000000003</v>
      </c>
      <c r="N9" s="114">
        <f>9+5.4+4.2</f>
        <v>18.600000000000001</v>
      </c>
      <c r="O9" s="52">
        <f>4.9+6.1+5.4</f>
        <v>16.399999999999999</v>
      </c>
      <c r="P9" s="52">
        <f>9.4+1.4+8.1</f>
        <v>18.899999999999999</v>
      </c>
      <c r="Q9" s="52">
        <f>9.5+9.5+8.1</f>
        <v>27.1</v>
      </c>
      <c r="R9" s="114">
        <f>4+7.1+5</f>
        <v>16.100000000000001</v>
      </c>
      <c r="S9" s="52">
        <f>6+7+2</f>
        <v>15</v>
      </c>
      <c r="T9" s="52">
        <f>6+1+5</f>
        <v>12</v>
      </c>
      <c r="U9" s="52">
        <f>7+8+4</f>
        <v>19</v>
      </c>
      <c r="V9" s="52">
        <f>7+6+4</f>
        <v>17</v>
      </c>
      <c r="W9" s="52">
        <f>6+4+3.5</f>
        <v>13.5</v>
      </c>
      <c r="X9" s="52">
        <f>4.3+3.1+5</f>
        <v>12.4</v>
      </c>
      <c r="Y9" s="52">
        <f>5+3.5+2</f>
        <v>10.5</v>
      </c>
      <c r="Z9" s="52">
        <f>8+6+9</f>
        <v>23</v>
      </c>
      <c r="AA9" s="187">
        <f>10.5+10.1</f>
        <v>20.6</v>
      </c>
      <c r="AB9" s="52">
        <f>9.7+7+4</f>
        <v>20.7</v>
      </c>
      <c r="AC9" s="52">
        <f>7+6+7.1</f>
        <v>20.100000000000001</v>
      </c>
      <c r="AD9" s="114">
        <f>7.1+6+4.1</f>
        <v>17.2</v>
      </c>
      <c r="AE9" s="52">
        <f>4.1+7+3.4</f>
        <v>14.5</v>
      </c>
      <c r="AF9" s="52">
        <f>5+2+3.5</f>
        <v>10.5</v>
      </c>
      <c r="AG9" s="46">
        <f t="shared" si="0"/>
        <v>524.88000000000011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1</v>
      </c>
      <c r="C12" s="145">
        <v>1.3</v>
      </c>
      <c r="D12" s="145">
        <v>1.3</v>
      </c>
      <c r="E12" s="145">
        <v>1.5</v>
      </c>
      <c r="F12" s="51">
        <v>1.5</v>
      </c>
      <c r="G12" s="51">
        <v>1</v>
      </c>
      <c r="H12" s="51">
        <v>1.1000000000000001</v>
      </c>
      <c r="I12" s="51">
        <v>1</v>
      </c>
      <c r="J12" s="51">
        <v>1.2</v>
      </c>
      <c r="K12" s="51">
        <v>1</v>
      </c>
      <c r="L12" s="51">
        <v>0</v>
      </c>
      <c r="M12" s="51">
        <v>1.3</v>
      </c>
      <c r="N12" s="51">
        <v>2</v>
      </c>
      <c r="O12" s="51">
        <v>1</v>
      </c>
      <c r="P12" s="51">
        <v>0.9</v>
      </c>
      <c r="Q12" s="51">
        <v>0.8</v>
      </c>
      <c r="R12" s="51">
        <v>1.7</v>
      </c>
      <c r="S12" s="51">
        <v>2</v>
      </c>
      <c r="T12" s="51">
        <v>1.5</v>
      </c>
      <c r="U12" s="51">
        <v>0.8</v>
      </c>
      <c r="V12" s="51">
        <v>1</v>
      </c>
      <c r="W12" s="51">
        <v>1.8</v>
      </c>
      <c r="X12" s="51">
        <v>1.5</v>
      </c>
      <c r="Y12" s="51">
        <v>1</v>
      </c>
      <c r="Z12" s="51">
        <v>1</v>
      </c>
      <c r="AA12" s="51">
        <v>1.1000000000000001</v>
      </c>
      <c r="AB12" s="51">
        <v>1</v>
      </c>
      <c r="AC12" s="51">
        <v>1.1000000000000001</v>
      </c>
      <c r="AD12" s="51">
        <v>1</v>
      </c>
      <c r="AE12" s="51">
        <v>1.1000000000000001</v>
      </c>
      <c r="AF12" s="51">
        <v>1</v>
      </c>
      <c r="AG12" s="46">
        <f t="shared" si="0"/>
        <v>36.5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4</v>
      </c>
      <c r="C14" s="51">
        <v>3.8</v>
      </c>
      <c r="D14" s="51">
        <v>3.3</v>
      </c>
      <c r="E14" s="51">
        <v>3.6</v>
      </c>
      <c r="F14" s="51">
        <v>2.2000000000000002</v>
      </c>
      <c r="G14" s="51">
        <v>2.1</v>
      </c>
      <c r="H14" s="51">
        <v>2</v>
      </c>
      <c r="I14" s="51">
        <v>3</v>
      </c>
      <c r="J14" s="51">
        <v>2</v>
      </c>
      <c r="K14" s="51">
        <v>3.3</v>
      </c>
      <c r="L14" s="51">
        <v>3.8</v>
      </c>
      <c r="M14" s="51">
        <v>3.9</v>
      </c>
      <c r="N14" s="51">
        <v>3</v>
      </c>
      <c r="O14" s="51">
        <v>3.5</v>
      </c>
      <c r="P14" s="51">
        <v>3</v>
      </c>
      <c r="Q14" s="51">
        <v>3</v>
      </c>
      <c r="R14" s="51">
        <v>0.3</v>
      </c>
      <c r="S14" s="51">
        <v>0.6</v>
      </c>
      <c r="T14" s="51">
        <v>0.3</v>
      </c>
      <c r="U14" s="51">
        <v>3.8</v>
      </c>
      <c r="V14" s="51">
        <v>3</v>
      </c>
      <c r="W14" s="186">
        <v>3.7</v>
      </c>
      <c r="X14" s="51">
        <v>4.8</v>
      </c>
      <c r="Y14" s="114">
        <v>3.6</v>
      </c>
      <c r="Z14" s="52">
        <v>0.9</v>
      </c>
      <c r="AA14" s="114">
        <v>0.2</v>
      </c>
      <c r="AB14" s="52">
        <v>0.2</v>
      </c>
      <c r="AC14" s="52">
        <v>0.1</v>
      </c>
      <c r="AD14" s="52">
        <v>0.2</v>
      </c>
      <c r="AE14" s="52">
        <v>1</v>
      </c>
      <c r="AF14" s="52">
        <v>0.1</v>
      </c>
      <c r="AG14" s="46">
        <f t="shared" si="0"/>
        <v>72.3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>
        <v>0</v>
      </c>
      <c r="C17" s="51">
        <v>0</v>
      </c>
      <c r="D17" s="51">
        <v>0</v>
      </c>
      <c r="E17" s="51">
        <v>0</v>
      </c>
      <c r="F17" s="51">
        <v>0</v>
      </c>
      <c r="G17" s="51">
        <v>0</v>
      </c>
      <c r="H17" s="51">
        <v>0</v>
      </c>
      <c r="I17" s="51">
        <v>0</v>
      </c>
      <c r="J17" s="51">
        <v>0</v>
      </c>
      <c r="K17" s="51">
        <v>0</v>
      </c>
      <c r="L17" s="51">
        <v>0</v>
      </c>
      <c r="M17" s="51">
        <v>1.3</v>
      </c>
      <c r="N17" s="51">
        <v>0.8</v>
      </c>
      <c r="O17" s="51">
        <v>0.9</v>
      </c>
      <c r="P17" s="51">
        <v>0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0</v>
      </c>
      <c r="Z17" s="51">
        <v>0</v>
      </c>
      <c r="AA17" s="51">
        <v>0.9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46">
        <f t="shared" si="0"/>
        <v>3.9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v>3.8</v>
      </c>
      <c r="C20" s="51">
        <v>4</v>
      </c>
      <c r="D20" s="51">
        <f>2.8+1.8</f>
        <v>4.5999999999999996</v>
      </c>
      <c r="E20" s="51">
        <f>1.9+2.8</f>
        <v>4.6999999999999993</v>
      </c>
      <c r="F20" s="51">
        <v>4.3</v>
      </c>
      <c r="G20" s="51">
        <v>3.9</v>
      </c>
      <c r="H20" s="51">
        <f>1.9+2.4</f>
        <v>4.3</v>
      </c>
      <c r="I20" s="51">
        <v>4</v>
      </c>
      <c r="J20" s="51">
        <v>2.9</v>
      </c>
      <c r="K20" s="51">
        <f>4.5+1.5</f>
        <v>6</v>
      </c>
      <c r="L20" s="51">
        <f>3.8+0.8</f>
        <v>4.5999999999999996</v>
      </c>
      <c r="M20" s="51">
        <v>6.1</v>
      </c>
      <c r="N20" s="51">
        <f>2.5+1.3</f>
        <v>3.8</v>
      </c>
      <c r="O20" s="51">
        <f>3.1+1.5</f>
        <v>4.5999999999999996</v>
      </c>
      <c r="P20" s="51">
        <f>3.1+1.7</f>
        <v>4.8</v>
      </c>
      <c r="Q20" s="51">
        <v>3.9</v>
      </c>
      <c r="R20" s="51">
        <f>2.5+1.2</f>
        <v>3.7</v>
      </c>
      <c r="S20" s="51">
        <f>2.5+1.8</f>
        <v>4.3</v>
      </c>
      <c r="T20" s="51">
        <f>2.8+1.5</f>
        <v>4.3</v>
      </c>
      <c r="U20" s="51">
        <v>4.5</v>
      </c>
      <c r="V20" s="51">
        <v>3</v>
      </c>
      <c r="W20" s="51">
        <v>4</v>
      </c>
      <c r="X20" s="51">
        <v>3.3</v>
      </c>
      <c r="Y20" s="51">
        <v>3</v>
      </c>
      <c r="Z20" s="51">
        <v>3</v>
      </c>
      <c r="AA20" s="51">
        <v>4</v>
      </c>
      <c r="AB20" s="51">
        <f>2.5+1.8</f>
        <v>4.3</v>
      </c>
      <c r="AC20" s="51">
        <f>1.8+1.8</f>
        <v>3.6</v>
      </c>
      <c r="AD20" s="51">
        <f>1.5+2.2</f>
        <v>3.7</v>
      </c>
      <c r="AE20" s="51">
        <f>2.5+1.9</f>
        <v>4.4000000000000004</v>
      </c>
      <c r="AF20" s="51">
        <f>1.9+2.5</f>
        <v>4.4000000000000004</v>
      </c>
      <c r="AG20" s="46">
        <f t="shared" si="0"/>
        <v>127.8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>
        <v>0</v>
      </c>
      <c r="C22" s="51">
        <v>0</v>
      </c>
      <c r="D22" s="51">
        <v>0</v>
      </c>
      <c r="E22" s="51">
        <v>0</v>
      </c>
      <c r="F22" s="51">
        <v>0.8</v>
      </c>
      <c r="G22" s="51">
        <v>0</v>
      </c>
      <c r="H22" s="51">
        <v>0</v>
      </c>
      <c r="I22" s="51">
        <v>0</v>
      </c>
      <c r="J22" s="51">
        <v>0</v>
      </c>
      <c r="K22" s="51">
        <v>0</v>
      </c>
      <c r="L22" s="51">
        <v>0</v>
      </c>
      <c r="M22" s="51">
        <v>0.4</v>
      </c>
      <c r="N22" s="51">
        <v>0</v>
      </c>
      <c r="O22" s="51">
        <v>0</v>
      </c>
      <c r="P22" s="51">
        <v>0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0.3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0.4</v>
      </c>
      <c r="AF22" s="51">
        <v>0</v>
      </c>
      <c r="AG22" s="46">
        <f t="shared" si="0"/>
        <v>1.9000000000000004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>
        <v>0.5</v>
      </c>
      <c r="D25" s="51">
        <v>0.4</v>
      </c>
      <c r="E25" s="51">
        <v>0.3</v>
      </c>
      <c r="F25" s="51">
        <v>0.5</v>
      </c>
      <c r="G25" s="51">
        <v>0.8</v>
      </c>
      <c r="H25" s="51">
        <v>0</v>
      </c>
      <c r="I25" s="51">
        <v>0.5</v>
      </c>
      <c r="J25" s="51">
        <v>0.3</v>
      </c>
      <c r="K25" s="51">
        <v>0.5</v>
      </c>
      <c r="L25" s="51">
        <v>0.4</v>
      </c>
      <c r="M25" s="51">
        <v>0.3</v>
      </c>
      <c r="N25" s="51">
        <v>0.5</v>
      </c>
      <c r="O25" s="51">
        <v>0.3</v>
      </c>
      <c r="P25" s="51">
        <v>0.6</v>
      </c>
      <c r="Q25" s="51">
        <v>0.4</v>
      </c>
      <c r="R25" s="51">
        <v>0.8</v>
      </c>
      <c r="S25" s="51">
        <v>0.6</v>
      </c>
      <c r="T25" s="51">
        <v>0.9</v>
      </c>
      <c r="U25" s="51">
        <v>0.4</v>
      </c>
      <c r="V25" s="51">
        <v>0.3</v>
      </c>
      <c r="W25" s="51">
        <v>0.2</v>
      </c>
      <c r="X25" s="51">
        <v>0.1</v>
      </c>
      <c r="Y25" s="51">
        <v>0.5</v>
      </c>
      <c r="Z25" s="51">
        <v>0.3</v>
      </c>
      <c r="AA25" s="51">
        <v>0.6</v>
      </c>
      <c r="AB25" s="51">
        <v>0.6</v>
      </c>
      <c r="AC25" s="51">
        <v>0.6</v>
      </c>
      <c r="AD25" s="51">
        <v>0.2</v>
      </c>
      <c r="AE25" s="51">
        <v>0.7</v>
      </c>
      <c r="AF25" s="51">
        <v>0.5</v>
      </c>
      <c r="AG25" s="46">
        <f t="shared" si="0"/>
        <v>13.599999999999998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114">
        <v>0.3</v>
      </c>
      <c r="C28" s="114">
        <v>0.6</v>
      </c>
      <c r="D28" s="114">
        <v>0.4</v>
      </c>
      <c r="E28" s="114">
        <v>0.2</v>
      </c>
      <c r="F28" s="52">
        <v>0.7</v>
      </c>
      <c r="G28" s="114">
        <v>0.8</v>
      </c>
      <c r="H28" s="52">
        <v>3</v>
      </c>
      <c r="I28" s="114">
        <v>2</v>
      </c>
      <c r="J28" s="114">
        <v>1</v>
      </c>
      <c r="K28" s="52">
        <v>0.3</v>
      </c>
      <c r="L28" s="114">
        <v>0.6</v>
      </c>
      <c r="M28" s="114">
        <v>0.8</v>
      </c>
      <c r="N28" s="114">
        <v>3</v>
      </c>
      <c r="O28" s="114">
        <v>3.9</v>
      </c>
      <c r="P28" s="114">
        <v>0.7</v>
      </c>
      <c r="Q28" s="114">
        <v>0.6</v>
      </c>
      <c r="R28" s="52">
        <v>0.3</v>
      </c>
      <c r="S28" s="52">
        <v>0.2</v>
      </c>
      <c r="T28" s="114">
        <v>0.5</v>
      </c>
      <c r="U28" s="52">
        <v>0.6</v>
      </c>
      <c r="V28" s="114">
        <v>0.7</v>
      </c>
      <c r="W28" s="52">
        <v>0.8</v>
      </c>
      <c r="X28" s="52">
        <v>0.8</v>
      </c>
      <c r="Y28" s="114">
        <v>0.6</v>
      </c>
      <c r="Z28" s="114">
        <v>0.7</v>
      </c>
      <c r="AA28" s="114">
        <v>0.1</v>
      </c>
      <c r="AB28" s="52">
        <v>0.3</v>
      </c>
      <c r="AC28" s="114">
        <v>0.7</v>
      </c>
      <c r="AD28" s="114">
        <v>0.9</v>
      </c>
      <c r="AE28" s="114">
        <v>0.7</v>
      </c>
      <c r="AF28" s="52">
        <v>0.1</v>
      </c>
      <c r="AG28" s="46">
        <f t="shared" si="0"/>
        <v>26.900000000000006</v>
      </c>
      <c r="AH28" s="48"/>
      <c r="AI28" s="48"/>
    </row>
    <row r="29" spans="1:35" s="44" customFormat="1" ht="18.75" customHeight="1" x14ac:dyDescent="0.35">
      <c r="A29" s="60" t="s">
        <v>81</v>
      </c>
      <c r="B29" s="52">
        <v>1.7</v>
      </c>
      <c r="C29" s="52">
        <f>1.3+1.9</f>
        <v>3.2</v>
      </c>
      <c r="D29" s="52">
        <f>2.1+1.3</f>
        <v>3.4000000000000004</v>
      </c>
      <c r="E29" s="52">
        <f>1.7+1.3</f>
        <v>3</v>
      </c>
      <c r="F29" s="52">
        <f>1.9+1.3</f>
        <v>3.2</v>
      </c>
      <c r="G29" s="52">
        <f>1.7+2.1</f>
        <v>3.8</v>
      </c>
      <c r="H29" s="52">
        <v>1.9</v>
      </c>
      <c r="I29" s="52">
        <f>1.9+1.1</f>
        <v>3</v>
      </c>
      <c r="J29" s="52">
        <f>2.1+0.5</f>
        <v>2.6</v>
      </c>
      <c r="K29" s="52">
        <f>3.1+2.9</f>
        <v>6</v>
      </c>
      <c r="L29" s="114">
        <f>1.5+1.4</f>
        <v>2.9</v>
      </c>
      <c r="M29" s="52">
        <f>1.8+0.5</f>
        <v>2.2999999999999998</v>
      </c>
      <c r="N29" s="114">
        <f>1.5+0.9</f>
        <v>2.4</v>
      </c>
      <c r="O29" s="114">
        <v>2.1</v>
      </c>
      <c r="P29" s="52">
        <f>1.7+0.9</f>
        <v>2.6</v>
      </c>
      <c r="Q29" s="52">
        <f>1.9+2.3</f>
        <v>4.1999999999999993</v>
      </c>
      <c r="R29" s="52">
        <f>1.1+1.3</f>
        <v>2.4000000000000004</v>
      </c>
      <c r="S29" s="114">
        <f>0.7+1.1</f>
        <v>1.8</v>
      </c>
      <c r="T29" s="52">
        <f>0.7+0.9</f>
        <v>1.6</v>
      </c>
      <c r="U29" s="52">
        <f>1.7+1.2</f>
        <v>2.9</v>
      </c>
      <c r="V29" s="114">
        <f>1.9+2.1</f>
        <v>4</v>
      </c>
      <c r="W29" s="52">
        <f>1.8+0.5</f>
        <v>2.2999999999999998</v>
      </c>
      <c r="X29" s="52">
        <f>1.1+0.7</f>
        <v>1.8</v>
      </c>
      <c r="Y29" s="52">
        <v>1.5</v>
      </c>
      <c r="Z29" s="114">
        <v>2.7</v>
      </c>
      <c r="AA29" s="52">
        <f>1.9+1.3</f>
        <v>3.2</v>
      </c>
      <c r="AB29" s="52">
        <f>1.3+1.1</f>
        <v>2.4000000000000004</v>
      </c>
      <c r="AC29" s="52">
        <v>1.7</v>
      </c>
      <c r="AD29" s="52">
        <f>1.9+1.1</f>
        <v>3</v>
      </c>
      <c r="AE29" s="52">
        <f>2.1+1.2</f>
        <v>3.3</v>
      </c>
      <c r="AF29" s="52">
        <f>0.9+1.3</f>
        <v>2.2000000000000002</v>
      </c>
      <c r="AG29" s="46">
        <f t="shared" si="0"/>
        <v>85.100000000000009</v>
      </c>
      <c r="AH29" s="48"/>
      <c r="AI29" s="48"/>
    </row>
    <row r="30" spans="1:35" s="44" customFormat="1" ht="18.75" customHeight="1" x14ac:dyDescent="0.35">
      <c r="A30" s="60" t="s">
        <v>86</v>
      </c>
      <c r="B30" s="52">
        <v>1.3</v>
      </c>
      <c r="C30" s="52">
        <v>1.5</v>
      </c>
      <c r="D30" s="52">
        <v>1.2</v>
      </c>
      <c r="E30" s="52">
        <v>0.8</v>
      </c>
      <c r="F30" s="52">
        <v>1.5</v>
      </c>
      <c r="G30" s="52">
        <v>1.2</v>
      </c>
      <c r="H30" s="52">
        <v>1.1000000000000001</v>
      </c>
      <c r="I30" s="52">
        <v>0.6</v>
      </c>
      <c r="J30" s="52">
        <v>1.6</v>
      </c>
      <c r="K30" s="52">
        <v>1.4</v>
      </c>
      <c r="L30" s="52">
        <v>1.5</v>
      </c>
      <c r="M30" s="52">
        <v>0.7</v>
      </c>
      <c r="N30" s="52">
        <v>1.3</v>
      </c>
      <c r="O30" s="52">
        <v>1.5</v>
      </c>
      <c r="P30" s="52">
        <v>0.9</v>
      </c>
      <c r="Q30" s="44">
        <v>1.2</v>
      </c>
      <c r="R30" s="52">
        <v>0.5</v>
      </c>
      <c r="S30" s="52">
        <v>0.9</v>
      </c>
      <c r="T30" s="52">
        <v>1.2</v>
      </c>
      <c r="U30" s="52">
        <v>0.8</v>
      </c>
      <c r="V30" s="52">
        <v>1.2</v>
      </c>
      <c r="W30" s="52">
        <v>0.8</v>
      </c>
      <c r="X30" s="52">
        <v>1.4</v>
      </c>
      <c r="Y30" s="52">
        <v>0.9</v>
      </c>
      <c r="Z30" s="52">
        <v>1.4</v>
      </c>
      <c r="AA30" s="52">
        <v>1.2</v>
      </c>
      <c r="AB30" s="52">
        <v>1.6</v>
      </c>
      <c r="AC30" s="52">
        <v>0.7</v>
      </c>
      <c r="AD30" s="52">
        <v>1.2</v>
      </c>
      <c r="AE30" s="52">
        <v>0.7</v>
      </c>
      <c r="AF30" s="52">
        <v>0.8</v>
      </c>
      <c r="AG30" s="46">
        <f t="shared" si="0"/>
        <v>34.599999999999994</v>
      </c>
      <c r="AH30" s="48"/>
      <c r="AI30" s="48"/>
    </row>
    <row r="31" spans="1:35" s="44" customFormat="1" ht="18.75" customHeight="1" x14ac:dyDescent="0.35">
      <c r="A31" s="60" t="s">
        <v>82</v>
      </c>
      <c r="B31" s="49">
        <f>1.9+11.9+10.9</f>
        <v>24.700000000000003</v>
      </c>
      <c r="C31" s="51">
        <f>10.9+9.9+11.9</f>
        <v>32.700000000000003</v>
      </c>
      <c r="D31" s="51">
        <f>10.9+10.8+9.9</f>
        <v>31.6</v>
      </c>
      <c r="E31" s="51">
        <f>12.9+11.7+10.9</f>
        <v>35.5</v>
      </c>
      <c r="F31" s="51">
        <f>12.5+10.9+9.9</f>
        <v>33.299999999999997</v>
      </c>
      <c r="G31" s="51">
        <f>7.4+6.5+5.9</f>
        <v>19.8</v>
      </c>
      <c r="H31" s="51">
        <f>6.4+5.8+3.95</f>
        <v>16.149999999999999</v>
      </c>
      <c r="I31" s="51">
        <f>4.45+8.45+7.45</f>
        <v>20.349999999999998</v>
      </c>
      <c r="J31" s="186">
        <f>4.5+6.1+3.1</f>
        <v>13.7</v>
      </c>
      <c r="K31" s="51">
        <f>10.9+10.8+11.9</f>
        <v>33.6</v>
      </c>
      <c r="L31" s="51">
        <f>10.9+9.9+10.1</f>
        <v>30.9</v>
      </c>
      <c r="M31" s="51">
        <f>10.9+11.9+10.1</f>
        <v>32.9</v>
      </c>
      <c r="N31" s="51">
        <f>10.9+10.9+9.9</f>
        <v>31.700000000000003</v>
      </c>
      <c r="O31" s="51">
        <f>10.9+10.9+10.7</f>
        <v>32.5</v>
      </c>
      <c r="P31" s="51">
        <f>8.07+7.1+5.1</f>
        <v>20.27</v>
      </c>
      <c r="Q31" s="51">
        <f>8.07+7+5</f>
        <v>20.07</v>
      </c>
      <c r="R31" s="51">
        <f>7.1+6+9.1</f>
        <v>22.2</v>
      </c>
      <c r="S31" s="186">
        <f>1.75+0.82+0.42</f>
        <v>2.9899999999999998</v>
      </c>
      <c r="T31" s="186">
        <f>1.5+1.62+1.72</f>
        <v>4.84</v>
      </c>
      <c r="U31" s="186">
        <f>1.8+1.9+1.95</f>
        <v>5.65</v>
      </c>
      <c r="V31" s="51">
        <f>12.9+10.8+18</f>
        <v>41.7</v>
      </c>
      <c r="W31" s="51">
        <f>7.47+6.3+5.1</f>
        <v>18.869999999999997</v>
      </c>
      <c r="X31" s="51">
        <f>4.01+7.1+8.7</f>
        <v>19.809999999999999</v>
      </c>
      <c r="Y31" s="51">
        <f>11.9+10.9+9.9</f>
        <v>32.700000000000003</v>
      </c>
      <c r="Z31" s="51">
        <f>4.3+7.1+5.2</f>
        <v>16.599999999999998</v>
      </c>
      <c r="AA31" s="51">
        <f>10.5+7+6.4</f>
        <v>23.9</v>
      </c>
      <c r="AB31" s="51">
        <f>10.9+9.9+8.9</f>
        <v>29.700000000000003</v>
      </c>
      <c r="AC31" s="51">
        <f>10.75+1.85+1.45</f>
        <v>14.049999999999999</v>
      </c>
      <c r="AD31" s="186">
        <f>1.76+1.79+1.99</f>
        <v>5.54</v>
      </c>
      <c r="AE31" s="186">
        <f>1.82+16.2+17.5</f>
        <v>35.519999999999996</v>
      </c>
      <c r="AF31" s="51"/>
      <c r="AG31" s="46">
        <f t="shared" si="0"/>
        <v>703.80999999999983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57.100000000000009</v>
      </c>
      <c r="C33" s="51">
        <f t="shared" ref="C33:AF33" si="1">SUM(C3:C32)</f>
        <v>69.400000000000006</v>
      </c>
      <c r="D33" s="51">
        <f t="shared" si="1"/>
        <v>62.8</v>
      </c>
      <c r="E33" s="51">
        <f t="shared" si="1"/>
        <v>62.74</v>
      </c>
      <c r="F33" s="51">
        <f t="shared" si="1"/>
        <v>58.3</v>
      </c>
      <c r="G33" s="51">
        <f t="shared" si="1"/>
        <v>49.2</v>
      </c>
      <c r="H33" s="51">
        <f t="shared" si="1"/>
        <v>52.75</v>
      </c>
      <c r="I33" s="51">
        <f t="shared" si="1"/>
        <v>47.349999999999994</v>
      </c>
      <c r="J33" s="51">
        <f t="shared" si="1"/>
        <v>49.5</v>
      </c>
      <c r="K33" s="51">
        <f t="shared" si="1"/>
        <v>64.14</v>
      </c>
      <c r="L33" s="51">
        <f t="shared" si="1"/>
        <v>62.9</v>
      </c>
      <c r="M33" s="51">
        <f t="shared" si="1"/>
        <v>70.399999999999991</v>
      </c>
      <c r="N33" s="51">
        <f t="shared" si="1"/>
        <v>67.900000000000006</v>
      </c>
      <c r="O33" s="51">
        <f t="shared" si="1"/>
        <v>66.899999999999991</v>
      </c>
      <c r="P33" s="51">
        <f t="shared" si="1"/>
        <v>53.17</v>
      </c>
      <c r="Q33" s="51">
        <f t="shared" si="1"/>
        <v>62.07</v>
      </c>
      <c r="R33" s="51">
        <f t="shared" si="1"/>
        <v>48.3</v>
      </c>
      <c r="S33" s="51">
        <f t="shared" si="1"/>
        <v>28.490000000000002</v>
      </c>
      <c r="T33" s="51">
        <f t="shared" si="1"/>
        <v>28.14</v>
      </c>
      <c r="U33" s="51">
        <f t="shared" si="1"/>
        <v>40.449999999999996</v>
      </c>
      <c r="V33" s="51">
        <f t="shared" si="1"/>
        <v>72.5</v>
      </c>
      <c r="W33" s="51">
        <f t="shared" si="1"/>
        <v>46.370000000000005</v>
      </c>
      <c r="X33" s="51">
        <f t="shared" si="1"/>
        <v>46.21</v>
      </c>
      <c r="Y33" s="51">
        <f t="shared" si="1"/>
        <v>54.7</v>
      </c>
      <c r="Z33" s="51">
        <f t="shared" si="1"/>
        <v>49.8</v>
      </c>
      <c r="AA33" s="51">
        <f t="shared" si="1"/>
        <v>55.900000000000006</v>
      </c>
      <c r="AB33" s="51">
        <f t="shared" si="1"/>
        <v>62.300000000000004</v>
      </c>
      <c r="AC33" s="51">
        <f t="shared" si="1"/>
        <v>42.85</v>
      </c>
      <c r="AD33" s="51">
        <f t="shared" si="1"/>
        <v>33.239999999999995</v>
      </c>
      <c r="AE33" s="51">
        <f t="shared" si="1"/>
        <v>64.319999999999993</v>
      </c>
      <c r="AF33" s="51">
        <f t="shared" si="1"/>
        <v>20</v>
      </c>
      <c r="AG33" s="56">
        <f>SUM(B33:AF33)</f>
        <v>1650.1899999999998</v>
      </c>
      <c r="AH33" s="57"/>
      <c r="AI33" s="57"/>
    </row>
    <row r="34" spans="1:35" s="2" customFormat="1" x14ac:dyDescent="0.25">
      <c r="AG34" s="24">
        <f>SUM(AG3:AG31)</f>
        <v>1650.1899999999998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" width="8.140625" customWidth="1"/>
    <col min="4" max="4" width="11.28515625" customWidth="1"/>
    <col min="5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50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145"/>
      <c r="D12" s="145"/>
      <c r="E12" s="145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114"/>
      <c r="Z14" s="52"/>
      <c r="AA14" s="114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236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114"/>
      <c r="C28" s="114"/>
      <c r="D28" s="114"/>
      <c r="E28" s="114"/>
      <c r="F28" s="52"/>
      <c r="G28" s="114"/>
      <c r="H28" s="52"/>
      <c r="I28" s="114"/>
      <c r="J28" s="114"/>
      <c r="K28" s="52"/>
      <c r="L28" s="114"/>
      <c r="M28" s="114"/>
      <c r="N28" s="114"/>
      <c r="O28" s="114"/>
      <c r="P28" s="114"/>
      <c r="Q28" s="114"/>
      <c r="R28" s="52"/>
      <c r="S28" s="52"/>
      <c r="T28" s="114"/>
      <c r="U28" s="52"/>
      <c r="V28" s="114"/>
      <c r="W28" s="52"/>
      <c r="X28" s="52"/>
      <c r="Y28" s="114"/>
      <c r="Z28" s="114"/>
      <c r="AA28" s="114"/>
      <c r="AB28" s="52"/>
      <c r="AC28" s="114"/>
      <c r="AD28" s="114"/>
      <c r="AE28" s="114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114"/>
      <c r="M29" s="52"/>
      <c r="N29" s="114"/>
      <c r="O29" s="114"/>
      <c r="P29" s="52"/>
      <c r="Q29" s="52"/>
      <c r="R29" s="52"/>
      <c r="S29" s="114"/>
      <c r="T29" s="52"/>
      <c r="U29" s="52"/>
      <c r="V29" s="114"/>
      <c r="W29" s="52"/>
      <c r="X29" s="52"/>
      <c r="Y29" s="52"/>
      <c r="Z29" s="114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114"/>
      <c r="T9" s="52"/>
      <c r="U9" s="114"/>
      <c r="V9" s="114"/>
      <c r="W9" s="114"/>
      <c r="X9" s="114"/>
      <c r="Y9" s="114"/>
      <c r="Z9" s="114"/>
      <c r="AA9" s="52"/>
      <c r="AB9" s="114"/>
      <c r="AC9" s="52"/>
      <c r="AD9" s="114"/>
      <c r="AE9" s="52"/>
      <c r="AF9" s="114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114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114"/>
      <c r="C21" s="114"/>
      <c r="D21" s="52"/>
      <c r="E21" s="114"/>
      <c r="F21" s="52"/>
      <c r="G21" s="114"/>
      <c r="H21" s="114"/>
      <c r="I21" s="114"/>
      <c r="J21" s="52"/>
      <c r="K21" s="114"/>
      <c r="L21" s="114"/>
      <c r="M21" s="114"/>
      <c r="N21" s="52"/>
      <c r="O21" s="114"/>
      <c r="P21" s="114"/>
      <c r="Q21" s="52"/>
      <c r="R21" s="114"/>
      <c r="S21" s="52"/>
      <c r="T21" s="114"/>
      <c r="U21" s="52"/>
      <c r="V21" s="114"/>
      <c r="W21" s="114"/>
      <c r="X21" s="114"/>
      <c r="Y21" s="52"/>
      <c r="Z21" s="114"/>
      <c r="AA21" s="52"/>
      <c r="AB21" s="114"/>
      <c r="AC21" s="114"/>
      <c r="AD21" s="114"/>
      <c r="AE21" s="52"/>
      <c r="AF21" s="114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114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114"/>
      <c r="C28" s="114"/>
      <c r="D28" s="52"/>
      <c r="E28" s="114"/>
      <c r="F28" s="52"/>
      <c r="G28" s="114"/>
      <c r="H28" s="114"/>
      <c r="I28" s="114"/>
      <c r="J28" s="52"/>
      <c r="K28" s="114"/>
      <c r="L28" s="114"/>
      <c r="M28" s="114"/>
      <c r="N28" s="52"/>
      <c r="O28" s="114"/>
      <c r="P28" s="114"/>
      <c r="Q28" s="52"/>
      <c r="R28" s="114"/>
      <c r="S28" s="52"/>
      <c r="T28" s="114"/>
      <c r="U28" s="52"/>
      <c r="V28" s="114"/>
      <c r="W28" s="114"/>
      <c r="X28" s="114"/>
      <c r="Y28" s="52"/>
      <c r="Z28" s="114"/>
      <c r="AA28" s="52"/>
      <c r="AB28" s="114"/>
      <c r="AC28" s="114"/>
      <c r="AD28" s="114"/>
      <c r="AE28" s="52"/>
      <c r="AF28" s="114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114"/>
      <c r="L29" s="114"/>
      <c r="M29" s="52"/>
      <c r="N29" s="114"/>
      <c r="O29" s="52"/>
      <c r="P29" s="114"/>
      <c r="Q29" s="52"/>
      <c r="R29" s="114"/>
      <c r="S29" s="52"/>
      <c r="T29" s="52"/>
      <c r="U29" s="52"/>
      <c r="V29" s="114"/>
      <c r="W29" s="52"/>
      <c r="X29" s="52"/>
      <c r="Y29" s="52"/>
      <c r="Z29" s="52"/>
      <c r="AA29" s="52"/>
      <c r="AB29" s="52"/>
      <c r="AC29" s="52"/>
      <c r="AD29" s="52"/>
      <c r="AE29" s="52"/>
      <c r="AF29" s="114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5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6.710937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>
        <v>3</v>
      </c>
      <c r="C3" s="49">
        <v>2.8</v>
      </c>
      <c r="D3" s="49">
        <v>5</v>
      </c>
      <c r="E3" s="49">
        <v>4.5</v>
      </c>
      <c r="F3" s="49">
        <v>2.1</v>
      </c>
      <c r="G3" s="51">
        <v>1</v>
      </c>
      <c r="H3" s="51">
        <v>0</v>
      </c>
      <c r="I3" s="51">
        <v>5</v>
      </c>
      <c r="J3" s="51">
        <v>2.1</v>
      </c>
      <c r="K3" s="51">
        <v>1</v>
      </c>
      <c r="L3" s="51">
        <v>3.5</v>
      </c>
      <c r="M3" s="51">
        <v>4</v>
      </c>
      <c r="N3" s="51">
        <v>5</v>
      </c>
      <c r="O3" s="51">
        <v>2.8</v>
      </c>
      <c r="P3" s="51">
        <v>0</v>
      </c>
      <c r="Q3" s="51">
        <v>5</v>
      </c>
      <c r="R3" s="51">
        <v>2</v>
      </c>
      <c r="S3" s="51">
        <v>2.8</v>
      </c>
      <c r="T3" s="51">
        <v>5</v>
      </c>
      <c r="U3" s="51">
        <v>4</v>
      </c>
      <c r="V3" s="51">
        <v>5</v>
      </c>
      <c r="W3" s="51">
        <v>6.5</v>
      </c>
      <c r="X3" s="51">
        <v>0</v>
      </c>
      <c r="Y3" s="51">
        <v>3.2</v>
      </c>
      <c r="Z3" s="51">
        <v>2.5</v>
      </c>
      <c r="AA3" s="51">
        <v>8.5</v>
      </c>
      <c r="AB3" s="51">
        <v>3.2</v>
      </c>
      <c r="AC3" s="51">
        <v>4</v>
      </c>
      <c r="AD3" s="51">
        <v>3.2</v>
      </c>
      <c r="AE3" s="51">
        <v>4.5</v>
      </c>
      <c r="AF3" s="51"/>
      <c r="AG3" s="46">
        <f t="shared" ref="AG3:AG34" si="0">SUM(B3:AF3)</f>
        <v>101.2</v>
      </c>
      <c r="AH3" s="47"/>
      <c r="AI3" s="48"/>
    </row>
    <row r="4" spans="1:35" s="44" customFormat="1" ht="37.5" customHeight="1" x14ac:dyDescent="0.35">
      <c r="A4" s="60" t="s">
        <v>193</v>
      </c>
      <c r="B4" s="49">
        <v>3</v>
      </c>
      <c r="C4" s="51">
        <v>4</v>
      </c>
      <c r="D4" s="51">
        <v>3</v>
      </c>
      <c r="E4" s="51">
        <v>2</v>
      </c>
      <c r="F4" s="51">
        <v>3</v>
      </c>
      <c r="G4" s="51">
        <v>2</v>
      </c>
      <c r="H4" s="51">
        <v>2</v>
      </c>
      <c r="I4" s="51">
        <v>2</v>
      </c>
      <c r="J4" s="51">
        <v>3</v>
      </c>
      <c r="K4" s="51">
        <v>2</v>
      </c>
      <c r="L4" s="51">
        <v>3</v>
      </c>
      <c r="M4" s="51">
        <v>2</v>
      </c>
      <c r="N4" s="51">
        <v>3</v>
      </c>
      <c r="O4" s="51">
        <v>2</v>
      </c>
      <c r="P4" s="51">
        <v>3</v>
      </c>
      <c r="Q4" s="51">
        <v>2</v>
      </c>
      <c r="R4" s="51">
        <v>3</v>
      </c>
      <c r="S4" s="51">
        <v>2</v>
      </c>
      <c r="T4" s="51">
        <v>3</v>
      </c>
      <c r="U4" s="51">
        <v>4</v>
      </c>
      <c r="V4" s="51">
        <v>3</v>
      </c>
      <c r="W4" s="51">
        <v>3</v>
      </c>
      <c r="X4" s="51">
        <v>3</v>
      </c>
      <c r="Y4" s="51">
        <v>3</v>
      </c>
      <c r="Z4" s="51">
        <v>3</v>
      </c>
      <c r="AA4" s="51">
        <v>2</v>
      </c>
      <c r="AB4" s="51">
        <v>3</v>
      </c>
      <c r="AC4" s="51">
        <v>4</v>
      </c>
      <c r="AD4" s="51">
        <v>3</v>
      </c>
      <c r="AE4" s="51">
        <v>3</v>
      </c>
      <c r="AF4" s="51"/>
      <c r="AG4" s="46">
        <f t="shared" si="0"/>
        <v>83</v>
      </c>
      <c r="AH4" s="48"/>
      <c r="AI4" s="48"/>
    </row>
    <row r="5" spans="1:35" s="44" customFormat="1" ht="18.75" customHeight="1" x14ac:dyDescent="0.35">
      <c r="A5" s="60" t="s">
        <v>83</v>
      </c>
      <c r="B5" s="49">
        <v>0.9</v>
      </c>
      <c r="C5" s="51">
        <v>1.3</v>
      </c>
      <c r="D5" s="51">
        <v>1.1000000000000001</v>
      </c>
      <c r="E5" s="51">
        <v>0</v>
      </c>
      <c r="F5" s="51">
        <v>0</v>
      </c>
      <c r="G5" s="51">
        <v>0</v>
      </c>
      <c r="H5" s="51">
        <v>0</v>
      </c>
      <c r="I5" s="51">
        <v>1.3</v>
      </c>
      <c r="J5" s="51">
        <v>1.3</v>
      </c>
      <c r="K5" s="51">
        <v>1.9</v>
      </c>
      <c r="L5" s="51">
        <v>0.9</v>
      </c>
      <c r="M5" s="51">
        <v>1.9</v>
      </c>
      <c r="N5" s="51">
        <v>1.8</v>
      </c>
      <c r="O5" s="51">
        <v>0</v>
      </c>
      <c r="P5" s="51">
        <v>0</v>
      </c>
      <c r="Q5" s="51">
        <v>1</v>
      </c>
      <c r="R5" s="51">
        <v>1.3</v>
      </c>
      <c r="S5" s="51">
        <v>0.9</v>
      </c>
      <c r="T5" s="51">
        <v>1.3</v>
      </c>
      <c r="U5" s="51">
        <v>0</v>
      </c>
      <c r="V5" s="51">
        <v>1</v>
      </c>
      <c r="W5" s="51">
        <v>0</v>
      </c>
      <c r="X5" s="51">
        <v>0.9</v>
      </c>
      <c r="Y5" s="51">
        <v>1.9</v>
      </c>
      <c r="Z5" s="51">
        <v>1.3</v>
      </c>
      <c r="AA5" s="51">
        <v>1.8</v>
      </c>
      <c r="AB5" s="51">
        <v>1.9</v>
      </c>
      <c r="AC5" s="51">
        <v>1.3</v>
      </c>
      <c r="AD5" s="51">
        <v>0</v>
      </c>
      <c r="AE5" s="51">
        <v>1</v>
      </c>
      <c r="AF5" s="51"/>
      <c r="AG5" s="46">
        <f t="shared" si="0"/>
        <v>28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>
        <v>0.5</v>
      </c>
      <c r="C8" s="51">
        <v>0.9</v>
      </c>
      <c r="D8" s="51">
        <v>1.5</v>
      </c>
      <c r="E8" s="51">
        <v>9</v>
      </c>
      <c r="F8" s="51">
        <v>0.5</v>
      </c>
      <c r="G8" s="51">
        <v>0.2</v>
      </c>
      <c r="H8" s="51">
        <v>0.7</v>
      </c>
      <c r="I8" s="51">
        <v>1</v>
      </c>
      <c r="J8" s="51">
        <v>0.1</v>
      </c>
      <c r="K8" s="51">
        <v>0.5</v>
      </c>
      <c r="L8" s="51">
        <v>8.5</v>
      </c>
      <c r="M8" s="51">
        <v>0.1</v>
      </c>
      <c r="N8" s="51">
        <v>0.3</v>
      </c>
      <c r="O8" s="51">
        <v>0.5</v>
      </c>
      <c r="P8" s="51">
        <v>0.2</v>
      </c>
      <c r="Q8" s="51">
        <v>0.9</v>
      </c>
      <c r="R8" s="51">
        <v>1</v>
      </c>
      <c r="S8" s="51">
        <v>0.2</v>
      </c>
      <c r="T8" s="51">
        <v>0.5</v>
      </c>
      <c r="U8" s="51">
        <v>0.9</v>
      </c>
      <c r="V8" s="51">
        <v>0.3</v>
      </c>
      <c r="W8" s="51">
        <v>0.5</v>
      </c>
      <c r="X8" s="51">
        <v>0.1</v>
      </c>
      <c r="Y8" s="51">
        <v>0.2</v>
      </c>
      <c r="Z8" s="51">
        <v>1.5</v>
      </c>
      <c r="AA8" s="51">
        <v>0.2</v>
      </c>
      <c r="AB8" s="51">
        <v>0.5</v>
      </c>
      <c r="AC8" s="51">
        <v>0.9</v>
      </c>
      <c r="AD8" s="51">
        <v>0.3</v>
      </c>
      <c r="AE8" s="51">
        <v>0.5</v>
      </c>
      <c r="AF8" s="51"/>
      <c r="AG8" s="46">
        <f t="shared" si="0"/>
        <v>32.999999999999993</v>
      </c>
      <c r="AH8" s="48"/>
      <c r="AI8" s="48"/>
    </row>
    <row r="9" spans="1:35" s="44" customFormat="1" ht="18.75" customHeight="1" x14ac:dyDescent="0.35">
      <c r="A9" s="60" t="s">
        <v>258</v>
      </c>
      <c r="B9" s="49">
        <v>0</v>
      </c>
      <c r="C9" s="51">
        <v>0</v>
      </c>
      <c r="D9" s="51">
        <v>2.4</v>
      </c>
      <c r="E9" s="51">
        <v>1.3</v>
      </c>
      <c r="F9" s="51">
        <v>5.3</v>
      </c>
      <c r="G9" s="51">
        <v>4.3</v>
      </c>
      <c r="H9" s="51">
        <v>4.2</v>
      </c>
      <c r="I9" s="51">
        <v>3.2</v>
      </c>
      <c r="J9" s="51">
        <v>0</v>
      </c>
      <c r="K9" s="51">
        <v>4.3</v>
      </c>
      <c r="L9" s="51">
        <v>4.4000000000000004</v>
      </c>
      <c r="M9" s="51">
        <v>4.5999999999999996</v>
      </c>
      <c r="N9" s="51">
        <v>3.8</v>
      </c>
      <c r="O9" s="51">
        <v>2.2999999999999998</v>
      </c>
      <c r="P9" s="51">
        <v>2.2000000000000002</v>
      </c>
      <c r="Q9" s="51">
        <v>0</v>
      </c>
      <c r="R9" s="51">
        <v>4.3</v>
      </c>
      <c r="S9" s="51">
        <v>4.2</v>
      </c>
      <c r="T9" s="51">
        <v>4.4000000000000004</v>
      </c>
      <c r="U9" s="51">
        <v>5.7</v>
      </c>
      <c r="V9" s="51">
        <v>4.3</v>
      </c>
      <c r="W9" s="51">
        <v>2.2999999999999998</v>
      </c>
      <c r="X9" s="51">
        <v>0</v>
      </c>
      <c r="Y9" s="51">
        <v>4.8</v>
      </c>
      <c r="Z9" s="51">
        <v>4.2</v>
      </c>
      <c r="AA9" s="51">
        <v>4.0999999999999996</v>
      </c>
      <c r="AB9" s="51">
        <v>3.9</v>
      </c>
      <c r="AC9" s="51">
        <v>4.7</v>
      </c>
      <c r="AD9" s="51">
        <v>3.2</v>
      </c>
      <c r="AE9" s="51">
        <v>0</v>
      </c>
      <c r="AF9" s="51"/>
      <c r="AG9" s="46"/>
      <c r="AH9" s="48"/>
      <c r="AI9" s="48"/>
    </row>
    <row r="10" spans="1:35" s="44" customFormat="1" ht="18.75" customHeight="1" x14ac:dyDescent="0.35">
      <c r="A10" s="60" t="s">
        <v>66</v>
      </c>
      <c r="B10" s="49"/>
      <c r="C10" s="51"/>
      <c r="D10" s="51"/>
      <c r="E10" s="51"/>
      <c r="F10" s="51"/>
      <c r="G10" s="51"/>
      <c r="H10" s="51"/>
      <c r="I10" s="51"/>
      <c r="J10" s="51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50">
        <v>6.7</v>
      </c>
      <c r="C11" s="51">
        <v>8.3000000000000007</v>
      </c>
      <c r="D11" s="51">
        <v>6.2</v>
      </c>
      <c r="E11" s="51">
        <v>5.4</v>
      </c>
      <c r="F11" s="51">
        <v>6.1</v>
      </c>
      <c r="G11" s="51">
        <v>5.2</v>
      </c>
      <c r="H11" s="51">
        <v>4.3</v>
      </c>
      <c r="I11" s="51">
        <v>5.2</v>
      </c>
      <c r="J11" s="51">
        <v>7.1</v>
      </c>
      <c r="K11" s="51">
        <v>6.1</v>
      </c>
      <c r="L11" s="51">
        <v>4.2</v>
      </c>
      <c r="M11" s="51">
        <v>8.3000000000000007</v>
      </c>
      <c r="N11" s="51">
        <v>6.2</v>
      </c>
      <c r="O11" s="51">
        <v>5.4</v>
      </c>
      <c r="P11" s="51">
        <v>4.3</v>
      </c>
      <c r="Q11" s="51">
        <v>3.3</v>
      </c>
      <c r="R11" s="51">
        <v>4.0999999999999996</v>
      </c>
      <c r="S11" s="51">
        <v>5.2</v>
      </c>
      <c r="T11" s="51">
        <v>8.1999999999999993</v>
      </c>
      <c r="U11" s="51">
        <v>5.0999999999999996</v>
      </c>
      <c r="V11" s="51">
        <v>9.3000000000000007</v>
      </c>
      <c r="W11" s="51">
        <v>8.5</v>
      </c>
      <c r="X11" s="51">
        <v>6.1</v>
      </c>
      <c r="Y11" s="51">
        <v>8.1</v>
      </c>
      <c r="Z11" s="51">
        <v>3.2</v>
      </c>
      <c r="AA11" s="51">
        <v>6.1</v>
      </c>
      <c r="AB11" s="51">
        <v>5.4</v>
      </c>
      <c r="AC11" s="51">
        <v>9.3000000000000007</v>
      </c>
      <c r="AD11" s="51">
        <v>7.2</v>
      </c>
      <c r="AE11" s="51">
        <v>6.1</v>
      </c>
      <c r="AF11" s="51"/>
      <c r="AG11" s="46">
        <f t="shared" si="0"/>
        <v>184.19999999999996</v>
      </c>
      <c r="AH11" s="48"/>
      <c r="AI11" s="48"/>
    </row>
    <row r="12" spans="1:35" s="44" customFormat="1" ht="18.75" customHeight="1" x14ac:dyDescent="0.35">
      <c r="A12" s="60" t="s">
        <v>152</v>
      </c>
      <c r="B12" s="49">
        <v>0</v>
      </c>
      <c r="C12" s="51">
        <v>0</v>
      </c>
      <c r="D12" s="51">
        <v>0</v>
      </c>
      <c r="E12" s="51">
        <v>0</v>
      </c>
      <c r="F12" s="51">
        <v>1</v>
      </c>
      <c r="G12" s="51">
        <v>0</v>
      </c>
      <c r="H12" s="51">
        <v>0</v>
      </c>
      <c r="I12" s="51">
        <v>0</v>
      </c>
      <c r="J12" s="51">
        <v>0</v>
      </c>
      <c r="K12" s="51">
        <v>0</v>
      </c>
      <c r="L12" s="51">
        <v>0</v>
      </c>
      <c r="M12" s="51">
        <v>0</v>
      </c>
      <c r="N12" s="51">
        <v>1</v>
      </c>
      <c r="O12" s="51">
        <v>2</v>
      </c>
      <c r="P12" s="51">
        <v>0</v>
      </c>
      <c r="Q12" s="51">
        <v>0</v>
      </c>
      <c r="R12" s="51">
        <v>0</v>
      </c>
      <c r="S12" s="51">
        <v>1</v>
      </c>
      <c r="T12" s="51">
        <v>0</v>
      </c>
      <c r="U12" s="51">
        <v>0</v>
      </c>
      <c r="V12" s="51">
        <v>1</v>
      </c>
      <c r="W12" s="51">
        <v>0</v>
      </c>
      <c r="X12" s="51">
        <v>0</v>
      </c>
      <c r="Y12" s="51">
        <v>1</v>
      </c>
      <c r="Z12" s="51">
        <v>0</v>
      </c>
      <c r="AA12" s="51">
        <v>0</v>
      </c>
      <c r="AB12" s="51">
        <v>1.5</v>
      </c>
      <c r="AC12" s="51">
        <v>0</v>
      </c>
      <c r="AD12" s="51">
        <v>0</v>
      </c>
      <c r="AE12" s="51">
        <v>0</v>
      </c>
      <c r="AF12" s="51"/>
      <c r="AG12" s="46">
        <f t="shared" si="0"/>
        <v>8.5</v>
      </c>
      <c r="AH12" s="48"/>
      <c r="AI12" s="48"/>
    </row>
    <row r="13" spans="1:35" s="44" customFormat="1" ht="18.75" customHeight="1" x14ac:dyDescent="0.35">
      <c r="A13" s="60" t="s">
        <v>91</v>
      </c>
      <c r="B13" s="49">
        <v>0</v>
      </c>
      <c r="C13" s="51">
        <v>0</v>
      </c>
      <c r="D13" s="51">
        <v>1</v>
      </c>
      <c r="E13" s="51">
        <v>0</v>
      </c>
      <c r="F13" s="51">
        <v>1</v>
      </c>
      <c r="G13" s="51">
        <v>1.3</v>
      </c>
      <c r="H13" s="51">
        <v>0</v>
      </c>
      <c r="I13" s="51">
        <v>0</v>
      </c>
      <c r="J13" s="51">
        <v>1.5</v>
      </c>
      <c r="K13" s="51">
        <v>1.3</v>
      </c>
      <c r="L13" s="51">
        <v>0</v>
      </c>
      <c r="M13" s="51">
        <v>0</v>
      </c>
      <c r="N13" s="51">
        <v>0</v>
      </c>
      <c r="O13" s="51">
        <v>0</v>
      </c>
      <c r="P13" s="51">
        <v>0</v>
      </c>
      <c r="Q13" s="51">
        <v>1</v>
      </c>
      <c r="R13" s="51">
        <v>0</v>
      </c>
      <c r="S13" s="51">
        <v>0</v>
      </c>
      <c r="T13" s="51">
        <v>1</v>
      </c>
      <c r="U13" s="51">
        <v>0</v>
      </c>
      <c r="V13" s="51">
        <v>0</v>
      </c>
      <c r="W13" s="51">
        <v>0</v>
      </c>
      <c r="X13" s="51">
        <v>1.3</v>
      </c>
      <c r="Y13" s="51">
        <v>1</v>
      </c>
      <c r="Z13" s="51">
        <v>1</v>
      </c>
      <c r="AA13" s="51">
        <v>0</v>
      </c>
      <c r="AB13" s="51">
        <v>1</v>
      </c>
      <c r="AC13" s="51">
        <v>0</v>
      </c>
      <c r="AD13" s="51">
        <v>0</v>
      </c>
      <c r="AE13" s="51">
        <v>0</v>
      </c>
      <c r="AF13" s="51"/>
      <c r="AG13" s="46">
        <f t="shared" si="0"/>
        <v>12.4</v>
      </c>
      <c r="AH13" s="48"/>
      <c r="AI13" s="48"/>
    </row>
    <row r="14" spans="1:35" s="44" customFormat="1" ht="18.75" customHeight="1" x14ac:dyDescent="0.35">
      <c r="A14" s="60" t="s">
        <v>69</v>
      </c>
      <c r="B14" s="49"/>
      <c r="C14" s="51"/>
      <c r="D14" s="51"/>
      <c r="E14" s="51"/>
      <c r="F14" s="51"/>
      <c r="G14" s="51"/>
      <c r="H14" s="51"/>
      <c r="I14" s="51"/>
      <c r="J14" s="51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71</v>
      </c>
      <c r="B15" s="49">
        <v>0.5</v>
      </c>
      <c r="C15" s="51">
        <v>0.5</v>
      </c>
      <c r="D15" s="51">
        <v>0.1</v>
      </c>
      <c r="E15" s="51">
        <v>1</v>
      </c>
      <c r="F15" s="51">
        <v>0</v>
      </c>
      <c r="G15" s="51">
        <v>0</v>
      </c>
      <c r="H15" s="51">
        <v>0</v>
      </c>
      <c r="I15" s="51">
        <v>2.4500000000000002</v>
      </c>
      <c r="J15" s="51">
        <v>1</v>
      </c>
      <c r="K15" s="51">
        <v>0.5</v>
      </c>
      <c r="L15" s="51">
        <v>1.1000000000000001</v>
      </c>
      <c r="M15" s="51">
        <v>1.1000000000000001</v>
      </c>
      <c r="N15" s="51">
        <v>0.9</v>
      </c>
      <c r="O15" s="51">
        <v>0.5</v>
      </c>
      <c r="P15" s="51">
        <v>0.6</v>
      </c>
      <c r="Q15" s="51">
        <v>0.8</v>
      </c>
      <c r="R15" s="51">
        <v>0.5</v>
      </c>
      <c r="S15" s="51">
        <v>0.3</v>
      </c>
      <c r="T15" s="51">
        <v>0.5</v>
      </c>
      <c r="U15" s="51">
        <v>3.5</v>
      </c>
      <c r="V15" s="51">
        <v>3.9</v>
      </c>
      <c r="W15" s="51">
        <v>0.5</v>
      </c>
      <c r="X15" s="51">
        <v>0.3</v>
      </c>
      <c r="Y15" s="51">
        <v>0.3</v>
      </c>
      <c r="Z15" s="51">
        <v>0.9</v>
      </c>
      <c r="AA15" s="51">
        <v>0.7</v>
      </c>
      <c r="AB15" s="51">
        <v>0.3</v>
      </c>
      <c r="AC15" s="51">
        <v>0.4</v>
      </c>
      <c r="AD15" s="51">
        <v>0.3</v>
      </c>
      <c r="AE15" s="51">
        <v>1.1000000000000001</v>
      </c>
      <c r="AF15" s="51"/>
      <c r="AG15" s="46">
        <f t="shared" si="0"/>
        <v>24.55</v>
      </c>
      <c r="AH15" s="48"/>
      <c r="AI15" s="48"/>
    </row>
    <row r="16" spans="1:35" s="44" customFormat="1" ht="18.75" customHeight="1" x14ac:dyDescent="0.35">
      <c r="A16" s="60" t="s">
        <v>72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85</v>
      </c>
      <c r="B17" s="49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194</v>
      </c>
      <c r="B18" s="49">
        <v>0</v>
      </c>
      <c r="C18" s="49">
        <v>0</v>
      </c>
      <c r="D18" s="49">
        <v>0</v>
      </c>
      <c r="E18" s="49">
        <v>0</v>
      </c>
      <c r="F18" s="49">
        <v>0</v>
      </c>
      <c r="G18" s="49">
        <v>0</v>
      </c>
      <c r="H18" s="49">
        <v>0</v>
      </c>
      <c r="I18" s="49">
        <v>0</v>
      </c>
      <c r="J18" s="49">
        <v>0</v>
      </c>
      <c r="K18" s="49">
        <v>0</v>
      </c>
      <c r="L18" s="49">
        <v>1</v>
      </c>
      <c r="M18" s="49">
        <v>0.8</v>
      </c>
      <c r="N18" s="49">
        <v>0</v>
      </c>
      <c r="O18" s="49">
        <v>0</v>
      </c>
      <c r="P18" s="49">
        <v>1.7</v>
      </c>
      <c r="Q18" s="49">
        <v>0</v>
      </c>
      <c r="R18" s="49">
        <v>0</v>
      </c>
      <c r="S18" s="49">
        <v>0</v>
      </c>
      <c r="T18" s="49">
        <v>1</v>
      </c>
      <c r="U18" s="49">
        <v>0</v>
      </c>
      <c r="V18" s="49">
        <v>0</v>
      </c>
      <c r="W18" s="49">
        <v>0</v>
      </c>
      <c r="X18" s="49">
        <v>0</v>
      </c>
      <c r="Y18" s="49">
        <v>0</v>
      </c>
      <c r="Z18" s="49">
        <v>0</v>
      </c>
      <c r="AA18" s="49">
        <v>0</v>
      </c>
      <c r="AB18" s="49">
        <v>0</v>
      </c>
      <c r="AC18" s="49">
        <v>0</v>
      </c>
      <c r="AD18" s="49">
        <v>0</v>
      </c>
      <c r="AE18" s="49">
        <v>0</v>
      </c>
      <c r="AF18" s="49"/>
      <c r="AG18" s="46">
        <f t="shared" si="0"/>
        <v>4.5</v>
      </c>
      <c r="AH18" s="48"/>
      <c r="AI18" s="48"/>
    </row>
    <row r="19" spans="1:35" s="44" customFormat="1" ht="18.75" customHeight="1" x14ac:dyDescent="0.35">
      <c r="A19" s="60" t="s">
        <v>73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92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232</v>
      </c>
      <c r="B21" s="49">
        <v>0</v>
      </c>
      <c r="C21" s="51">
        <v>0.8</v>
      </c>
      <c r="D21" s="51">
        <v>0</v>
      </c>
      <c r="E21" s="51">
        <v>0</v>
      </c>
      <c r="F21" s="51">
        <v>0.8</v>
      </c>
      <c r="G21" s="51">
        <v>0.1</v>
      </c>
      <c r="H21" s="51">
        <v>0.4</v>
      </c>
      <c r="I21" s="51">
        <v>0</v>
      </c>
      <c r="J21" s="51">
        <v>0</v>
      </c>
      <c r="K21" s="51">
        <v>0.4</v>
      </c>
      <c r="L21" s="51">
        <v>0.3</v>
      </c>
      <c r="M21" s="51">
        <v>0.2</v>
      </c>
      <c r="N21" s="51">
        <v>0.1</v>
      </c>
      <c r="O21" s="51">
        <v>0</v>
      </c>
      <c r="P21" s="51">
        <v>0.2</v>
      </c>
      <c r="Q21" s="51">
        <v>0.4</v>
      </c>
      <c r="R21" s="51">
        <v>0</v>
      </c>
      <c r="S21" s="51">
        <v>0.8</v>
      </c>
      <c r="T21" s="51">
        <v>1</v>
      </c>
      <c r="U21" s="51">
        <v>1</v>
      </c>
      <c r="V21" s="51">
        <v>0.8</v>
      </c>
      <c r="W21" s="51">
        <v>0.1</v>
      </c>
      <c r="X21" s="51">
        <v>0</v>
      </c>
      <c r="Y21" s="51">
        <v>0.2</v>
      </c>
      <c r="Z21" s="51">
        <v>0</v>
      </c>
      <c r="AA21" s="51">
        <v>0.9</v>
      </c>
      <c r="AB21" s="51">
        <v>0</v>
      </c>
      <c r="AC21" s="51">
        <v>0</v>
      </c>
      <c r="AD21" s="51">
        <v>0.3</v>
      </c>
      <c r="AE21" s="51">
        <v>0</v>
      </c>
      <c r="AF21" s="51"/>
      <c r="AG21" s="46"/>
      <c r="AH21" s="48"/>
      <c r="AI21" s="48"/>
    </row>
    <row r="22" spans="1:35" s="44" customFormat="1" ht="18.75" customHeight="1" x14ac:dyDescent="0.35">
      <c r="A22" s="60" t="s">
        <v>231</v>
      </c>
      <c r="B22" s="49">
        <v>1.5</v>
      </c>
      <c r="C22" s="51">
        <v>0</v>
      </c>
      <c r="D22" s="51">
        <v>0</v>
      </c>
      <c r="E22" s="51">
        <v>0.3</v>
      </c>
      <c r="F22" s="51">
        <v>0.4</v>
      </c>
      <c r="G22" s="51">
        <v>0.5</v>
      </c>
      <c r="H22" s="51">
        <v>1</v>
      </c>
      <c r="I22" s="51">
        <v>0.4</v>
      </c>
      <c r="J22" s="51">
        <v>0</v>
      </c>
      <c r="K22" s="51">
        <v>0.5</v>
      </c>
      <c r="L22" s="51">
        <v>1.5</v>
      </c>
      <c r="M22" s="51">
        <v>0.8</v>
      </c>
      <c r="N22" s="51">
        <v>1.2</v>
      </c>
      <c r="O22" s="51">
        <v>0.8</v>
      </c>
      <c r="P22" s="51">
        <v>1.5</v>
      </c>
      <c r="Q22" s="51">
        <v>1.5</v>
      </c>
      <c r="R22" s="51">
        <v>0.8</v>
      </c>
      <c r="S22" s="51">
        <v>0.2</v>
      </c>
      <c r="T22" s="51">
        <v>0.2</v>
      </c>
      <c r="U22" s="51">
        <v>0</v>
      </c>
      <c r="V22" s="51">
        <v>0.8</v>
      </c>
      <c r="W22" s="51">
        <v>0.2</v>
      </c>
      <c r="X22" s="51">
        <v>0.4</v>
      </c>
      <c r="Y22" s="51">
        <v>0.5</v>
      </c>
      <c r="Z22" s="51">
        <v>2.8</v>
      </c>
      <c r="AA22" s="51">
        <v>2.5</v>
      </c>
      <c r="AB22" s="51">
        <v>0.9</v>
      </c>
      <c r="AC22" s="51">
        <v>1.5</v>
      </c>
      <c r="AD22" s="51">
        <v>1.8</v>
      </c>
      <c r="AE22" s="51">
        <v>1.5</v>
      </c>
      <c r="AF22" s="51"/>
      <c r="AG22" s="46">
        <f t="shared" si="0"/>
        <v>26</v>
      </c>
      <c r="AH22" s="48"/>
      <c r="AI22" s="48"/>
    </row>
    <row r="23" spans="1:35" s="44" customFormat="1" ht="18.75" customHeight="1" x14ac:dyDescent="0.35">
      <c r="A23" s="60" t="s">
        <v>74</v>
      </c>
      <c r="B23" s="49">
        <v>0.3</v>
      </c>
      <c r="C23" s="51">
        <v>0.4</v>
      </c>
      <c r="D23" s="51">
        <v>0.5</v>
      </c>
      <c r="E23" s="51">
        <v>0.3</v>
      </c>
      <c r="F23" s="51">
        <v>0.6</v>
      </c>
      <c r="G23" s="51">
        <v>0.3</v>
      </c>
      <c r="H23" s="51">
        <v>0.2</v>
      </c>
      <c r="I23" s="51">
        <v>0.1</v>
      </c>
      <c r="J23" s="51">
        <v>0.2</v>
      </c>
      <c r="K23" s="52">
        <v>0.6</v>
      </c>
      <c r="L23" s="52">
        <v>0.2</v>
      </c>
      <c r="M23" s="52">
        <v>0.7</v>
      </c>
      <c r="N23" s="52">
        <v>0.9</v>
      </c>
      <c r="O23" s="52">
        <v>0.1</v>
      </c>
      <c r="P23" s="52">
        <v>0.3</v>
      </c>
      <c r="Q23" s="52">
        <v>0.6</v>
      </c>
      <c r="R23" s="52">
        <v>0.2</v>
      </c>
      <c r="S23" s="52">
        <v>0.4</v>
      </c>
      <c r="T23" s="52">
        <v>0.1</v>
      </c>
      <c r="U23" s="52">
        <v>0.6</v>
      </c>
      <c r="V23" s="52">
        <v>0.8</v>
      </c>
      <c r="W23" s="52">
        <v>0.87</v>
      </c>
      <c r="X23" s="52">
        <v>0.3</v>
      </c>
      <c r="Y23" s="52">
        <v>0.8</v>
      </c>
      <c r="Z23" s="52">
        <v>0.2</v>
      </c>
      <c r="AA23" s="52">
        <v>0.6</v>
      </c>
      <c r="AB23" s="52">
        <v>0.3</v>
      </c>
      <c r="AC23" s="52">
        <v>0</v>
      </c>
      <c r="AD23" s="52">
        <v>0</v>
      </c>
      <c r="AE23" s="52">
        <v>0</v>
      </c>
      <c r="AF23" s="52"/>
      <c r="AG23" s="46">
        <f t="shared" si="0"/>
        <v>11.47</v>
      </c>
      <c r="AH23" s="48"/>
      <c r="AI23" s="48"/>
    </row>
    <row r="24" spans="1:35" s="44" customFormat="1" ht="18.75" customHeight="1" x14ac:dyDescent="0.35">
      <c r="A24" s="60" t="s">
        <v>75</v>
      </c>
      <c r="B24" s="49">
        <v>3.1</v>
      </c>
      <c r="C24" s="49">
        <v>0</v>
      </c>
      <c r="D24" s="49">
        <v>3.1</v>
      </c>
      <c r="E24" s="49">
        <v>0</v>
      </c>
      <c r="F24" s="49">
        <v>0</v>
      </c>
      <c r="G24" s="49">
        <v>0</v>
      </c>
      <c r="H24" s="49">
        <v>0</v>
      </c>
      <c r="I24" s="49">
        <v>0</v>
      </c>
      <c r="J24" s="49">
        <v>0</v>
      </c>
      <c r="K24" s="49">
        <v>0</v>
      </c>
      <c r="L24" s="49">
        <v>0</v>
      </c>
      <c r="M24" s="49">
        <v>0</v>
      </c>
      <c r="N24" s="49">
        <v>0</v>
      </c>
      <c r="O24" s="49">
        <v>0</v>
      </c>
      <c r="P24" s="49">
        <v>0</v>
      </c>
      <c r="Q24" s="49">
        <v>0</v>
      </c>
      <c r="R24" s="49">
        <v>6.4</v>
      </c>
      <c r="S24" s="49">
        <v>0</v>
      </c>
      <c r="T24" s="49">
        <v>0</v>
      </c>
      <c r="U24" s="49">
        <v>0</v>
      </c>
      <c r="V24" s="49">
        <v>6.4</v>
      </c>
      <c r="W24" s="49">
        <v>0</v>
      </c>
      <c r="X24" s="49">
        <v>0</v>
      </c>
      <c r="Y24" s="49">
        <v>0</v>
      </c>
      <c r="Z24" s="49">
        <v>0</v>
      </c>
      <c r="AA24" s="49">
        <v>0</v>
      </c>
      <c r="AB24" s="49">
        <v>0</v>
      </c>
      <c r="AC24" s="49">
        <v>5.3</v>
      </c>
      <c r="AD24" s="49">
        <v>0</v>
      </c>
      <c r="AE24" s="49">
        <v>0</v>
      </c>
      <c r="AF24" s="49"/>
      <c r="AG24" s="46">
        <f>SUM(B24:AF24)</f>
        <v>24.3</v>
      </c>
      <c r="AH24" s="48"/>
      <c r="AI24" s="48"/>
    </row>
    <row r="25" spans="1:35" s="44" customFormat="1" ht="18.75" customHeight="1" x14ac:dyDescent="0.35">
      <c r="A25" s="60" t="s">
        <v>77</v>
      </c>
      <c r="B25" s="49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78</v>
      </c>
      <c r="B26" s="50">
        <v>2.2000000000000002</v>
      </c>
      <c r="C26" s="51">
        <v>3.1</v>
      </c>
      <c r="D26" s="51">
        <v>1</v>
      </c>
      <c r="E26" s="51">
        <v>2</v>
      </c>
      <c r="F26" s="51">
        <v>3.2</v>
      </c>
      <c r="G26" s="51">
        <v>1</v>
      </c>
      <c r="H26" s="51">
        <v>3.1</v>
      </c>
      <c r="I26" s="51">
        <v>2</v>
      </c>
      <c r="J26" s="51">
        <v>2</v>
      </c>
      <c r="K26" s="51">
        <v>3.7</v>
      </c>
      <c r="L26" s="51">
        <v>1</v>
      </c>
      <c r="M26" s="51">
        <v>3</v>
      </c>
      <c r="N26" s="51">
        <v>3</v>
      </c>
      <c r="O26" s="51">
        <v>2</v>
      </c>
      <c r="P26" s="51">
        <v>1</v>
      </c>
      <c r="Q26" s="51">
        <v>2</v>
      </c>
      <c r="R26" s="51">
        <v>2</v>
      </c>
      <c r="S26" s="51">
        <v>2.2999999999999998</v>
      </c>
      <c r="T26" s="51">
        <v>1.8</v>
      </c>
      <c r="U26" s="51">
        <v>3.9</v>
      </c>
      <c r="V26" s="51">
        <v>2.7</v>
      </c>
      <c r="W26" s="51">
        <v>3.2</v>
      </c>
      <c r="X26" s="51">
        <v>3.2</v>
      </c>
      <c r="Y26" s="51">
        <v>4.2</v>
      </c>
      <c r="Z26" s="51">
        <v>3</v>
      </c>
      <c r="AA26" s="51">
        <v>2</v>
      </c>
      <c r="AB26" s="51">
        <v>4</v>
      </c>
      <c r="AC26" s="51">
        <v>3</v>
      </c>
      <c r="AD26" s="51">
        <v>2</v>
      </c>
      <c r="AE26" s="51">
        <v>3</v>
      </c>
      <c r="AF26" s="51"/>
      <c r="AG26" s="46">
        <f t="shared" si="0"/>
        <v>75.599999999999994</v>
      </c>
      <c r="AH26" s="48"/>
      <c r="AI26" s="48"/>
    </row>
    <row r="27" spans="1:35" s="44" customFormat="1" ht="18.75" customHeight="1" x14ac:dyDescent="0.35">
      <c r="A27" s="60" t="s">
        <v>79</v>
      </c>
      <c r="B27" s="49"/>
      <c r="C27" s="51"/>
      <c r="D27" s="51"/>
      <c r="E27" s="51"/>
      <c r="F27" s="51"/>
      <c r="G27" s="51"/>
      <c r="H27" s="51"/>
      <c r="I27" s="51"/>
      <c r="J27" s="51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154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80</v>
      </c>
      <c r="B29" s="50">
        <v>0.9</v>
      </c>
      <c r="C29" s="51">
        <v>0</v>
      </c>
      <c r="D29" s="51">
        <v>0.5</v>
      </c>
      <c r="E29" s="51">
        <v>0.3</v>
      </c>
      <c r="F29" s="51">
        <v>0.6</v>
      </c>
      <c r="G29" s="51">
        <v>0</v>
      </c>
      <c r="H29" s="51">
        <v>0</v>
      </c>
      <c r="I29" s="51">
        <v>0.2</v>
      </c>
      <c r="J29" s="51">
        <v>0</v>
      </c>
      <c r="K29" s="51">
        <v>0.4</v>
      </c>
      <c r="L29" s="51">
        <v>0.5</v>
      </c>
      <c r="M29" s="51">
        <v>0.9</v>
      </c>
      <c r="N29" s="51">
        <v>0.3</v>
      </c>
      <c r="O29" s="51">
        <v>1.2</v>
      </c>
      <c r="P29" s="51">
        <v>0.4</v>
      </c>
      <c r="Q29" s="51">
        <v>0</v>
      </c>
      <c r="R29" s="51">
        <v>0.3</v>
      </c>
      <c r="S29" s="51">
        <v>0.5</v>
      </c>
      <c r="T29" s="51">
        <v>1.4</v>
      </c>
      <c r="U29" s="51">
        <v>0.3</v>
      </c>
      <c r="V29" s="51">
        <v>0.6</v>
      </c>
      <c r="W29" s="51">
        <v>0.5</v>
      </c>
      <c r="X29" s="51">
        <v>0</v>
      </c>
      <c r="Y29" s="51">
        <v>0.3</v>
      </c>
      <c r="Z29" s="51"/>
      <c r="AA29" s="51"/>
      <c r="AB29" s="51"/>
      <c r="AC29" s="51"/>
      <c r="AD29" s="51"/>
      <c r="AE29" s="51"/>
      <c r="AF29" s="51"/>
      <c r="AG29" s="46">
        <f t="shared" si="0"/>
        <v>10.100000000000001</v>
      </c>
      <c r="AH29" s="48"/>
      <c r="AI29" s="48"/>
    </row>
    <row r="30" spans="1:35" s="44" customFormat="1" ht="18.75" customHeight="1" x14ac:dyDescent="0.35">
      <c r="A30" s="60" t="s">
        <v>76</v>
      </c>
      <c r="B30" s="49">
        <v>0.1</v>
      </c>
      <c r="C30" s="51">
        <v>0.1</v>
      </c>
      <c r="D30" s="51">
        <v>0.2</v>
      </c>
      <c r="E30" s="51">
        <v>0.1</v>
      </c>
      <c r="F30" s="51">
        <v>0.3</v>
      </c>
      <c r="G30" s="51">
        <v>0.1</v>
      </c>
      <c r="H30" s="51">
        <v>0</v>
      </c>
      <c r="I30" s="51">
        <v>0.1</v>
      </c>
      <c r="J30" s="51">
        <v>0.1</v>
      </c>
      <c r="K30" s="51">
        <v>0.3</v>
      </c>
      <c r="L30" s="51">
        <v>0.1</v>
      </c>
      <c r="M30" s="51">
        <v>0.2</v>
      </c>
      <c r="N30" s="51">
        <v>0.3</v>
      </c>
      <c r="O30" s="51">
        <v>0.1</v>
      </c>
      <c r="P30" s="51">
        <v>0.1</v>
      </c>
      <c r="Q30" s="51">
        <v>0.1</v>
      </c>
      <c r="R30" s="51">
        <v>0.7</v>
      </c>
      <c r="S30" s="51">
        <v>0.1</v>
      </c>
      <c r="T30" s="51">
        <v>0.2</v>
      </c>
      <c r="U30" s="51">
        <v>0.5</v>
      </c>
      <c r="V30" s="51">
        <v>0.5</v>
      </c>
      <c r="W30" s="51">
        <v>0.5</v>
      </c>
      <c r="X30" s="51">
        <v>0.5</v>
      </c>
      <c r="Y30" s="51">
        <v>0.7</v>
      </c>
      <c r="Z30" s="51">
        <v>0.7</v>
      </c>
      <c r="AA30" s="51">
        <v>0.3</v>
      </c>
      <c r="AB30" s="51">
        <v>0.2</v>
      </c>
      <c r="AC30" s="51">
        <v>0.5</v>
      </c>
      <c r="AD30" s="51">
        <v>0.1</v>
      </c>
      <c r="AE30" s="51">
        <v>0.3</v>
      </c>
      <c r="AF30" s="51"/>
      <c r="AG30" s="46">
        <f t="shared" si="0"/>
        <v>8.1000000000000014</v>
      </c>
      <c r="AH30" s="48"/>
      <c r="AI30" s="48"/>
    </row>
    <row r="31" spans="1:35" s="44" customFormat="1" ht="18.75" customHeight="1" x14ac:dyDescent="0.35">
      <c r="A31" s="60" t="s">
        <v>81</v>
      </c>
      <c r="B31" s="50"/>
      <c r="C31" s="51"/>
      <c r="D31" s="51"/>
      <c r="E31" s="51"/>
      <c r="F31" s="51"/>
      <c r="G31" s="51"/>
      <c r="H31" s="51"/>
      <c r="I31" s="51"/>
      <c r="J31" s="51"/>
      <c r="K31" s="114"/>
      <c r="L31" s="114"/>
      <c r="M31" s="52"/>
      <c r="N31" s="114"/>
      <c r="O31" s="52"/>
      <c r="P31" s="114"/>
      <c r="Q31" s="52"/>
      <c r="R31" s="52"/>
      <c r="S31" s="52"/>
      <c r="T31" s="114"/>
      <c r="U31" s="52"/>
      <c r="V31" s="114"/>
      <c r="W31" s="114"/>
      <c r="X31" s="52"/>
      <c r="Y31" s="52"/>
      <c r="Z31" s="52"/>
      <c r="AA31" s="52"/>
      <c r="AB31" s="52"/>
      <c r="AC31" s="52"/>
      <c r="AD31" s="114"/>
      <c r="AE31" s="114"/>
      <c r="AF31" s="114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86</v>
      </c>
      <c r="B32" s="49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82</v>
      </c>
      <c r="B33" s="49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 t="shared" si="0"/>
        <v>0</v>
      </c>
      <c r="AH33" s="48"/>
      <c r="AI33" s="48"/>
    </row>
    <row r="34" spans="1:35" s="44" customFormat="1" ht="18.75" customHeight="1" x14ac:dyDescent="0.35">
      <c r="A34" s="60" t="s">
        <v>178</v>
      </c>
      <c r="B34" s="49"/>
      <c r="C34" s="52"/>
      <c r="D34" s="52"/>
      <c r="E34" s="52"/>
      <c r="F34" s="52"/>
      <c r="G34" s="52"/>
      <c r="H34" s="52"/>
      <c r="I34" s="52"/>
      <c r="J34" s="52"/>
      <c r="K34" s="52"/>
      <c r="L34" s="52"/>
      <c r="M34" s="52"/>
      <c r="N34" s="52"/>
      <c r="O34" s="52"/>
      <c r="P34" s="52"/>
      <c r="Q34" s="52"/>
      <c r="R34" s="52"/>
      <c r="S34" s="52"/>
      <c r="T34" s="52"/>
      <c r="U34" s="52"/>
      <c r="V34" s="52"/>
      <c r="W34" s="52"/>
      <c r="X34" s="52"/>
      <c r="Y34" s="52"/>
      <c r="Z34" s="52"/>
      <c r="AA34" s="52"/>
      <c r="AB34" s="52"/>
      <c r="AC34" s="52"/>
      <c r="AD34" s="52"/>
      <c r="AE34" s="52"/>
      <c r="AF34" s="52"/>
      <c r="AG34" s="46">
        <f t="shared" si="0"/>
        <v>0</v>
      </c>
      <c r="AH34" s="48"/>
      <c r="AI34" s="48"/>
    </row>
    <row r="35" spans="1:35" s="44" customFormat="1" ht="18.75" customHeight="1" x14ac:dyDescent="0.35">
      <c r="A35" s="59" t="s">
        <v>155</v>
      </c>
      <c r="B35" s="51">
        <f t="shared" ref="B35:AF35" si="1">SUM(B3:B34)</f>
        <v>22.700000000000003</v>
      </c>
      <c r="C35" s="51">
        <f t="shared" si="1"/>
        <v>22.200000000000003</v>
      </c>
      <c r="D35" s="51">
        <f t="shared" si="1"/>
        <v>25.6</v>
      </c>
      <c r="E35" s="51">
        <f t="shared" si="1"/>
        <v>26.200000000000006</v>
      </c>
      <c r="F35" s="51">
        <f t="shared" si="1"/>
        <v>24.900000000000002</v>
      </c>
      <c r="G35" s="51">
        <f t="shared" si="1"/>
        <v>16</v>
      </c>
      <c r="H35" s="51">
        <f t="shared" si="1"/>
        <v>15.899999999999999</v>
      </c>
      <c r="I35" s="51">
        <f t="shared" si="1"/>
        <v>22.95</v>
      </c>
      <c r="J35" s="51">
        <f t="shared" si="1"/>
        <v>18.399999999999999</v>
      </c>
      <c r="K35" s="51">
        <f t="shared" si="1"/>
        <v>23.499999999999996</v>
      </c>
      <c r="L35" s="51">
        <f t="shared" si="1"/>
        <v>30.200000000000003</v>
      </c>
      <c r="M35" s="51">
        <f t="shared" si="1"/>
        <v>28.599999999999998</v>
      </c>
      <c r="N35" s="51">
        <f t="shared" si="1"/>
        <v>27.8</v>
      </c>
      <c r="O35" s="51">
        <f t="shared" si="1"/>
        <v>19.700000000000003</v>
      </c>
      <c r="P35" s="51">
        <f t="shared" si="1"/>
        <v>15.499999999999998</v>
      </c>
      <c r="Q35" s="51">
        <f t="shared" si="1"/>
        <v>18.600000000000001</v>
      </c>
      <c r="R35" s="51">
        <f t="shared" si="1"/>
        <v>26.6</v>
      </c>
      <c r="S35" s="51">
        <f t="shared" si="1"/>
        <v>20.900000000000002</v>
      </c>
      <c r="T35" s="51">
        <f t="shared" si="1"/>
        <v>29.599999999999998</v>
      </c>
      <c r="U35" s="51">
        <f t="shared" si="1"/>
        <v>29.500000000000004</v>
      </c>
      <c r="V35" s="51">
        <f t="shared" si="1"/>
        <v>40.400000000000006</v>
      </c>
      <c r="W35" s="51">
        <f t="shared" si="1"/>
        <v>26.67</v>
      </c>
      <c r="X35" s="51">
        <f t="shared" si="1"/>
        <v>16.100000000000001</v>
      </c>
      <c r="Y35" s="51">
        <f t="shared" si="1"/>
        <v>30.199999999999996</v>
      </c>
      <c r="Z35" s="51">
        <f t="shared" si="1"/>
        <v>24.299999999999997</v>
      </c>
      <c r="AA35" s="51">
        <f t="shared" si="1"/>
        <v>29.700000000000003</v>
      </c>
      <c r="AB35" s="51">
        <f t="shared" si="1"/>
        <v>26.099999999999998</v>
      </c>
      <c r="AC35" s="51">
        <f t="shared" si="1"/>
        <v>34.900000000000006</v>
      </c>
      <c r="AD35" s="51">
        <f t="shared" si="1"/>
        <v>21.400000000000002</v>
      </c>
      <c r="AE35" s="51">
        <f t="shared" si="1"/>
        <v>21</v>
      </c>
      <c r="AF35" s="51">
        <f t="shared" si="1"/>
        <v>0</v>
      </c>
      <c r="AG35" s="56">
        <f>SUM(B35:AF35)</f>
        <v>736.12000000000012</v>
      </c>
      <c r="AH35" s="57"/>
      <c r="AI35" s="57"/>
    </row>
    <row r="36" spans="1:35" s="2" customFormat="1" x14ac:dyDescent="0.25">
      <c r="AG36" s="24">
        <f>SUM(AG3:AG34)</f>
        <v>634.91999999999996</v>
      </c>
    </row>
    <row r="37" spans="1:35" s="2" customFormat="1" x14ac:dyDescent="0.25"/>
    <row r="38" spans="1:35" s="2" customFormat="1" x14ac:dyDescent="0.25"/>
    <row r="39" spans="1:35" s="2" customFormat="1" ht="21" x14ac:dyDescent="0.35">
      <c r="AG39" s="150">
        <v>1097.9000000000001</v>
      </c>
    </row>
    <row r="40" spans="1:35" s="2" customFormat="1" ht="21" x14ac:dyDescent="0.35">
      <c r="AG40" s="150">
        <v>1798.7</v>
      </c>
    </row>
    <row r="41" spans="1:35" s="2" customFormat="1" ht="21" x14ac:dyDescent="0.35">
      <c r="AG41" s="150">
        <f>+SUM(AG39:AG40)</f>
        <v>2896.6000000000004</v>
      </c>
    </row>
    <row r="42" spans="1:35" s="2" customFormat="1" x14ac:dyDescent="0.25"/>
    <row r="43" spans="1:35" s="2" customFormat="1" x14ac:dyDescent="0.25"/>
    <row r="44" spans="1:35" s="2" customFormat="1" x14ac:dyDescent="0.25"/>
    <row r="45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114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 t="s">
        <v>222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 t="s">
        <v>222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114"/>
      <c r="M29" s="52"/>
      <c r="N29" s="114"/>
      <c r="O29" s="52"/>
      <c r="P29" s="52"/>
      <c r="Q29" s="52"/>
      <c r="R29" s="52"/>
      <c r="S29" s="52"/>
      <c r="T29" s="52"/>
      <c r="U29" s="52"/>
      <c r="V29" s="114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114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 t="s">
        <v>222</v>
      </c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 t="s">
        <v>222</v>
      </c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114"/>
      <c r="M29" s="52"/>
      <c r="N29" s="114"/>
      <c r="O29" s="52"/>
      <c r="P29" s="52"/>
      <c r="Q29" s="52"/>
      <c r="R29" s="52"/>
      <c r="S29" s="52"/>
      <c r="T29" s="52"/>
      <c r="U29" s="52"/>
      <c r="V29" s="114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7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31" si="0">SUM(B3:AF3)</f>
        <v>0</v>
      </c>
      <c r="AH3" s="47"/>
      <c r="AI3" s="48"/>
    </row>
    <row r="4" spans="1:35" s="44" customFormat="1" ht="18.75" customHeight="1" x14ac:dyDescent="0.35">
      <c r="A4" s="171" t="s">
        <v>248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  <c r="AF12" s="55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231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232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74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75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77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78</v>
      </c>
      <c r="B25" s="52"/>
      <c r="C25" s="52"/>
      <c r="D25" s="52"/>
      <c r="E25" s="52"/>
      <c r="F25" s="52"/>
      <c r="G25" s="52"/>
      <c r="H25" s="52"/>
      <c r="I25" s="52"/>
      <c r="J25" s="52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79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154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80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76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81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86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82</v>
      </c>
      <c r="B32" s="49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ref="AG32:AG33" si="1">SUM(B32:AF32)</f>
        <v>0</v>
      </c>
      <c r="AH32" s="48"/>
      <c r="AI32" s="48"/>
    </row>
    <row r="33" spans="1:35" s="44" customFormat="1" ht="18.75" customHeight="1" x14ac:dyDescent="0.35">
      <c r="A33" s="60" t="s">
        <v>178</v>
      </c>
      <c r="B33" s="52"/>
      <c r="C33" s="52"/>
      <c r="D33" s="52"/>
      <c r="E33" s="52"/>
      <c r="F33" s="52"/>
      <c r="G33" s="52"/>
      <c r="H33" s="52"/>
      <c r="I33" s="52"/>
      <c r="J33" s="52"/>
      <c r="K33" s="52"/>
      <c r="L33" s="52"/>
      <c r="M33" s="52"/>
      <c r="N33" s="52"/>
      <c r="O33" s="52"/>
      <c r="P33" s="52"/>
      <c r="Q33" s="52"/>
      <c r="R33" s="52"/>
      <c r="S33" s="52"/>
      <c r="T33" s="52"/>
      <c r="U33" s="52"/>
      <c r="V33" s="52"/>
      <c r="W33" s="52"/>
      <c r="X33" s="52"/>
      <c r="Y33" s="52"/>
      <c r="Z33" s="52"/>
      <c r="AA33" s="52"/>
      <c r="AB33" s="52"/>
      <c r="AC33" s="52"/>
      <c r="AD33" s="52"/>
      <c r="AE33" s="52"/>
      <c r="AF33" s="52"/>
      <c r="AG33" s="46">
        <f t="shared" si="1"/>
        <v>0</v>
      </c>
      <c r="AH33" s="48"/>
      <c r="AI33" s="48"/>
    </row>
    <row r="34" spans="1:35" s="44" customFormat="1" ht="18.75" customHeight="1" x14ac:dyDescent="0.35">
      <c r="A34" s="59" t="s">
        <v>155</v>
      </c>
      <c r="B34" s="51">
        <f t="shared" ref="B34:AF34" si="2">SUM(B3:B33)</f>
        <v>0</v>
      </c>
      <c r="C34" s="51">
        <f t="shared" si="2"/>
        <v>0</v>
      </c>
      <c r="D34" s="51">
        <f t="shared" si="2"/>
        <v>0</v>
      </c>
      <c r="E34" s="51">
        <f t="shared" si="2"/>
        <v>0</v>
      </c>
      <c r="F34" s="51">
        <f t="shared" si="2"/>
        <v>0</v>
      </c>
      <c r="G34" s="51">
        <f t="shared" si="2"/>
        <v>0</v>
      </c>
      <c r="H34" s="51">
        <f t="shared" si="2"/>
        <v>0</v>
      </c>
      <c r="I34" s="51">
        <f t="shared" si="2"/>
        <v>0</v>
      </c>
      <c r="J34" s="51">
        <f t="shared" si="2"/>
        <v>0</v>
      </c>
      <c r="K34" s="51">
        <f t="shared" si="2"/>
        <v>0</v>
      </c>
      <c r="L34" s="51">
        <f t="shared" si="2"/>
        <v>0</v>
      </c>
      <c r="M34" s="51">
        <f t="shared" si="2"/>
        <v>0</v>
      </c>
      <c r="N34" s="51">
        <f t="shared" si="2"/>
        <v>0</v>
      </c>
      <c r="O34" s="51">
        <f t="shared" si="2"/>
        <v>0</v>
      </c>
      <c r="P34" s="51">
        <f t="shared" si="2"/>
        <v>0</v>
      </c>
      <c r="Q34" s="51">
        <f t="shared" si="2"/>
        <v>0</v>
      </c>
      <c r="R34" s="51">
        <f t="shared" si="2"/>
        <v>0</v>
      </c>
      <c r="S34" s="51">
        <f t="shared" si="2"/>
        <v>0</v>
      </c>
      <c r="T34" s="51">
        <f t="shared" si="2"/>
        <v>0</v>
      </c>
      <c r="U34" s="51">
        <f t="shared" si="2"/>
        <v>0</v>
      </c>
      <c r="V34" s="51">
        <f t="shared" si="2"/>
        <v>0</v>
      </c>
      <c r="W34" s="51">
        <f t="shared" si="2"/>
        <v>0</v>
      </c>
      <c r="X34" s="51">
        <f t="shared" si="2"/>
        <v>0</v>
      </c>
      <c r="Y34" s="51">
        <f t="shared" si="2"/>
        <v>0</v>
      </c>
      <c r="Z34" s="51">
        <f t="shared" si="2"/>
        <v>0</v>
      </c>
      <c r="AA34" s="51">
        <f t="shared" si="2"/>
        <v>0</v>
      </c>
      <c r="AB34" s="51">
        <f t="shared" si="2"/>
        <v>0</v>
      </c>
      <c r="AC34" s="51">
        <f t="shared" si="2"/>
        <v>0</v>
      </c>
      <c r="AD34" s="51">
        <f t="shared" si="2"/>
        <v>0</v>
      </c>
      <c r="AE34" s="51">
        <f t="shared" si="2"/>
        <v>0</v>
      </c>
      <c r="AF34" s="51">
        <f t="shared" si="2"/>
        <v>0</v>
      </c>
      <c r="AG34" s="56">
        <f>SUM(B34:AF34)</f>
        <v>0</v>
      </c>
      <c r="AH34" s="57"/>
      <c r="AI34" s="57"/>
    </row>
    <row r="35" spans="1:35" s="2" customFormat="1" x14ac:dyDescent="0.25">
      <c r="AG35" s="24">
        <f>SUM(AG3:AG32)</f>
        <v>0</v>
      </c>
    </row>
    <row r="36" spans="1:35" s="2" customFormat="1" x14ac:dyDescent="0.25"/>
    <row r="37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15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154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154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154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154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154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154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154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154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154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154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154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154" t="s">
        <v>72</v>
      </c>
      <c r="B15" s="50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154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154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154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154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154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154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154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154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154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154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154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154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154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154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154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154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154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6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249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5"/>
      <c r="AF13" s="55"/>
      <c r="AG13" s="46">
        <f>SUM(B13:AF13)</f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2"/>
      <c r="X14" s="52"/>
      <c r="Y14" s="52"/>
      <c r="Z14" s="52"/>
      <c r="AA14" s="52"/>
      <c r="AB14" s="52"/>
      <c r="AC14" s="52"/>
      <c r="AD14" s="52"/>
      <c r="AE14" s="52"/>
      <c r="AF14" s="52"/>
      <c r="AG14" s="46">
        <f>SUM(B14:AF14)</f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>SUM(B15:AF15)</f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>SUM(B16:AF16)</f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>SUM(B17:AF17)</f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  <pageSetup orientation="portrait" horizontalDpi="0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50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249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114"/>
      <c r="Z14" s="52"/>
      <c r="AA14" s="114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114"/>
      <c r="C28" s="114"/>
      <c r="D28" s="114"/>
      <c r="E28" s="114"/>
      <c r="F28" s="52"/>
      <c r="G28" s="114"/>
      <c r="H28" s="52"/>
      <c r="I28" s="114"/>
      <c r="J28" s="114"/>
      <c r="K28" s="52"/>
      <c r="L28" s="114"/>
      <c r="M28" s="114"/>
      <c r="N28" s="114"/>
      <c r="O28" s="114"/>
      <c r="P28" s="114"/>
      <c r="Q28" s="114"/>
      <c r="R28" s="52"/>
      <c r="S28" s="52"/>
      <c r="T28" s="114"/>
      <c r="U28" s="52"/>
      <c r="V28" s="114"/>
      <c r="W28" s="52"/>
      <c r="X28" s="52"/>
      <c r="Y28" s="114"/>
      <c r="Z28" s="114"/>
      <c r="AA28" s="114"/>
      <c r="AB28" s="52"/>
      <c r="AC28" s="114"/>
      <c r="AD28" s="114"/>
      <c r="AE28" s="114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114"/>
      <c r="M29" s="52"/>
      <c r="N29" s="114"/>
      <c r="O29" s="114"/>
      <c r="P29" s="52"/>
      <c r="Q29" s="52"/>
      <c r="R29" s="52"/>
      <c r="S29" s="114"/>
      <c r="T29" s="52"/>
      <c r="U29" s="52"/>
      <c r="V29" s="114"/>
      <c r="W29" s="52"/>
      <c r="X29" s="52"/>
      <c r="Y29" s="52"/>
      <c r="Z29" s="114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249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114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>SUM(B17:AF17)</f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177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/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114"/>
      <c r="M29" s="52"/>
      <c r="N29" s="114"/>
      <c r="O29" s="52"/>
      <c r="P29" s="52"/>
      <c r="Q29" s="52"/>
      <c r="R29" s="52"/>
      <c r="S29" s="52"/>
      <c r="T29" s="52"/>
      <c r="U29" s="52"/>
      <c r="V29" s="114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  <pageSetup orientation="portrait" horizontalDpi="0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249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G8" s="46">
        <f>SUM(B8:AE8)</f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114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114"/>
      <c r="M29" s="52"/>
      <c r="N29" s="114"/>
      <c r="O29" s="52"/>
      <c r="P29" s="52"/>
      <c r="Q29" s="52"/>
      <c r="R29" s="52"/>
      <c r="S29" s="52"/>
      <c r="T29" s="52"/>
      <c r="U29" s="52"/>
      <c r="V29" s="114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249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114"/>
      <c r="G9" s="114"/>
      <c r="H9" s="114"/>
      <c r="I9" s="52"/>
      <c r="J9" s="52"/>
      <c r="K9" s="114"/>
      <c r="L9" s="52"/>
      <c r="M9" s="52"/>
      <c r="N9" s="114"/>
      <c r="O9" s="52"/>
      <c r="P9" s="52"/>
      <c r="Q9" s="52"/>
      <c r="R9" s="114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114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114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224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114"/>
      <c r="M29" s="52"/>
      <c r="N29" s="114"/>
      <c r="O29" s="52"/>
      <c r="P29" s="52"/>
      <c r="Q29" s="52"/>
      <c r="R29" s="52"/>
      <c r="S29" s="52"/>
      <c r="T29" s="52"/>
      <c r="U29" s="52"/>
      <c r="V29" s="114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0</v>
      </c>
      <c r="C33" s="51">
        <f t="shared" ref="C33:AF33" si="1">SUM(C3:C32)</f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56">
        <f>SUM(B33:AF33)</f>
        <v>0</v>
      </c>
      <c r="AH33" s="57"/>
      <c r="AI33" s="57"/>
    </row>
    <row r="34" spans="1:35" s="2" customFormat="1" x14ac:dyDescent="0.25">
      <c r="AG34" s="24">
        <f>SUM(AG3:AG31)</f>
        <v>0</v>
      </c>
    </row>
    <row r="35" spans="1:35" s="2" customFormat="1" x14ac:dyDescent="0.25"/>
    <row r="36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4"/>
  <sheetViews>
    <sheetView workbookViewId="0">
      <selection sqref="A1:AG1"/>
    </sheetView>
  </sheetViews>
  <sheetFormatPr baseColWidth="10" defaultRowHeight="15" x14ac:dyDescent="0.25"/>
  <cols>
    <col min="1" max="1" width="56.42578125" customWidth="1"/>
    <col min="2" max="32" width="7.28515625" customWidth="1"/>
    <col min="33" max="33" width="11.140625" customWidth="1"/>
  </cols>
  <sheetData>
    <row r="1" spans="1:35" s="44" customFormat="1" ht="21" x14ac:dyDescent="0.35">
      <c r="A1" s="217" t="s">
        <v>159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6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49"/>
      <c r="C4" s="49"/>
      <c r="D4" s="49"/>
      <c r="E4" s="49"/>
      <c r="F4" s="49"/>
      <c r="G4" s="49"/>
      <c r="H4" s="49"/>
      <c r="I4" s="50"/>
      <c r="J4" s="49"/>
      <c r="K4" s="50"/>
      <c r="L4" s="49"/>
      <c r="M4" s="50"/>
      <c r="N4" s="49"/>
      <c r="O4" s="49"/>
      <c r="P4" s="50"/>
      <c r="Q4" s="49"/>
      <c r="R4" s="49"/>
      <c r="S4" s="50"/>
      <c r="T4" s="50"/>
      <c r="U4" s="50"/>
      <c r="V4" s="50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6">
        <f t="shared" ref="AG4:AG40" si="0">SUM(B4:AF4)</f>
        <v>0</v>
      </c>
      <c r="AH4" s="47"/>
      <c r="AI4" s="48"/>
    </row>
    <row r="5" spans="1:35" s="44" customFormat="1" ht="18.75" customHeight="1" x14ac:dyDescent="0.35">
      <c r="A5" s="60" t="s">
        <v>149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51"/>
      <c r="C9" s="51"/>
      <c r="D9" s="51"/>
      <c r="E9" s="51"/>
      <c r="F9" s="51"/>
      <c r="G9" s="51"/>
      <c r="H9" s="51"/>
      <c r="I9" s="51"/>
      <c r="J9" s="51"/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66</v>
      </c>
      <c r="B10" s="52"/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  <c r="AF10" s="52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34.5" customHeight="1" x14ac:dyDescent="0.35">
      <c r="A12" s="62" t="s">
        <v>90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3"/>
      <c r="P12" s="54"/>
      <c r="Q12" s="54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46">
        <f t="shared" si="0"/>
        <v>0</v>
      </c>
    </row>
    <row r="13" spans="1:35" s="44" customFormat="1" ht="31.5" customHeight="1" x14ac:dyDescent="0.35">
      <c r="A13" s="62" t="s">
        <v>93</v>
      </c>
      <c r="B13" s="51"/>
      <c r="C13" s="51"/>
      <c r="D13" s="51"/>
      <c r="E13" s="51"/>
      <c r="F13" s="51"/>
      <c r="G13" s="51"/>
      <c r="H13" s="51"/>
      <c r="I13" s="51"/>
      <c r="J13" s="51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68</v>
      </c>
      <c r="B17" s="51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2"/>
      <c r="Z23" s="52"/>
      <c r="AA23" s="52"/>
      <c r="AB23" s="52"/>
      <c r="AC23" s="52"/>
      <c r="AD23" s="52"/>
      <c r="AE23" s="52"/>
      <c r="AF23" s="52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72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85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51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O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D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73</v>
      </c>
      <c r="B27" s="51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92</v>
      </c>
      <c r="B28" s="51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89</v>
      </c>
      <c r="B29" s="51"/>
      <c r="C29" s="51"/>
      <c r="D29" s="51"/>
      <c r="E29" s="51"/>
      <c r="F29" s="51"/>
      <c r="G29" s="51"/>
      <c r="H29" s="51"/>
      <c r="I29" s="51"/>
      <c r="J29" s="51"/>
      <c r="K29" s="51"/>
      <c r="L29" s="51"/>
      <c r="M29" s="51"/>
      <c r="N29" s="51"/>
      <c r="O29" s="51"/>
      <c r="P29" s="51"/>
      <c r="Q29" s="51"/>
      <c r="R29" s="51"/>
      <c r="S29" s="51"/>
      <c r="T29" s="51"/>
      <c r="U29" s="51"/>
      <c r="V29" s="51"/>
      <c r="W29" s="51"/>
      <c r="X29" s="51"/>
      <c r="Y29" s="51"/>
      <c r="Z29" s="51"/>
      <c r="AA29" s="51"/>
      <c r="AB29" s="51"/>
      <c r="AC29" s="51"/>
      <c r="AD29" s="51"/>
      <c r="AE29" s="51"/>
      <c r="AF29" s="51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74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51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77</v>
      </c>
      <c r="B32" s="51"/>
      <c r="C32" s="51"/>
      <c r="D32" s="51"/>
      <c r="E32" s="51"/>
      <c r="F32" s="51"/>
      <c r="G32" s="51"/>
      <c r="H32" s="51"/>
      <c r="I32" s="51"/>
      <c r="J32" s="51"/>
      <c r="K32" s="51"/>
      <c r="L32" s="51"/>
      <c r="M32" s="51"/>
      <c r="N32" s="51"/>
      <c r="O32" s="51"/>
      <c r="P32" s="51"/>
      <c r="Q32" s="51"/>
      <c r="R32" s="51"/>
      <c r="S32" s="51"/>
      <c r="T32" s="51"/>
      <c r="U32" s="51"/>
      <c r="V32" s="51"/>
      <c r="W32" s="51"/>
      <c r="X32" s="51"/>
      <c r="Y32" s="51"/>
      <c r="Z32" s="51"/>
      <c r="AA32" s="51"/>
      <c r="AB32" s="51"/>
      <c r="AC32" s="51"/>
      <c r="AD32" s="51"/>
      <c r="AE32" s="51"/>
      <c r="AF32" s="51"/>
      <c r="AG32" s="46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51"/>
      <c r="C33" s="51"/>
      <c r="D33" s="51"/>
      <c r="E33" s="51"/>
      <c r="F33" s="51"/>
      <c r="G33" s="51"/>
      <c r="H33" s="51"/>
      <c r="I33" s="51"/>
      <c r="J33" s="51"/>
      <c r="K33" s="51"/>
      <c r="L33" s="51"/>
      <c r="M33" s="51"/>
      <c r="N33" s="51"/>
      <c r="O33" s="51"/>
      <c r="P33" s="51"/>
      <c r="Q33" s="51"/>
      <c r="R33" s="51"/>
      <c r="S33" s="51"/>
      <c r="T33" s="51"/>
      <c r="U33" s="51"/>
      <c r="V33" s="51"/>
      <c r="W33" s="51"/>
      <c r="X33" s="51"/>
      <c r="Y33" s="51"/>
      <c r="Z33" s="51"/>
      <c r="AA33" s="51"/>
      <c r="AB33" s="51"/>
      <c r="AC33" s="51"/>
      <c r="AD33" s="51"/>
      <c r="AE33" s="51"/>
      <c r="AF33" s="51"/>
      <c r="AG33" s="46">
        <f t="shared" si="0"/>
        <v>0</v>
      </c>
      <c r="AH33" s="48"/>
      <c r="AI33" s="48"/>
    </row>
    <row r="34" spans="1:35" s="44" customFormat="1" ht="18.75" customHeight="1" x14ac:dyDescent="0.35">
      <c r="A34" s="60" t="s">
        <v>79</v>
      </c>
      <c r="B34" s="51"/>
      <c r="C34" s="51"/>
      <c r="D34" s="51"/>
      <c r="E34" s="51"/>
      <c r="F34" s="51"/>
      <c r="G34" s="51"/>
      <c r="H34" s="51"/>
      <c r="I34" s="51"/>
      <c r="J34" s="51"/>
      <c r="K34" s="51"/>
      <c r="L34" s="51"/>
      <c r="M34" s="51"/>
      <c r="N34" s="51"/>
      <c r="O34" s="51"/>
      <c r="P34" s="51"/>
      <c r="Q34" s="51"/>
      <c r="R34" s="51"/>
      <c r="S34" s="51"/>
      <c r="T34" s="51"/>
      <c r="U34" s="51"/>
      <c r="V34" s="51"/>
      <c r="W34" s="51"/>
      <c r="X34" s="51"/>
      <c r="Y34" s="51"/>
      <c r="Z34" s="51"/>
      <c r="AA34" s="51"/>
      <c r="AB34" s="51"/>
      <c r="AC34" s="51"/>
      <c r="AD34" s="51"/>
      <c r="AE34" s="51"/>
      <c r="AF34" s="51"/>
      <c r="AG34" s="46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52"/>
      <c r="C35" s="52"/>
      <c r="D35" s="52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46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52"/>
      <c r="C36" s="52"/>
      <c r="D36" s="52"/>
      <c r="E36" s="52"/>
      <c r="F36" s="52"/>
      <c r="G36" s="52"/>
      <c r="H36" s="52"/>
      <c r="I36" s="52"/>
      <c r="J36" s="52"/>
      <c r="K36" s="52"/>
      <c r="L36" s="52"/>
      <c r="M36" s="52"/>
      <c r="N36" s="52"/>
      <c r="O36" s="52"/>
      <c r="P36" s="52"/>
      <c r="Q36" s="52"/>
      <c r="R36" s="52"/>
      <c r="S36" s="52"/>
      <c r="T36" s="52"/>
      <c r="U36" s="52"/>
      <c r="V36" s="52"/>
      <c r="W36" s="52"/>
      <c r="X36" s="52"/>
      <c r="Y36" s="52"/>
      <c r="Z36" s="52"/>
      <c r="AA36" s="52"/>
      <c r="AB36" s="52"/>
      <c r="AC36" s="52"/>
      <c r="AD36" s="52"/>
      <c r="AE36" s="52"/>
      <c r="AF36" s="52"/>
      <c r="AG36" s="46">
        <f t="shared" si="0"/>
        <v>0</v>
      </c>
      <c r="AH36" s="48"/>
      <c r="AI36" s="48"/>
    </row>
    <row r="37" spans="1:35" s="44" customFormat="1" ht="18.75" customHeight="1" x14ac:dyDescent="0.35">
      <c r="A37" s="60" t="s">
        <v>76</v>
      </c>
      <c r="B37" s="52"/>
      <c r="C37" s="52"/>
      <c r="D37" s="52"/>
      <c r="E37" s="52"/>
      <c r="F37" s="52"/>
      <c r="G37" s="52"/>
      <c r="H37" s="52"/>
      <c r="I37" s="52"/>
      <c r="J37" s="52"/>
      <c r="K37" s="52"/>
      <c r="L37" s="52"/>
      <c r="M37" s="52"/>
      <c r="N37" s="52"/>
      <c r="O37" s="52"/>
      <c r="P37" s="52"/>
      <c r="Q37" s="52"/>
      <c r="R37" s="52"/>
      <c r="S37" s="52"/>
      <c r="T37" s="52"/>
      <c r="U37" s="52"/>
      <c r="V37" s="52"/>
      <c r="W37" s="52"/>
      <c r="X37" s="52"/>
      <c r="Y37" s="52"/>
      <c r="Z37" s="52"/>
      <c r="AA37" s="52"/>
      <c r="AB37" s="52"/>
      <c r="AC37" s="52"/>
      <c r="AD37" s="52"/>
      <c r="AE37" s="52"/>
      <c r="AF37" s="52"/>
      <c r="AG37" s="46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52"/>
      <c r="C38" s="52"/>
      <c r="D38" s="52"/>
      <c r="E38" s="52"/>
      <c r="F38" s="52"/>
      <c r="G38" s="52"/>
      <c r="H38" s="52"/>
      <c r="I38" s="52"/>
      <c r="J38" s="52"/>
      <c r="K38" s="52"/>
      <c r="L38" s="52"/>
      <c r="M38" s="52"/>
      <c r="N38" s="52"/>
      <c r="O38" s="52"/>
      <c r="P38" s="52"/>
      <c r="Q38" s="52"/>
      <c r="R38" s="52"/>
      <c r="S38" s="52"/>
      <c r="T38" s="52"/>
      <c r="U38" s="52"/>
      <c r="V38" s="52"/>
      <c r="W38" s="52"/>
      <c r="X38" s="52"/>
      <c r="Y38" s="52"/>
      <c r="Z38" s="52"/>
      <c r="AA38" s="52"/>
      <c r="AB38" s="52"/>
      <c r="AC38" s="52"/>
      <c r="AD38" s="52"/>
      <c r="AE38" s="52"/>
      <c r="AF38" s="52"/>
      <c r="AG38" s="46">
        <f t="shared" si="0"/>
        <v>0</v>
      </c>
      <c r="AH38" s="48"/>
      <c r="AI38" s="48"/>
    </row>
    <row r="39" spans="1:35" s="44" customFormat="1" ht="18.75" customHeight="1" x14ac:dyDescent="0.35">
      <c r="A39" s="60" t="s">
        <v>86</v>
      </c>
      <c r="B39" s="52"/>
      <c r="C39" s="52"/>
      <c r="D39" s="52"/>
      <c r="E39" s="52"/>
      <c r="F39" s="52"/>
      <c r="G39" s="52"/>
      <c r="H39" s="52"/>
      <c r="I39" s="52"/>
      <c r="J39" s="52"/>
      <c r="K39" s="52"/>
      <c r="L39" s="52"/>
      <c r="M39" s="52"/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  <c r="Y39" s="52"/>
      <c r="Z39" s="52"/>
      <c r="AA39" s="52"/>
      <c r="AB39" s="52"/>
      <c r="AC39" s="52"/>
      <c r="AD39" s="52"/>
      <c r="AE39" s="52"/>
      <c r="AF39" s="52"/>
      <c r="AG39" s="46">
        <f t="shared" si="0"/>
        <v>0</v>
      </c>
      <c r="AH39" s="48"/>
      <c r="AI39" s="48"/>
    </row>
    <row r="40" spans="1:35" s="44" customFormat="1" ht="18.75" customHeight="1" x14ac:dyDescent="0.35">
      <c r="A40" s="60" t="s">
        <v>82</v>
      </c>
      <c r="B40" s="52"/>
      <c r="C40" s="52"/>
      <c r="D40" s="52"/>
      <c r="E40" s="52"/>
      <c r="F40" s="52"/>
      <c r="G40" s="52"/>
      <c r="H40" s="52"/>
      <c r="I40" s="52"/>
      <c r="J40" s="52"/>
      <c r="K40" s="52"/>
      <c r="L40" s="52"/>
      <c r="M40" s="52"/>
      <c r="N40" s="52"/>
      <c r="O40" s="52"/>
      <c r="P40" s="52"/>
      <c r="Q40" s="52"/>
      <c r="R40" s="52"/>
      <c r="S40" s="52"/>
      <c r="T40" s="52"/>
      <c r="U40" s="52"/>
      <c r="V40" s="52"/>
      <c r="W40" s="52"/>
      <c r="X40" s="52"/>
      <c r="Y40" s="52"/>
      <c r="Z40" s="52"/>
      <c r="AA40" s="52"/>
      <c r="AB40" s="52"/>
      <c r="AC40" s="52"/>
      <c r="AD40" s="52"/>
      <c r="AE40" s="52"/>
      <c r="AF40" s="52"/>
      <c r="AG40" s="46">
        <f t="shared" si="0"/>
        <v>0</v>
      </c>
      <c r="AH40" s="48"/>
      <c r="AI40" s="48"/>
    </row>
    <row r="41" spans="1:35" s="44" customFormat="1" ht="18.75" customHeight="1" x14ac:dyDescent="0.35">
      <c r="A41" s="59" t="s">
        <v>155</v>
      </c>
      <c r="B41" s="51">
        <f>SUM(B3:B39)</f>
        <v>0</v>
      </c>
      <c r="C41" s="51">
        <f t="shared" ref="C41:AF41" si="1">SUM(C3:C39)</f>
        <v>0</v>
      </c>
      <c r="D41" s="51">
        <f t="shared" si="1"/>
        <v>0</v>
      </c>
      <c r="E41" s="51">
        <f t="shared" si="1"/>
        <v>0</v>
      </c>
      <c r="F41" s="51">
        <f t="shared" si="1"/>
        <v>0</v>
      </c>
      <c r="G41" s="51">
        <f t="shared" si="1"/>
        <v>0</v>
      </c>
      <c r="H41" s="51">
        <f t="shared" si="1"/>
        <v>0</v>
      </c>
      <c r="I41" s="51">
        <f t="shared" si="1"/>
        <v>0</v>
      </c>
      <c r="J41" s="51">
        <f t="shared" si="1"/>
        <v>0</v>
      </c>
      <c r="K41" s="51">
        <f t="shared" si="1"/>
        <v>0</v>
      </c>
      <c r="L41" s="51">
        <f t="shared" si="1"/>
        <v>0</v>
      </c>
      <c r="M41" s="51">
        <f t="shared" si="1"/>
        <v>0</v>
      </c>
      <c r="N41" s="51">
        <f t="shared" si="1"/>
        <v>0</v>
      </c>
      <c r="O41" s="51">
        <f t="shared" si="1"/>
        <v>0</v>
      </c>
      <c r="P41" s="51">
        <f t="shared" si="1"/>
        <v>0</v>
      </c>
      <c r="Q41" s="51">
        <f t="shared" si="1"/>
        <v>0</v>
      </c>
      <c r="R41" s="51">
        <f t="shared" si="1"/>
        <v>0</v>
      </c>
      <c r="S41" s="51">
        <f t="shared" si="1"/>
        <v>0</v>
      </c>
      <c r="T41" s="51">
        <f t="shared" si="1"/>
        <v>0</v>
      </c>
      <c r="U41" s="51">
        <f t="shared" si="1"/>
        <v>0</v>
      </c>
      <c r="V41" s="51">
        <f t="shared" si="1"/>
        <v>0</v>
      </c>
      <c r="W41" s="51">
        <f t="shared" si="1"/>
        <v>0</v>
      </c>
      <c r="X41" s="51">
        <f t="shared" si="1"/>
        <v>0</v>
      </c>
      <c r="Y41" s="51">
        <f t="shared" si="1"/>
        <v>0</v>
      </c>
      <c r="Z41" s="51">
        <f t="shared" si="1"/>
        <v>0</v>
      </c>
      <c r="AA41" s="51">
        <f t="shared" si="1"/>
        <v>0</v>
      </c>
      <c r="AB41" s="51">
        <f t="shared" si="1"/>
        <v>0</v>
      </c>
      <c r="AC41" s="51">
        <f t="shared" si="1"/>
        <v>0</v>
      </c>
      <c r="AD41" s="51">
        <f t="shared" si="1"/>
        <v>0</v>
      </c>
      <c r="AE41" s="51">
        <f t="shared" si="1"/>
        <v>0</v>
      </c>
      <c r="AF41" s="51">
        <f t="shared" si="1"/>
        <v>0</v>
      </c>
      <c r="AG41" s="56">
        <f>SUM(B41:AF41)</f>
        <v>0</v>
      </c>
      <c r="AH41" s="57"/>
      <c r="AI41" s="57"/>
    </row>
    <row r="42" spans="1:35" s="2" customFormat="1" x14ac:dyDescent="0.25">
      <c r="AG42" s="24">
        <f>SUM(AG3:AG40)</f>
        <v>0</v>
      </c>
    </row>
    <row r="43" spans="1:35" s="2" customFormat="1" x14ac:dyDescent="0.25"/>
    <row r="44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I43"/>
  <sheetViews>
    <sheetView tabSelected="1" topLeftCell="O25" workbookViewId="0">
      <selection activeCell="Y33" sqref="Y33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6.710937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51"/>
      <c r="H3" s="51"/>
      <c r="I3" s="51"/>
      <c r="J3" s="51"/>
      <c r="K3" s="51"/>
      <c r="L3" s="51"/>
      <c r="M3" s="51"/>
      <c r="N3" s="51"/>
      <c r="O3" s="51"/>
      <c r="P3" s="51"/>
      <c r="Q3" s="51"/>
      <c r="R3" s="51"/>
      <c r="S3" s="51"/>
      <c r="T3" s="51"/>
      <c r="U3" s="51"/>
      <c r="V3" s="51"/>
      <c r="W3" s="51"/>
      <c r="X3" s="51"/>
      <c r="Y3" s="51"/>
      <c r="Z3" s="51"/>
      <c r="AA3" s="51"/>
      <c r="AB3" s="51"/>
      <c r="AC3" s="51"/>
      <c r="AD3" s="51"/>
      <c r="AE3" s="51"/>
      <c r="AF3" s="51"/>
      <c r="AG3" s="46">
        <f t="shared" ref="AG3:AG32" si="0">SUM(B3:AF3)</f>
        <v>0</v>
      </c>
      <c r="AH3" s="47"/>
      <c r="AI3" s="48"/>
    </row>
    <row r="4" spans="1:35" s="44" customFormat="1" ht="37.5" customHeight="1" x14ac:dyDescent="0.35">
      <c r="A4" s="60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>
        <v>0.6</v>
      </c>
      <c r="C5" s="51">
        <v>0.8</v>
      </c>
      <c r="D5" s="51">
        <v>0.3</v>
      </c>
      <c r="E5" s="51">
        <v>1</v>
      </c>
      <c r="F5" s="51">
        <v>0</v>
      </c>
      <c r="G5" s="51">
        <v>1</v>
      </c>
      <c r="H5" s="51">
        <v>0</v>
      </c>
      <c r="I5" s="51">
        <v>1</v>
      </c>
      <c r="J5" s="51">
        <v>0.9</v>
      </c>
      <c r="K5" s="51">
        <v>0</v>
      </c>
      <c r="L5" s="51">
        <v>0</v>
      </c>
      <c r="M5" s="51">
        <v>1.5</v>
      </c>
      <c r="N5" s="51">
        <v>0</v>
      </c>
      <c r="O5" s="51">
        <v>0</v>
      </c>
      <c r="P5" s="51">
        <v>2.2999999999999998</v>
      </c>
      <c r="Q5" s="51">
        <v>0</v>
      </c>
      <c r="R5" s="51">
        <v>0</v>
      </c>
      <c r="S5" s="51">
        <v>0</v>
      </c>
      <c r="T5" s="51">
        <v>0</v>
      </c>
      <c r="U5" s="51">
        <v>1</v>
      </c>
      <c r="V5" s="51">
        <v>0</v>
      </c>
      <c r="W5" s="51">
        <v>0</v>
      </c>
      <c r="X5" s="51">
        <v>1</v>
      </c>
      <c r="Y5" s="51">
        <v>1.9</v>
      </c>
      <c r="Z5" s="51">
        <v>2</v>
      </c>
      <c r="AA5" s="51">
        <v>0</v>
      </c>
      <c r="AB5" s="51">
        <v>0</v>
      </c>
      <c r="AC5" s="51">
        <v>0</v>
      </c>
      <c r="AD5" s="51">
        <v>0</v>
      </c>
      <c r="AE5" s="51">
        <v>3</v>
      </c>
      <c r="AF5" s="51">
        <v>0</v>
      </c>
      <c r="AG5" s="46">
        <f t="shared" si="0"/>
        <v>18.3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>
        <v>1.5</v>
      </c>
      <c r="C8" s="51">
        <v>1.2</v>
      </c>
      <c r="D8" s="51">
        <v>1.8</v>
      </c>
      <c r="E8" s="51">
        <v>1.9</v>
      </c>
      <c r="F8" s="51">
        <v>1.5</v>
      </c>
      <c r="G8" s="51">
        <v>1.2</v>
      </c>
      <c r="H8" s="51">
        <v>1</v>
      </c>
      <c r="I8" s="51">
        <v>1.5</v>
      </c>
      <c r="J8" s="51">
        <v>1.8</v>
      </c>
      <c r="K8" s="51">
        <v>1.2</v>
      </c>
      <c r="L8" s="51">
        <v>1.3</v>
      </c>
      <c r="M8" s="51">
        <v>1.9</v>
      </c>
      <c r="N8" s="51">
        <v>1.2</v>
      </c>
      <c r="O8" s="51">
        <v>1</v>
      </c>
      <c r="P8" s="51">
        <v>1.5</v>
      </c>
      <c r="Q8" s="51">
        <v>1.9</v>
      </c>
      <c r="R8" s="51">
        <v>1.5</v>
      </c>
      <c r="S8" s="51">
        <v>1.3</v>
      </c>
      <c r="T8" s="51">
        <v>1.5</v>
      </c>
      <c r="U8" s="51">
        <v>1.9</v>
      </c>
      <c r="V8" s="51">
        <v>2</v>
      </c>
      <c r="W8" s="51">
        <v>1.3</v>
      </c>
      <c r="X8" s="51">
        <v>1.5</v>
      </c>
      <c r="Y8" s="51">
        <v>1.8</v>
      </c>
      <c r="Z8" s="51">
        <v>1.5</v>
      </c>
      <c r="AA8" s="51">
        <v>1.9</v>
      </c>
      <c r="AB8" s="51">
        <v>1.8</v>
      </c>
      <c r="AC8" s="51">
        <v>1.5</v>
      </c>
      <c r="AD8" s="51">
        <v>1.3</v>
      </c>
      <c r="AE8" s="51">
        <v>1.9</v>
      </c>
      <c r="AF8" s="51">
        <v>1.8</v>
      </c>
      <c r="AG8" s="46">
        <f t="shared" si="0"/>
        <v>47.899999999999984</v>
      </c>
      <c r="AH8" s="48"/>
      <c r="AI8" s="48"/>
    </row>
    <row r="9" spans="1:35" s="44" customFormat="1" ht="18.75" customHeight="1" x14ac:dyDescent="0.35">
      <c r="A9" s="60" t="s">
        <v>66</v>
      </c>
      <c r="B9" s="49">
        <v>0</v>
      </c>
      <c r="C9" s="51">
        <v>0.5</v>
      </c>
      <c r="D9" s="51">
        <v>1.2</v>
      </c>
      <c r="E9" s="51">
        <v>1.3</v>
      </c>
      <c r="F9" s="51">
        <v>0</v>
      </c>
      <c r="G9" s="51">
        <v>4.5</v>
      </c>
      <c r="H9" s="51">
        <v>0</v>
      </c>
      <c r="I9" s="51">
        <v>0.7</v>
      </c>
      <c r="J9" s="51">
        <v>0.9</v>
      </c>
      <c r="K9" s="52">
        <v>0.5</v>
      </c>
      <c r="L9" s="52">
        <v>0.3</v>
      </c>
      <c r="M9" s="52">
        <v>1</v>
      </c>
      <c r="N9" s="52">
        <v>0.3</v>
      </c>
      <c r="O9" s="52">
        <v>0</v>
      </c>
      <c r="P9" s="52">
        <v>0.4</v>
      </c>
      <c r="Q9" s="52">
        <v>3</v>
      </c>
      <c r="R9" s="52">
        <v>1</v>
      </c>
      <c r="S9" s="52">
        <v>0.7</v>
      </c>
      <c r="T9" s="52">
        <v>1</v>
      </c>
      <c r="U9" s="52">
        <v>3</v>
      </c>
      <c r="V9" s="52">
        <v>0</v>
      </c>
      <c r="W9" s="52">
        <v>0</v>
      </c>
      <c r="X9" s="52">
        <v>0.8</v>
      </c>
      <c r="Y9" s="52">
        <v>0.6</v>
      </c>
      <c r="Z9" s="52">
        <v>0.9</v>
      </c>
      <c r="AA9" s="52">
        <v>0.5</v>
      </c>
      <c r="AB9" s="52">
        <v>2.5</v>
      </c>
      <c r="AC9" s="52">
        <v>0</v>
      </c>
      <c r="AD9" s="52">
        <v>4.5</v>
      </c>
      <c r="AE9" s="52">
        <v>3</v>
      </c>
      <c r="AF9" s="52">
        <v>2.1</v>
      </c>
      <c r="AG9" s="46">
        <f t="shared" si="0"/>
        <v>35.200000000000003</v>
      </c>
      <c r="AH9" s="48"/>
      <c r="AI9" s="48"/>
    </row>
    <row r="10" spans="1:35" s="44" customFormat="1" ht="18.75" customHeight="1" x14ac:dyDescent="0.35">
      <c r="A10" s="60" t="s">
        <v>67</v>
      </c>
      <c r="B10" s="50">
        <v>2.1</v>
      </c>
      <c r="C10" s="51">
        <v>1</v>
      </c>
      <c r="D10" s="51">
        <v>2</v>
      </c>
      <c r="E10" s="51">
        <v>2.2000000000000002</v>
      </c>
      <c r="F10" s="51">
        <v>1.2</v>
      </c>
      <c r="G10" s="51">
        <v>1</v>
      </c>
      <c r="H10" s="51">
        <v>2.1</v>
      </c>
      <c r="I10" s="51">
        <v>2.21</v>
      </c>
      <c r="J10" s="51">
        <v>3.01</v>
      </c>
      <c r="K10" s="51">
        <v>1.4</v>
      </c>
      <c r="L10" s="51">
        <v>5.4</v>
      </c>
      <c r="M10" s="51">
        <v>9.3000000000000007</v>
      </c>
      <c r="N10" s="51">
        <v>6.1</v>
      </c>
      <c r="O10" s="51">
        <v>4.2</v>
      </c>
      <c r="P10" s="51">
        <v>1.2</v>
      </c>
      <c r="Q10" s="51"/>
      <c r="R10" s="51">
        <v>3.2</v>
      </c>
      <c r="S10" s="51">
        <v>4.3</v>
      </c>
      <c r="T10" s="51">
        <v>2.2999999999999998</v>
      </c>
      <c r="U10" s="51">
        <v>4.3</v>
      </c>
      <c r="V10" s="51">
        <v>6.1</v>
      </c>
      <c r="W10" s="51">
        <v>4.8</v>
      </c>
      <c r="X10" s="51">
        <v>7.2</v>
      </c>
      <c r="Y10" s="51">
        <v>2.2000000000000002</v>
      </c>
      <c r="Z10" s="51">
        <v>4.5</v>
      </c>
      <c r="AA10" s="51">
        <v>3.02</v>
      </c>
      <c r="AB10" s="51">
        <v>6.01</v>
      </c>
      <c r="AC10" s="51">
        <v>2.31</v>
      </c>
      <c r="AD10" s="51">
        <v>1.3</v>
      </c>
      <c r="AE10" s="51"/>
      <c r="AF10" s="51"/>
      <c r="AG10" s="46">
        <f t="shared" si="0"/>
        <v>95.960000000000008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>
        <v>1</v>
      </c>
      <c r="C12" s="51">
        <v>0</v>
      </c>
      <c r="D12" s="51">
        <v>1.5</v>
      </c>
      <c r="E12" s="51">
        <v>0</v>
      </c>
      <c r="F12" s="51">
        <v>0</v>
      </c>
      <c r="G12" s="51">
        <v>0</v>
      </c>
      <c r="H12" s="51">
        <v>0</v>
      </c>
      <c r="I12" s="51">
        <v>1</v>
      </c>
      <c r="J12" s="51">
        <v>0</v>
      </c>
      <c r="K12" s="51">
        <v>0</v>
      </c>
      <c r="L12" s="51">
        <v>1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1</v>
      </c>
      <c r="S12" s="51">
        <v>1.1000000000000001</v>
      </c>
      <c r="T12" s="51">
        <v>0</v>
      </c>
      <c r="U12" s="51">
        <v>0</v>
      </c>
      <c r="V12" s="51">
        <v>1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1</v>
      </c>
      <c r="AD12" s="51">
        <v>0</v>
      </c>
      <c r="AE12" s="51">
        <v>1.1000000000000001</v>
      </c>
      <c r="AF12" s="51">
        <v>0</v>
      </c>
      <c r="AG12" s="46">
        <f t="shared" si="0"/>
        <v>9.6999999999999993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>
        <v>0</v>
      </c>
      <c r="C17" s="49">
        <v>0</v>
      </c>
      <c r="D17" s="49">
        <v>0</v>
      </c>
      <c r="E17" s="49">
        <v>0</v>
      </c>
      <c r="F17" s="49">
        <v>0</v>
      </c>
      <c r="G17" s="49">
        <v>0</v>
      </c>
      <c r="H17" s="49">
        <v>0.4</v>
      </c>
      <c r="I17" s="49">
        <v>0</v>
      </c>
      <c r="J17" s="49">
        <v>0</v>
      </c>
      <c r="K17" s="49">
        <v>0</v>
      </c>
      <c r="L17" s="49">
        <v>0</v>
      </c>
      <c r="M17" s="49">
        <v>0</v>
      </c>
      <c r="N17" s="49">
        <v>2.4</v>
      </c>
      <c r="O17" s="49">
        <v>0</v>
      </c>
      <c r="P17" s="49">
        <v>2</v>
      </c>
      <c r="Q17" s="49">
        <v>0</v>
      </c>
      <c r="R17" s="49">
        <v>0</v>
      </c>
      <c r="S17" s="49">
        <v>0</v>
      </c>
      <c r="T17" s="49">
        <v>0</v>
      </c>
      <c r="U17" s="49">
        <v>0</v>
      </c>
      <c r="V17" s="49">
        <v>1.7</v>
      </c>
      <c r="W17" s="49">
        <v>0</v>
      </c>
      <c r="X17" s="49">
        <v>0</v>
      </c>
      <c r="Y17" s="49">
        <v>0</v>
      </c>
      <c r="Z17" s="49">
        <v>0</v>
      </c>
      <c r="AA17" s="49">
        <v>0</v>
      </c>
      <c r="AB17" s="49">
        <v>2.4</v>
      </c>
      <c r="AC17" s="49">
        <v>0</v>
      </c>
      <c r="AD17" s="49">
        <v>0</v>
      </c>
      <c r="AE17" s="49">
        <v>0</v>
      </c>
      <c r="AF17" s="49">
        <v>0</v>
      </c>
      <c r="AG17" s="46">
        <f t="shared" si="0"/>
        <v>8.9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>
        <v>0.2</v>
      </c>
      <c r="C20" s="51">
        <v>0</v>
      </c>
      <c r="D20" s="51">
        <v>0</v>
      </c>
      <c r="E20" s="51">
        <v>1.5</v>
      </c>
      <c r="F20" s="51">
        <v>0</v>
      </c>
      <c r="G20" s="51">
        <v>3.5</v>
      </c>
      <c r="H20" s="51">
        <v>0</v>
      </c>
      <c r="I20" s="51">
        <v>1.5</v>
      </c>
      <c r="J20" s="51">
        <v>1.8</v>
      </c>
      <c r="K20" s="51">
        <v>1.5</v>
      </c>
      <c r="L20" s="51">
        <v>0.5</v>
      </c>
      <c r="M20" s="51">
        <v>1.5</v>
      </c>
      <c r="N20" s="51">
        <v>0.8</v>
      </c>
      <c r="O20" s="51">
        <f>0.8+2.5</f>
        <v>3.3</v>
      </c>
      <c r="P20" s="51">
        <v>3.2</v>
      </c>
      <c r="Q20" s="51">
        <v>0.2</v>
      </c>
      <c r="R20" s="51">
        <v>2.7</v>
      </c>
      <c r="S20" s="51">
        <v>0</v>
      </c>
      <c r="T20" s="51">
        <v>2.2999999999999998</v>
      </c>
      <c r="U20" s="51">
        <v>3.3</v>
      </c>
      <c r="V20" s="51">
        <v>0.8</v>
      </c>
      <c r="W20" s="51">
        <v>1.9</v>
      </c>
      <c r="X20" s="51">
        <v>0.8</v>
      </c>
      <c r="Y20" s="51">
        <v>1.6</v>
      </c>
      <c r="Z20" s="51">
        <v>1.8</v>
      </c>
      <c r="AA20" s="51">
        <v>2.5</v>
      </c>
      <c r="AB20" s="51">
        <v>2.8</v>
      </c>
      <c r="AC20" s="51">
        <v>2.2999999999999998</v>
      </c>
      <c r="AD20" s="51">
        <v>0</v>
      </c>
      <c r="AE20" s="51">
        <v>1.6</v>
      </c>
      <c r="AF20" s="51"/>
      <c r="AG20" s="46">
        <f t="shared" si="0"/>
        <v>43.899999999999991</v>
      </c>
      <c r="AH20" s="48"/>
      <c r="AI20" s="48"/>
    </row>
    <row r="21" spans="1:35" s="44" customFormat="1" ht="18.75" customHeight="1" x14ac:dyDescent="0.35">
      <c r="A21" s="60" t="s">
        <v>74</v>
      </c>
      <c r="B21" s="49">
        <v>1.5</v>
      </c>
      <c r="C21" s="51">
        <v>2.2999999999999998</v>
      </c>
      <c r="D21" s="51">
        <v>3.3</v>
      </c>
      <c r="E21" s="51">
        <v>6.7</v>
      </c>
      <c r="F21" s="51">
        <v>3.2</v>
      </c>
      <c r="G21" s="51">
        <v>3.4</v>
      </c>
      <c r="H21" s="51">
        <v>4.2</v>
      </c>
      <c r="I21" s="51">
        <v>4.3</v>
      </c>
      <c r="J21" s="51">
        <v>3.8</v>
      </c>
      <c r="K21" s="52">
        <v>0.45</v>
      </c>
      <c r="L21" s="52">
        <v>1.5</v>
      </c>
      <c r="M21" s="52">
        <v>3.4</v>
      </c>
      <c r="N21" s="52">
        <v>0.45</v>
      </c>
      <c r="O21" s="52">
        <v>0.5</v>
      </c>
      <c r="P21" s="52">
        <v>1.75</v>
      </c>
      <c r="Q21" s="52">
        <v>0.45</v>
      </c>
      <c r="R21" s="52">
        <v>3</v>
      </c>
      <c r="S21" s="52">
        <v>2</v>
      </c>
      <c r="T21" s="52">
        <v>3.5</v>
      </c>
      <c r="U21" s="52">
        <v>2</v>
      </c>
      <c r="V21" s="52">
        <v>2.5</v>
      </c>
      <c r="W21" s="52">
        <v>2</v>
      </c>
      <c r="X21" s="52">
        <v>1.5</v>
      </c>
      <c r="Y21" s="52">
        <v>0.4</v>
      </c>
      <c r="Z21" s="52"/>
      <c r="AA21" s="52"/>
      <c r="AB21" s="52"/>
      <c r="AC21" s="52">
        <v>0.3</v>
      </c>
      <c r="AD21" s="52">
        <v>0.2</v>
      </c>
      <c r="AE21" s="52">
        <v>0.5</v>
      </c>
      <c r="AF21" s="52">
        <v>0.1</v>
      </c>
      <c r="AG21" s="46">
        <f t="shared" si="0"/>
        <v>59.2</v>
      </c>
      <c r="AH21" s="48"/>
      <c r="AI21" s="48"/>
    </row>
    <row r="22" spans="1:35" s="44" customFormat="1" ht="18.75" customHeight="1" x14ac:dyDescent="0.35">
      <c r="A22" s="60" t="s">
        <v>75</v>
      </c>
      <c r="B22" s="49">
        <v>0</v>
      </c>
      <c r="C22" s="49">
        <v>2.2000000000000002</v>
      </c>
      <c r="D22" s="49">
        <v>2.2999999999999998</v>
      </c>
      <c r="E22" s="49">
        <v>2.5</v>
      </c>
      <c r="F22" s="49">
        <v>1.9</v>
      </c>
      <c r="G22" s="49">
        <v>1.8</v>
      </c>
      <c r="H22" s="49">
        <v>0</v>
      </c>
      <c r="I22" s="49">
        <v>0</v>
      </c>
      <c r="J22" s="49">
        <v>0</v>
      </c>
      <c r="K22" s="49">
        <v>0</v>
      </c>
      <c r="L22" s="49">
        <v>0</v>
      </c>
      <c r="M22" s="49">
        <v>0</v>
      </c>
      <c r="N22" s="49">
        <v>0</v>
      </c>
      <c r="O22" s="49">
        <v>0</v>
      </c>
      <c r="P22" s="49">
        <v>2</v>
      </c>
      <c r="Q22" s="49">
        <v>0</v>
      </c>
      <c r="R22" s="49">
        <v>0</v>
      </c>
      <c r="S22" s="49">
        <v>0</v>
      </c>
      <c r="T22" s="49">
        <v>0</v>
      </c>
      <c r="U22" s="49">
        <v>0</v>
      </c>
      <c r="V22" s="49">
        <v>0</v>
      </c>
      <c r="W22" s="49">
        <v>0</v>
      </c>
      <c r="X22" s="49">
        <v>0</v>
      </c>
      <c r="Y22" s="49">
        <v>0</v>
      </c>
      <c r="Z22" s="49">
        <v>0</v>
      </c>
      <c r="AA22" s="49">
        <v>0</v>
      </c>
      <c r="AB22" s="49">
        <v>0</v>
      </c>
      <c r="AC22" s="49">
        <v>3.1</v>
      </c>
      <c r="AD22" s="49">
        <v>0</v>
      </c>
      <c r="AE22" s="49">
        <v>0</v>
      </c>
      <c r="AF22" s="49">
        <v>0</v>
      </c>
      <c r="AG22" s="46">
        <f>SUM(B22:AF22)</f>
        <v>15.8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0">
        <v>2.2999999999999998</v>
      </c>
      <c r="C24" s="51">
        <v>1</v>
      </c>
      <c r="D24" s="51">
        <v>1.9</v>
      </c>
      <c r="E24" s="51">
        <v>1.2</v>
      </c>
      <c r="F24" s="51">
        <v>2.2999999999999998</v>
      </c>
      <c r="G24" s="51">
        <v>1.3</v>
      </c>
      <c r="H24" s="51">
        <v>2.4</v>
      </c>
      <c r="I24" s="51">
        <v>3</v>
      </c>
      <c r="J24" s="51">
        <v>2</v>
      </c>
      <c r="K24" s="51">
        <v>3</v>
      </c>
      <c r="L24" s="51">
        <v>2</v>
      </c>
      <c r="M24" s="51">
        <v>1</v>
      </c>
      <c r="N24" s="51">
        <v>2</v>
      </c>
      <c r="O24" s="51">
        <v>3</v>
      </c>
      <c r="P24" s="51">
        <v>1</v>
      </c>
      <c r="Q24" s="51">
        <v>2</v>
      </c>
      <c r="R24" s="51">
        <v>1.9</v>
      </c>
      <c r="S24" s="51"/>
      <c r="T24" s="51">
        <v>2.2999999999999998</v>
      </c>
      <c r="U24" s="51"/>
      <c r="V24" s="51">
        <v>1.4</v>
      </c>
      <c r="W24" s="51"/>
      <c r="X24" s="51">
        <v>3.2</v>
      </c>
      <c r="Y24" s="51"/>
      <c r="Z24" s="51">
        <v>2</v>
      </c>
      <c r="AA24" s="51">
        <v>3</v>
      </c>
      <c r="AB24" s="51">
        <v>2</v>
      </c>
      <c r="AC24" s="51">
        <v>3</v>
      </c>
      <c r="AD24" s="51">
        <v>4</v>
      </c>
      <c r="AE24" s="51">
        <v>1.3</v>
      </c>
      <c r="AF24" s="51"/>
      <c r="AG24" s="46">
        <f t="shared" si="0"/>
        <v>55.499999999999993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>
        <v>0.4</v>
      </c>
      <c r="D25" s="51">
        <v>0.5</v>
      </c>
      <c r="E25" s="51">
        <v>0.3</v>
      </c>
      <c r="F25" s="51">
        <v>0.1</v>
      </c>
      <c r="G25" s="51">
        <v>0.6</v>
      </c>
      <c r="H25" s="51"/>
      <c r="I25" s="186">
        <v>0.4</v>
      </c>
      <c r="J25" s="51">
        <v>0.5</v>
      </c>
      <c r="K25" s="52">
        <v>1</v>
      </c>
      <c r="L25" s="52">
        <v>0.9</v>
      </c>
      <c r="M25" s="52">
        <v>1.4</v>
      </c>
      <c r="N25" s="52">
        <v>1</v>
      </c>
      <c r="O25" s="52">
        <v>0.9</v>
      </c>
      <c r="P25" s="52">
        <v>0.8</v>
      </c>
      <c r="Q25" s="52">
        <v>0.8</v>
      </c>
      <c r="R25" s="52">
        <v>0.9</v>
      </c>
      <c r="S25" s="52">
        <v>1</v>
      </c>
      <c r="T25" s="52" t="s">
        <v>261</v>
      </c>
      <c r="U25" s="52">
        <v>0.4</v>
      </c>
      <c r="V25" s="52">
        <v>0.3</v>
      </c>
      <c r="W25" s="52">
        <v>0.2</v>
      </c>
      <c r="X25" s="52">
        <v>0.5</v>
      </c>
      <c r="Y25" s="52">
        <v>0.7</v>
      </c>
      <c r="Z25" s="52">
        <v>0.4</v>
      </c>
      <c r="AA25" s="52">
        <v>0.3</v>
      </c>
      <c r="AB25" s="52">
        <v>0.3</v>
      </c>
      <c r="AC25" s="52">
        <v>0.9</v>
      </c>
      <c r="AD25" s="52">
        <v>0.1</v>
      </c>
      <c r="AE25" s="52">
        <v>0.7</v>
      </c>
      <c r="AF25" s="52">
        <v>0.8</v>
      </c>
      <c r="AG25" s="46">
        <f t="shared" si="0"/>
        <v>17.100000000000005</v>
      </c>
      <c r="AH25" s="48"/>
      <c r="AI25" s="48"/>
    </row>
    <row r="26" spans="1:35" s="44" customFormat="1" ht="18.75" customHeight="1" x14ac:dyDescent="0.35">
      <c r="A26" s="60" t="s">
        <v>154</v>
      </c>
      <c r="B26" s="49">
        <v>0</v>
      </c>
      <c r="C26" s="51">
        <v>0</v>
      </c>
      <c r="D26" s="51">
        <v>0</v>
      </c>
      <c r="E26" s="51">
        <v>0</v>
      </c>
      <c r="F26" s="51">
        <v>1.9</v>
      </c>
      <c r="G26" s="51">
        <v>0</v>
      </c>
      <c r="H26" s="51">
        <v>0</v>
      </c>
      <c r="I26" s="51">
        <v>0</v>
      </c>
      <c r="J26" s="51">
        <v>0</v>
      </c>
      <c r="K26" s="51">
        <v>1.3</v>
      </c>
      <c r="L26" s="51">
        <v>0</v>
      </c>
      <c r="M26" s="51">
        <v>1.8</v>
      </c>
      <c r="N26" s="51">
        <v>1.1000000000000001</v>
      </c>
      <c r="O26" s="51">
        <v>0</v>
      </c>
      <c r="P26" s="51">
        <v>0</v>
      </c>
      <c r="Q26" s="51">
        <v>0</v>
      </c>
      <c r="R26" s="51">
        <v>1.9</v>
      </c>
      <c r="S26" s="51">
        <v>0.8</v>
      </c>
      <c r="T26" s="51">
        <v>0</v>
      </c>
      <c r="U26" s="51">
        <v>0</v>
      </c>
      <c r="V26" s="51">
        <v>0</v>
      </c>
      <c r="W26" s="51">
        <v>0</v>
      </c>
      <c r="X26" s="51">
        <v>1.5</v>
      </c>
      <c r="Y26" s="51">
        <v>1.6</v>
      </c>
      <c r="Z26" s="51">
        <v>1.3</v>
      </c>
      <c r="AA26" s="51">
        <v>0.9</v>
      </c>
      <c r="AB26" s="51">
        <v>1</v>
      </c>
      <c r="AC26" s="51"/>
      <c r="AD26" s="51"/>
      <c r="AE26" s="51"/>
      <c r="AF26" s="51"/>
      <c r="AG26" s="46">
        <f t="shared" si="0"/>
        <v>15.100000000000001</v>
      </c>
      <c r="AH26" s="48"/>
      <c r="AI26" s="48"/>
    </row>
    <row r="27" spans="1:35" s="44" customFormat="1" ht="18.75" customHeight="1" x14ac:dyDescent="0.35">
      <c r="A27" s="60" t="s">
        <v>80</v>
      </c>
      <c r="B27" s="50"/>
      <c r="C27" s="51"/>
      <c r="D27" s="51"/>
      <c r="E27" s="51"/>
      <c r="F27" s="51"/>
      <c r="G27" s="51"/>
      <c r="H27" s="51"/>
      <c r="I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F27" s="51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>
        <v>0.1</v>
      </c>
      <c r="C28" s="51">
        <v>0.2</v>
      </c>
      <c r="D28" s="51">
        <v>0.3</v>
      </c>
      <c r="E28" s="51">
        <v>0.2</v>
      </c>
      <c r="F28" s="51">
        <v>0.1</v>
      </c>
      <c r="G28" s="51">
        <v>0.4</v>
      </c>
      <c r="H28" s="51">
        <v>0.3</v>
      </c>
      <c r="I28" s="51">
        <v>0.4</v>
      </c>
      <c r="J28" s="51">
        <v>0.1</v>
      </c>
      <c r="K28" s="51">
        <v>0.2</v>
      </c>
      <c r="L28" s="51">
        <v>0.7</v>
      </c>
      <c r="M28" s="51">
        <v>0.3</v>
      </c>
      <c r="N28" s="51">
        <v>0.5</v>
      </c>
      <c r="O28" s="51">
        <v>1</v>
      </c>
      <c r="P28" s="51">
        <v>1</v>
      </c>
      <c r="Q28" s="51">
        <v>3.2</v>
      </c>
      <c r="R28" s="51">
        <v>0.7</v>
      </c>
      <c r="S28" s="51">
        <v>0.9</v>
      </c>
      <c r="T28" s="51">
        <v>0.3</v>
      </c>
      <c r="U28" s="51">
        <v>0.5</v>
      </c>
      <c r="V28" s="51">
        <v>0.6</v>
      </c>
      <c r="W28" s="51">
        <v>0.9</v>
      </c>
      <c r="X28" s="51">
        <v>0.2</v>
      </c>
      <c r="Y28" s="51">
        <v>0.5</v>
      </c>
      <c r="Z28" s="186">
        <v>0.95</v>
      </c>
      <c r="AA28" s="51">
        <v>0.7</v>
      </c>
      <c r="AB28" s="51">
        <v>0.8</v>
      </c>
      <c r="AC28" s="51">
        <v>0.3</v>
      </c>
      <c r="AD28" s="51">
        <v>0.2</v>
      </c>
      <c r="AE28" s="51">
        <v>0.5</v>
      </c>
      <c r="AF28" s="51">
        <v>0.1</v>
      </c>
      <c r="AG28" s="46">
        <f t="shared" si="0"/>
        <v>17.149999999999999</v>
      </c>
      <c r="AH28" s="48"/>
      <c r="AI28" s="48"/>
    </row>
    <row r="29" spans="1:35" s="44" customFormat="1" ht="18.75" customHeight="1" x14ac:dyDescent="0.35">
      <c r="A29" s="60" t="s">
        <v>81</v>
      </c>
      <c r="B29" s="50">
        <v>0</v>
      </c>
      <c r="C29" s="51">
        <v>0.3</v>
      </c>
      <c r="D29" s="51">
        <v>0</v>
      </c>
      <c r="E29" s="51">
        <v>0</v>
      </c>
      <c r="F29" s="51">
        <v>0.5</v>
      </c>
      <c r="G29" s="51">
        <v>0</v>
      </c>
      <c r="H29" s="51">
        <v>0</v>
      </c>
      <c r="I29" s="51">
        <v>0.3</v>
      </c>
      <c r="J29" s="51">
        <v>0</v>
      </c>
      <c r="K29" s="114">
        <v>3</v>
      </c>
      <c r="L29" s="114">
        <v>2</v>
      </c>
      <c r="M29" s="52">
        <v>0</v>
      </c>
      <c r="N29" s="114">
        <v>0</v>
      </c>
      <c r="O29" s="52">
        <v>0</v>
      </c>
      <c r="P29" s="114">
        <v>0</v>
      </c>
      <c r="Q29" s="52">
        <v>0</v>
      </c>
      <c r="R29" s="52">
        <v>0</v>
      </c>
      <c r="S29" s="52">
        <v>0</v>
      </c>
      <c r="T29" s="52">
        <v>0</v>
      </c>
      <c r="U29" s="52">
        <v>0</v>
      </c>
      <c r="V29" s="52">
        <v>0</v>
      </c>
      <c r="W29" s="52">
        <v>0</v>
      </c>
      <c r="X29" s="52">
        <v>0</v>
      </c>
      <c r="Y29" s="52">
        <v>0</v>
      </c>
      <c r="Z29" s="52">
        <v>0</v>
      </c>
      <c r="AA29" s="52">
        <v>0</v>
      </c>
      <c r="AB29" s="52">
        <v>0</v>
      </c>
      <c r="AC29" s="52">
        <v>0</v>
      </c>
      <c r="AD29" s="52">
        <v>0</v>
      </c>
      <c r="AE29" s="52">
        <v>0</v>
      </c>
      <c r="AF29" s="52">
        <v>0</v>
      </c>
      <c r="AG29" s="46">
        <f t="shared" si="0"/>
        <v>6.1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>
        <v>0</v>
      </c>
      <c r="C31" s="49">
        <v>14</v>
      </c>
      <c r="D31" s="51">
        <f>1.9+1.9+1.8</f>
        <v>5.6</v>
      </c>
      <c r="E31" s="51">
        <f>1.9+1.8</f>
        <v>3.7</v>
      </c>
      <c r="F31" s="51">
        <f>1.3+4.2</f>
        <v>5.5</v>
      </c>
      <c r="G31" s="51">
        <f>0.55+0.38+0.4</f>
        <v>1.33</v>
      </c>
      <c r="H31" s="51">
        <f>0.5+0.2+0.3</f>
        <v>1</v>
      </c>
      <c r="I31" s="51">
        <f>0.4+0.1+0.3</f>
        <v>0.8</v>
      </c>
      <c r="J31" s="51">
        <v>3</v>
      </c>
      <c r="K31" s="51">
        <v>0</v>
      </c>
      <c r="L31" s="51">
        <v>5.2</v>
      </c>
      <c r="M31" s="51">
        <v>4.2</v>
      </c>
      <c r="N31" s="51">
        <v>4.2</v>
      </c>
      <c r="O31" s="51">
        <f>0.9+0.7</f>
        <v>1.6</v>
      </c>
      <c r="P31" s="186">
        <f>0.2+0.13+1.4</f>
        <v>1.73</v>
      </c>
      <c r="Q31" s="51">
        <f>0.1+0.3+0.2</f>
        <v>0.60000000000000009</v>
      </c>
      <c r="R31" s="51">
        <f>0.55+0.23+0.35</f>
        <v>1.1299999999999999</v>
      </c>
      <c r="S31" s="51">
        <f>0.25+0.32+0.25</f>
        <v>0.82000000000000006</v>
      </c>
      <c r="T31" s="51">
        <f>1.82+0.2+0.3</f>
        <v>2.3199999999999998</v>
      </c>
      <c r="U31" s="51" t="s">
        <v>262</v>
      </c>
      <c r="V31" s="51">
        <v>1.9</v>
      </c>
      <c r="W31" s="51">
        <v>0</v>
      </c>
      <c r="X31" s="51">
        <f>1.7+0.4</f>
        <v>2.1</v>
      </c>
      <c r="Y31" s="51">
        <v>0.9</v>
      </c>
      <c r="Z31" s="51">
        <v>1.4</v>
      </c>
      <c r="AA31" s="51">
        <f>4.5+3.3+1.5</f>
        <v>9.3000000000000007</v>
      </c>
      <c r="AB31" s="51">
        <v>4.2</v>
      </c>
      <c r="AC31" s="51">
        <f>0.1+0.7+1.02</f>
        <v>1.8199999999999998</v>
      </c>
      <c r="AD31" s="51">
        <f>1.06+1.23+1.65</f>
        <v>3.94</v>
      </c>
      <c r="AE31" s="51">
        <f>1.72+1.82+1.92</f>
        <v>5.46</v>
      </c>
      <c r="AF31" s="51"/>
      <c r="AG31" s="46">
        <f t="shared" si="0"/>
        <v>87.75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9.2999999999999989</v>
      </c>
      <c r="C33" s="51">
        <f t="shared" si="1"/>
        <v>23.9</v>
      </c>
      <c r="D33" s="51">
        <f t="shared" si="1"/>
        <v>20.7</v>
      </c>
      <c r="E33" s="51">
        <f t="shared" si="1"/>
        <v>22.5</v>
      </c>
      <c r="F33" s="51">
        <f t="shared" si="1"/>
        <v>18.200000000000003</v>
      </c>
      <c r="G33" s="51">
        <f t="shared" si="1"/>
        <v>20.03</v>
      </c>
      <c r="H33" s="51">
        <f t="shared" si="1"/>
        <v>11.4</v>
      </c>
      <c r="I33" s="51">
        <f t="shared" si="1"/>
        <v>17.110000000000003</v>
      </c>
      <c r="J33" s="51">
        <f t="shared" si="1"/>
        <v>17.810000000000002</v>
      </c>
      <c r="K33" s="51">
        <f t="shared" si="1"/>
        <v>13.55</v>
      </c>
      <c r="L33" s="51">
        <f t="shared" si="1"/>
        <v>20.8</v>
      </c>
      <c r="M33" s="51">
        <f t="shared" si="1"/>
        <v>27.3</v>
      </c>
      <c r="N33" s="51">
        <f t="shared" si="1"/>
        <v>20.05</v>
      </c>
      <c r="O33" s="51">
        <f t="shared" si="1"/>
        <v>15.5</v>
      </c>
      <c r="P33" s="51">
        <f t="shared" si="1"/>
        <v>18.880000000000003</v>
      </c>
      <c r="Q33" s="51">
        <f t="shared" si="1"/>
        <v>12.15</v>
      </c>
      <c r="R33" s="51">
        <f t="shared" si="1"/>
        <v>18.93</v>
      </c>
      <c r="S33" s="51">
        <f t="shared" si="1"/>
        <v>12.920000000000002</v>
      </c>
      <c r="T33" s="51">
        <f t="shared" si="1"/>
        <v>15.52</v>
      </c>
      <c r="U33" s="51">
        <f t="shared" si="1"/>
        <v>16.399999999999999</v>
      </c>
      <c r="V33" s="51">
        <f t="shared" si="1"/>
        <v>18.3</v>
      </c>
      <c r="W33" s="51">
        <f t="shared" si="1"/>
        <v>11.1</v>
      </c>
      <c r="X33" s="51">
        <f t="shared" si="1"/>
        <v>20.3</v>
      </c>
      <c r="Y33" s="51">
        <f t="shared" si="1"/>
        <v>12.2</v>
      </c>
      <c r="Z33" s="51">
        <f t="shared" si="1"/>
        <v>16.75</v>
      </c>
      <c r="AA33" s="51">
        <f t="shared" si="1"/>
        <v>22.12</v>
      </c>
      <c r="AB33" s="51">
        <f t="shared" si="1"/>
        <v>23.81</v>
      </c>
      <c r="AC33" s="51">
        <f t="shared" si="1"/>
        <v>16.53</v>
      </c>
      <c r="AD33" s="51">
        <f t="shared" si="1"/>
        <v>15.54</v>
      </c>
      <c r="AE33" s="51">
        <f t="shared" si="1"/>
        <v>19.059999999999999</v>
      </c>
      <c r="AF33" s="51">
        <f t="shared" si="1"/>
        <v>4.8999999999999995</v>
      </c>
      <c r="AG33" s="56">
        <f>SUM(B33:AF33)</f>
        <v>533.56000000000006</v>
      </c>
      <c r="AH33" s="57"/>
      <c r="AI33" s="57"/>
    </row>
    <row r="34" spans="1:35" s="2" customFormat="1" x14ac:dyDescent="0.25">
      <c r="AG34" s="24">
        <f>SUM(AG3:AG32)</f>
        <v>533.56000000000006</v>
      </c>
    </row>
    <row r="35" spans="1:35" s="2" customFormat="1" x14ac:dyDescent="0.25"/>
    <row r="36" spans="1:35" s="2" customFormat="1" x14ac:dyDescent="0.25"/>
    <row r="37" spans="1:35" s="2" customFormat="1" ht="21" x14ac:dyDescent="0.35">
      <c r="AG37" s="150">
        <v>1097.9000000000001</v>
      </c>
    </row>
    <row r="38" spans="1:35" s="2" customFormat="1" ht="21" x14ac:dyDescent="0.35">
      <c r="AG38" s="150">
        <v>1798.7</v>
      </c>
    </row>
    <row r="39" spans="1:35" s="2" customFormat="1" ht="21" x14ac:dyDescent="0.35">
      <c r="AG39" s="150">
        <f>+SUM(AG37:AG38)</f>
        <v>2896.6000000000004</v>
      </c>
    </row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61.42578125" customWidth="1"/>
    <col min="2" max="32" width="7.42578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.75" customHeight="1" x14ac:dyDescent="0.35">
      <c r="A3" s="63" t="s">
        <v>94</v>
      </c>
      <c r="B3" s="49"/>
      <c r="C3" s="49"/>
      <c r="D3" s="49">
        <v>2.7</v>
      </c>
      <c r="E3" s="49">
        <v>3.2</v>
      </c>
      <c r="F3" s="49">
        <v>1.9</v>
      </c>
      <c r="G3" s="49">
        <v>1.5</v>
      </c>
      <c r="H3" s="49">
        <v>2.7</v>
      </c>
      <c r="I3" s="50"/>
      <c r="J3" s="49"/>
      <c r="K3" s="50">
        <v>2.2999999999999998</v>
      </c>
      <c r="L3" s="49">
        <v>1.7</v>
      </c>
      <c r="M3" s="50">
        <v>2.2000000000000002</v>
      </c>
      <c r="N3" s="49">
        <v>3.4</v>
      </c>
      <c r="O3" s="49">
        <v>1.8</v>
      </c>
      <c r="P3" s="50"/>
      <c r="Q3" s="49"/>
      <c r="R3" s="49">
        <v>3.9</v>
      </c>
      <c r="S3" s="50">
        <v>2.7</v>
      </c>
      <c r="T3" s="50">
        <v>3.7</v>
      </c>
      <c r="U3" s="50">
        <v>3.2</v>
      </c>
      <c r="V3" s="50">
        <v>2.2000000000000002</v>
      </c>
      <c r="W3" s="49"/>
      <c r="X3" s="49"/>
      <c r="Y3" s="49">
        <v>2.7</v>
      </c>
      <c r="Z3" s="49">
        <v>2.8</v>
      </c>
      <c r="AA3" s="49">
        <v>3</v>
      </c>
      <c r="AB3" s="49">
        <v>2.8</v>
      </c>
      <c r="AC3" s="49">
        <v>2</v>
      </c>
      <c r="AD3" s="49"/>
      <c r="AE3" s="49"/>
      <c r="AF3" s="49"/>
      <c r="AG3" s="46">
        <f>SUM(B3:AF3)</f>
        <v>52.4</v>
      </c>
      <c r="AH3" s="47"/>
      <c r="AI3" s="48"/>
    </row>
    <row r="4" spans="1:35" s="44" customFormat="1" ht="18.75" customHeight="1" x14ac:dyDescent="0.35">
      <c r="A4" s="60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>
        <v>4</v>
      </c>
      <c r="E5" s="51"/>
      <c r="F5" s="51"/>
      <c r="G5" s="51">
        <v>2.8</v>
      </c>
      <c r="H5" s="51"/>
      <c r="I5" s="51"/>
      <c r="J5" s="51">
        <v>3.3</v>
      </c>
      <c r="K5" s="51"/>
      <c r="L5" s="51"/>
      <c r="M5" s="51"/>
      <c r="N5" s="51">
        <v>4.8</v>
      </c>
      <c r="O5" s="51"/>
      <c r="P5" s="51"/>
      <c r="Q5" s="51">
        <v>2.5</v>
      </c>
      <c r="R5" s="51"/>
      <c r="S5" s="51"/>
      <c r="T5" s="51">
        <v>5.3</v>
      </c>
      <c r="U5" s="51"/>
      <c r="V5" s="51"/>
      <c r="W5" s="51">
        <v>2</v>
      </c>
      <c r="X5" s="51"/>
      <c r="Y5" s="51"/>
      <c r="Z5" s="51">
        <v>3.6</v>
      </c>
      <c r="AA5" s="51"/>
      <c r="AB5" s="51"/>
      <c r="AC5" s="51">
        <v>4.8</v>
      </c>
      <c r="AD5" s="51"/>
      <c r="AE5" s="51"/>
      <c r="AF5" s="51"/>
      <c r="AG5" s="46">
        <f t="shared" si="0"/>
        <v>33.1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>
        <v>4.4000000000000004</v>
      </c>
      <c r="C8" s="51">
        <v>3.7</v>
      </c>
      <c r="D8" s="51">
        <v>2.1</v>
      </c>
      <c r="E8" s="51">
        <v>3.6</v>
      </c>
      <c r="F8" s="51">
        <v>4</v>
      </c>
      <c r="G8" s="51">
        <v>2.5</v>
      </c>
      <c r="H8" s="51">
        <v>3.3</v>
      </c>
      <c r="I8" s="51">
        <v>1.5</v>
      </c>
      <c r="J8" s="51">
        <v>1</v>
      </c>
      <c r="K8" s="51">
        <v>2.2999999999999998</v>
      </c>
      <c r="L8" s="51">
        <v>0.9</v>
      </c>
      <c r="M8" s="51">
        <v>1</v>
      </c>
      <c r="N8" s="51">
        <v>1.5</v>
      </c>
      <c r="O8" s="51">
        <v>2.2000000000000002</v>
      </c>
      <c r="P8" s="51">
        <v>2.8</v>
      </c>
      <c r="Q8" s="51">
        <v>3.1</v>
      </c>
      <c r="R8" s="51">
        <v>0.7</v>
      </c>
      <c r="S8" s="51">
        <v>0.9</v>
      </c>
      <c r="T8" s="51">
        <v>1.5</v>
      </c>
      <c r="U8" s="51">
        <v>1.6</v>
      </c>
      <c r="V8" s="51">
        <v>2</v>
      </c>
      <c r="W8" s="51">
        <v>2.2999999999999998</v>
      </c>
      <c r="X8" s="51">
        <v>2.1</v>
      </c>
      <c r="Y8" s="51">
        <v>0.9</v>
      </c>
      <c r="Z8" s="51">
        <v>4.0999999999999996</v>
      </c>
      <c r="AA8" s="51">
        <v>0.7</v>
      </c>
      <c r="AB8" s="51">
        <v>2.1</v>
      </c>
      <c r="AC8" s="51">
        <v>2</v>
      </c>
      <c r="AD8" s="51">
        <v>2.5</v>
      </c>
      <c r="AE8" s="51"/>
      <c r="AF8" s="51"/>
      <c r="AG8" s="46">
        <f t="shared" si="0"/>
        <v>63.300000000000004</v>
      </c>
      <c r="AH8" s="48"/>
      <c r="AI8" s="48"/>
    </row>
    <row r="9" spans="1:35" s="44" customFormat="1" ht="18.75" customHeight="1" x14ac:dyDescent="0.35">
      <c r="A9" s="60" t="s">
        <v>66</v>
      </c>
      <c r="B9" s="52">
        <v>2.9</v>
      </c>
      <c r="C9" s="52"/>
      <c r="D9" s="52"/>
      <c r="E9" s="52"/>
      <c r="F9" s="52">
        <v>2</v>
      </c>
      <c r="G9" s="52"/>
      <c r="H9" s="52"/>
      <c r="I9" s="52"/>
      <c r="J9" s="52"/>
      <c r="K9" s="52"/>
      <c r="L9" s="52"/>
      <c r="M9" s="52">
        <v>1.5</v>
      </c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>
        <v>0.9</v>
      </c>
      <c r="AA9" s="52"/>
      <c r="AB9" s="52"/>
      <c r="AC9" s="52"/>
      <c r="AD9" s="52"/>
      <c r="AE9" s="52"/>
      <c r="AF9" s="52"/>
      <c r="AG9" s="46">
        <f t="shared" si="0"/>
        <v>7.3000000000000007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1</v>
      </c>
      <c r="C10" s="51">
        <v>1.3</v>
      </c>
      <c r="D10" s="51">
        <v>1.1000000000000001</v>
      </c>
      <c r="E10" s="51">
        <v>1</v>
      </c>
      <c r="F10" s="51">
        <v>1</v>
      </c>
      <c r="G10" s="51">
        <v>1.1000000000000001</v>
      </c>
      <c r="H10" s="51">
        <v>1</v>
      </c>
      <c r="I10" s="51">
        <v>1.1000000000000001</v>
      </c>
      <c r="J10" s="51">
        <v>1</v>
      </c>
      <c r="K10" s="51">
        <v>1</v>
      </c>
      <c r="L10" s="51">
        <v>1</v>
      </c>
      <c r="M10" s="51">
        <v>2.2000000000000002</v>
      </c>
      <c r="N10" s="51">
        <v>1.9</v>
      </c>
      <c r="O10" s="51">
        <v>2</v>
      </c>
      <c r="P10" s="51">
        <v>1</v>
      </c>
      <c r="Q10" s="51"/>
      <c r="R10" s="51">
        <v>1</v>
      </c>
      <c r="S10" s="51">
        <v>1.1000000000000001</v>
      </c>
      <c r="T10" s="51">
        <v>1</v>
      </c>
      <c r="U10" s="51">
        <v>1</v>
      </c>
      <c r="V10" s="51">
        <v>1.1000000000000001</v>
      </c>
      <c r="W10" s="51">
        <v>1</v>
      </c>
      <c r="X10" s="51">
        <v>1.1000000000000001</v>
      </c>
      <c r="Y10" s="51">
        <v>1</v>
      </c>
      <c r="Z10" s="51">
        <v>1.3</v>
      </c>
      <c r="AA10" s="51">
        <v>1</v>
      </c>
      <c r="AB10" s="51">
        <v>1.1000000000000001</v>
      </c>
      <c r="AC10" s="51">
        <v>3</v>
      </c>
      <c r="AD10" s="51">
        <v>1.2</v>
      </c>
      <c r="AE10" s="51"/>
      <c r="AF10" s="51"/>
      <c r="AG10" s="46">
        <f t="shared" si="0"/>
        <v>34.600000000000009</v>
      </c>
      <c r="AH10" s="48"/>
      <c r="AI10" s="48"/>
    </row>
    <row r="11" spans="1:35" s="44" customFormat="1" ht="18.75" customHeight="1" x14ac:dyDescent="0.35">
      <c r="A11" s="60" t="s">
        <v>152</v>
      </c>
      <c r="B11" s="51">
        <v>2</v>
      </c>
      <c r="C11" s="51"/>
      <c r="D11" s="51">
        <v>1.9</v>
      </c>
      <c r="E11" s="51">
        <v>1.9</v>
      </c>
      <c r="F11" s="51">
        <v>2</v>
      </c>
      <c r="G11" s="51">
        <v>1.8</v>
      </c>
      <c r="H11" s="51">
        <v>1.3</v>
      </c>
      <c r="I11" s="51">
        <v>1.9</v>
      </c>
      <c r="J11" s="51"/>
      <c r="K11" s="51">
        <v>2</v>
      </c>
      <c r="L11" s="51">
        <v>1.1000000000000001</v>
      </c>
      <c r="M11" s="51">
        <v>1.6</v>
      </c>
      <c r="N11" s="51">
        <v>1.5</v>
      </c>
      <c r="O11" s="51">
        <v>1.3</v>
      </c>
      <c r="P11" s="51">
        <v>2</v>
      </c>
      <c r="Q11" s="51"/>
      <c r="R11" s="51">
        <v>2</v>
      </c>
      <c r="S11" s="51">
        <v>2.8</v>
      </c>
      <c r="T11" s="51">
        <v>3</v>
      </c>
      <c r="U11" s="51">
        <v>2.5</v>
      </c>
      <c r="V11" s="51">
        <v>2.5</v>
      </c>
      <c r="W11" s="51">
        <v>1.9</v>
      </c>
      <c r="X11" s="51"/>
      <c r="Y11" s="51">
        <v>1.9</v>
      </c>
      <c r="Z11" s="51">
        <v>1.3</v>
      </c>
      <c r="AA11" s="51">
        <v>2</v>
      </c>
      <c r="AB11" s="51">
        <v>1.5</v>
      </c>
      <c r="AC11" s="51">
        <v>1.5</v>
      </c>
      <c r="AD11" s="51">
        <v>2</v>
      </c>
      <c r="AE11" s="51"/>
      <c r="AF11" s="51"/>
      <c r="AG11" s="46">
        <f t="shared" si="0"/>
        <v>47.199999999999996</v>
      </c>
      <c r="AH11" s="48"/>
      <c r="AI11" s="48"/>
    </row>
    <row r="12" spans="1:35" s="44" customFormat="1" ht="20.25" customHeight="1" x14ac:dyDescent="0.35">
      <c r="A12" s="60" t="s">
        <v>91</v>
      </c>
      <c r="B12" s="51"/>
      <c r="C12" s="51">
        <v>0.5</v>
      </c>
      <c r="D12" s="51"/>
      <c r="E12" s="51"/>
      <c r="F12" s="51"/>
      <c r="G12" s="51">
        <v>0.7</v>
      </c>
      <c r="H12" s="51"/>
      <c r="I12" s="51"/>
      <c r="J12" s="51"/>
      <c r="K12" s="51"/>
      <c r="L12" s="51"/>
      <c r="M12" s="51">
        <v>5.3</v>
      </c>
      <c r="N12" s="51"/>
      <c r="O12" s="51">
        <v>0.5</v>
      </c>
      <c r="P12" s="51"/>
      <c r="Q12" s="51">
        <v>0.7</v>
      </c>
      <c r="R12" s="51">
        <v>5.7</v>
      </c>
      <c r="S12" s="51">
        <v>0.7</v>
      </c>
      <c r="T12" s="51">
        <v>0.5</v>
      </c>
      <c r="U12" s="51">
        <v>0.6</v>
      </c>
      <c r="V12" s="51">
        <v>5.7</v>
      </c>
      <c r="W12" s="51"/>
      <c r="X12" s="51"/>
      <c r="Y12" s="51"/>
      <c r="Z12" s="51"/>
      <c r="AA12" s="51">
        <v>0.7</v>
      </c>
      <c r="AB12" s="51">
        <v>5.3</v>
      </c>
      <c r="AC12" s="51">
        <v>0.5</v>
      </c>
      <c r="AD12" s="51">
        <v>0.6</v>
      </c>
      <c r="AE12" s="51"/>
      <c r="AF12" s="51"/>
      <c r="AG12" s="46">
        <f t="shared" si="0"/>
        <v>28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2.1</v>
      </c>
      <c r="C14" s="51">
        <v>3.1</v>
      </c>
      <c r="D14" s="51">
        <v>1.1000000000000001</v>
      </c>
      <c r="E14" s="51">
        <v>2.1</v>
      </c>
      <c r="F14" s="51">
        <v>3.1</v>
      </c>
      <c r="G14" s="51">
        <v>4.0999999999999996</v>
      </c>
      <c r="H14" s="51">
        <v>2.1</v>
      </c>
      <c r="I14" s="51">
        <v>3.1</v>
      </c>
      <c r="J14" s="51">
        <v>4.0999999999999996</v>
      </c>
      <c r="K14" s="51">
        <v>1.1000000000000001</v>
      </c>
      <c r="L14" s="51">
        <v>2.2000000000000002</v>
      </c>
      <c r="M14" s="51">
        <v>3.3</v>
      </c>
      <c r="N14" s="51">
        <v>2.2000000000000002</v>
      </c>
      <c r="O14" s="51">
        <v>1.1000000000000001</v>
      </c>
      <c r="P14" s="51">
        <v>2.2000000000000002</v>
      </c>
      <c r="Q14" s="51">
        <v>3.3</v>
      </c>
      <c r="R14" s="51">
        <v>3</v>
      </c>
      <c r="S14" s="51">
        <v>2.2000000000000002</v>
      </c>
      <c r="T14" s="51">
        <v>1.1000000000000001</v>
      </c>
      <c r="U14" s="51">
        <v>3.3</v>
      </c>
      <c r="V14" s="51">
        <v>2.2000000000000002</v>
      </c>
      <c r="W14" s="51">
        <v>4.2</v>
      </c>
      <c r="X14" s="51">
        <v>1.1000000000000001</v>
      </c>
      <c r="Y14" s="52">
        <v>2.2000000000000002</v>
      </c>
      <c r="Z14" s="52">
        <v>4.2</v>
      </c>
      <c r="AA14" s="52">
        <v>1.1000000000000001</v>
      </c>
      <c r="AB14" s="52">
        <v>2.1</v>
      </c>
      <c r="AC14" s="52">
        <v>3.1</v>
      </c>
      <c r="AD14" s="52">
        <v>2.2000000000000002</v>
      </c>
      <c r="AE14" s="52"/>
      <c r="AF14" s="52"/>
      <c r="AG14" s="46">
        <f t="shared" si="0"/>
        <v>72.300000000000011</v>
      </c>
      <c r="AH14" s="48"/>
      <c r="AI14" s="48"/>
    </row>
    <row r="15" spans="1:35" s="44" customFormat="1" ht="18.75" customHeight="1" x14ac:dyDescent="0.35">
      <c r="A15" s="60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>
        <v>1.6</v>
      </c>
      <c r="I17" s="51">
        <v>0.3</v>
      </c>
      <c r="J17" s="51"/>
      <c r="K17" s="51"/>
      <c r="L17" s="51"/>
      <c r="M17" s="51"/>
      <c r="N17" s="51"/>
      <c r="O17" s="51"/>
      <c r="P17" s="51">
        <v>1.6</v>
      </c>
      <c r="Q17" s="51"/>
      <c r="R17" s="51"/>
      <c r="S17" s="51"/>
      <c r="T17" s="51"/>
      <c r="U17" s="51"/>
      <c r="V17" s="51"/>
      <c r="W17" s="51">
        <v>1.2</v>
      </c>
      <c r="X17" s="51"/>
      <c r="Y17" s="51"/>
      <c r="Z17" s="51"/>
      <c r="AA17" s="51"/>
      <c r="AB17" s="51"/>
      <c r="AC17" s="51"/>
      <c r="AD17" s="51">
        <v>1.4</v>
      </c>
      <c r="AE17" s="51"/>
      <c r="AF17" s="51"/>
      <c r="AG17" s="46">
        <f t="shared" si="0"/>
        <v>6.1</v>
      </c>
      <c r="AH17" s="48"/>
      <c r="AI17" s="48"/>
    </row>
    <row r="18" spans="1:35" s="44" customFormat="1" ht="18.75" customHeight="1" x14ac:dyDescent="0.35">
      <c r="A18" s="60" t="s">
        <v>73</v>
      </c>
      <c r="B18" s="51">
        <f>3.9/2</f>
        <v>1.95</v>
      </c>
      <c r="C18" s="51"/>
      <c r="D18" s="51">
        <f>2.7/2</f>
        <v>1.35</v>
      </c>
      <c r="E18" s="51"/>
      <c r="F18" s="51"/>
      <c r="G18" s="51">
        <f>2.9/2</f>
        <v>1.45</v>
      </c>
      <c r="H18" s="51"/>
      <c r="I18" s="51">
        <f>4.8/2</f>
        <v>2.4</v>
      </c>
      <c r="J18" s="51">
        <f>3.9/2</f>
        <v>1.95</v>
      </c>
      <c r="K18" s="51"/>
      <c r="L18" s="51">
        <f>2.9/2</f>
        <v>1.45</v>
      </c>
      <c r="M18" s="51"/>
      <c r="N18" s="51">
        <f>3.9/2</f>
        <v>1.95</v>
      </c>
      <c r="O18" s="51"/>
      <c r="P18" s="51">
        <v>2</v>
      </c>
      <c r="Q18" s="51">
        <v>1.5</v>
      </c>
      <c r="R18" s="51">
        <f>1.9/2</f>
        <v>0.95</v>
      </c>
      <c r="S18" s="51">
        <f>2.3/2</f>
        <v>1.1499999999999999</v>
      </c>
      <c r="T18" s="51">
        <v>4</v>
      </c>
      <c r="U18" s="51">
        <f>3.9/2</f>
        <v>1.95</v>
      </c>
      <c r="V18" s="51"/>
      <c r="W18" s="51"/>
      <c r="X18" s="51">
        <f>4.5/2</f>
        <v>2.25</v>
      </c>
      <c r="Y18" s="51"/>
      <c r="Z18" s="51">
        <f>3.9/2</f>
        <v>1.95</v>
      </c>
      <c r="AA18" s="51"/>
      <c r="AB18" s="51">
        <f>3.9/2</f>
        <v>1.95</v>
      </c>
      <c r="AC18" s="51"/>
      <c r="AD18" s="51">
        <f>3/2</f>
        <v>1.5</v>
      </c>
      <c r="AE18" s="51"/>
      <c r="AF18" s="51"/>
      <c r="AG18" s="46">
        <f t="shared" si="0"/>
        <v>31.699999999999996</v>
      </c>
      <c r="AH18" s="48"/>
      <c r="AI18" s="48"/>
    </row>
    <row r="19" spans="1:35" s="44" customFormat="1" ht="18.75" customHeight="1" x14ac:dyDescent="0.35">
      <c r="A19" s="60" t="s">
        <v>92</v>
      </c>
      <c r="B19" s="51">
        <f>3.9/2</f>
        <v>1.95</v>
      </c>
      <c r="C19" s="51"/>
      <c r="D19" s="51">
        <f>2.7/2</f>
        <v>1.35</v>
      </c>
      <c r="E19" s="51"/>
      <c r="F19" s="51"/>
      <c r="G19" s="51">
        <f>2.9/2</f>
        <v>1.45</v>
      </c>
      <c r="H19" s="51"/>
      <c r="I19" s="51">
        <f>4.8/2</f>
        <v>2.4</v>
      </c>
      <c r="J19" s="51">
        <f>3.9/2</f>
        <v>1.95</v>
      </c>
      <c r="K19" s="51"/>
      <c r="L19" s="51">
        <f>2.9/2</f>
        <v>1.45</v>
      </c>
      <c r="M19" s="51"/>
      <c r="N19" s="51">
        <f>3.9/2</f>
        <v>1.95</v>
      </c>
      <c r="O19" s="51"/>
      <c r="P19" s="51">
        <v>2</v>
      </c>
      <c r="Q19" s="51">
        <v>1.5</v>
      </c>
      <c r="R19" s="51">
        <f>1.9/2</f>
        <v>0.95</v>
      </c>
      <c r="S19" s="51">
        <f>2.3/2</f>
        <v>1.1499999999999999</v>
      </c>
      <c r="T19" s="51">
        <v>4</v>
      </c>
      <c r="U19" s="51">
        <f>3.9/2</f>
        <v>1.95</v>
      </c>
      <c r="V19" s="51"/>
      <c r="W19" s="51"/>
      <c r="X19" s="51">
        <f>4.5/2</f>
        <v>2.25</v>
      </c>
      <c r="Y19" s="51"/>
      <c r="Z19" s="51">
        <f>3.9/2</f>
        <v>1.95</v>
      </c>
      <c r="AA19" s="51"/>
      <c r="AB19" s="51">
        <f>3.9/2</f>
        <v>1.95</v>
      </c>
      <c r="AC19" s="51"/>
      <c r="AD19" s="51">
        <f>3/2</f>
        <v>1.5</v>
      </c>
      <c r="AE19" s="51"/>
      <c r="AF19" s="51"/>
      <c r="AG19" s="46">
        <f t="shared" si="0"/>
        <v>31.699999999999996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v>0.4</v>
      </c>
      <c r="C20" s="51">
        <v>0.5</v>
      </c>
      <c r="D20" s="51">
        <v>0.7</v>
      </c>
      <c r="E20" s="51">
        <v>0.4</v>
      </c>
      <c r="F20" s="51">
        <v>0.3</v>
      </c>
      <c r="G20" s="51">
        <v>0.5</v>
      </c>
      <c r="H20" s="51">
        <v>0.9</v>
      </c>
      <c r="I20" s="51">
        <v>0.1</v>
      </c>
      <c r="J20" s="51">
        <v>0.2</v>
      </c>
      <c r="K20" s="51">
        <v>0.4</v>
      </c>
      <c r="L20" s="51">
        <v>0.5</v>
      </c>
      <c r="M20" s="51">
        <v>0.7</v>
      </c>
      <c r="N20" s="51">
        <v>0.8</v>
      </c>
      <c r="O20" s="51">
        <v>0.9</v>
      </c>
      <c r="P20" s="51">
        <v>1</v>
      </c>
      <c r="Q20" s="51">
        <v>1.1000000000000001</v>
      </c>
      <c r="R20" s="51">
        <v>0.4</v>
      </c>
      <c r="S20" s="51">
        <v>0.6</v>
      </c>
      <c r="T20" s="51">
        <v>0.7</v>
      </c>
      <c r="U20" s="51">
        <v>0.9</v>
      </c>
      <c r="V20" s="51">
        <v>1</v>
      </c>
      <c r="W20" s="51">
        <v>1.2</v>
      </c>
      <c r="X20" s="51">
        <v>1.6</v>
      </c>
      <c r="Y20" s="51">
        <v>1.3</v>
      </c>
      <c r="Z20" s="51">
        <v>0.4</v>
      </c>
      <c r="AA20" s="51">
        <v>1</v>
      </c>
      <c r="AB20" s="51">
        <v>0.9</v>
      </c>
      <c r="AC20" s="51">
        <v>1.5</v>
      </c>
      <c r="AD20" s="51">
        <v>1.3</v>
      </c>
      <c r="AE20" s="51"/>
      <c r="AF20" s="51"/>
      <c r="AG20" s="46">
        <f t="shared" si="0"/>
        <v>22.199999999999996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>
        <v>4</v>
      </c>
      <c r="I22" s="51">
        <v>1.2</v>
      </c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>
        <v>2.6</v>
      </c>
      <c r="U22" s="51"/>
      <c r="V22" s="51"/>
      <c r="W22" s="51">
        <v>5.4</v>
      </c>
      <c r="X22" s="51"/>
      <c r="Y22" s="51"/>
      <c r="Z22" s="51"/>
      <c r="AA22" s="51"/>
      <c r="AB22" s="51"/>
      <c r="AC22" s="51"/>
      <c r="AD22" s="51">
        <v>5.4</v>
      </c>
      <c r="AE22" s="51"/>
      <c r="AF22" s="51"/>
      <c r="AG22" s="46">
        <f t="shared" si="0"/>
        <v>18.600000000000001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2</v>
      </c>
      <c r="C24" s="51">
        <v>1</v>
      </c>
      <c r="D24" s="51">
        <v>3</v>
      </c>
      <c r="E24" s="51">
        <v>2</v>
      </c>
      <c r="F24" s="51">
        <v>1</v>
      </c>
      <c r="G24" s="51">
        <v>2</v>
      </c>
      <c r="H24" s="51">
        <v>3</v>
      </c>
      <c r="I24" s="51">
        <v>3</v>
      </c>
      <c r="J24" s="51">
        <v>3</v>
      </c>
      <c r="K24" s="51">
        <v>4</v>
      </c>
      <c r="L24" s="51">
        <v>3</v>
      </c>
      <c r="M24" s="51">
        <v>2</v>
      </c>
      <c r="N24" s="51">
        <v>1</v>
      </c>
      <c r="O24" s="51">
        <v>3</v>
      </c>
      <c r="P24" s="51">
        <v>2</v>
      </c>
      <c r="Q24" s="51">
        <v>1</v>
      </c>
      <c r="R24" s="51">
        <v>3</v>
      </c>
      <c r="S24" s="51">
        <v>2</v>
      </c>
      <c r="T24" s="51">
        <v>1</v>
      </c>
      <c r="U24" s="51">
        <v>2</v>
      </c>
      <c r="V24" s="51">
        <v>1</v>
      </c>
      <c r="W24" s="51">
        <v>2</v>
      </c>
      <c r="X24" s="51">
        <v>3</v>
      </c>
      <c r="Y24" s="51">
        <v>2</v>
      </c>
      <c r="Z24" s="51">
        <v>2</v>
      </c>
      <c r="AA24" s="51">
        <v>4</v>
      </c>
      <c r="AB24" s="51">
        <v>3</v>
      </c>
      <c r="AC24" s="51">
        <v>2</v>
      </c>
      <c r="AD24" s="51">
        <v>2</v>
      </c>
      <c r="AE24" s="51"/>
      <c r="AF24" s="51"/>
      <c r="AG24" s="46">
        <f t="shared" si="0"/>
        <v>65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>
        <v>2</v>
      </c>
      <c r="C27" s="52"/>
      <c r="D27" s="52">
        <v>3.3</v>
      </c>
      <c r="E27" s="52">
        <v>4</v>
      </c>
      <c r="F27" s="52">
        <v>4.0999999999999996</v>
      </c>
      <c r="G27" s="52">
        <v>2.2999999999999998</v>
      </c>
      <c r="H27" s="52">
        <v>1.9</v>
      </c>
      <c r="I27" s="52">
        <v>5.0999999999999996</v>
      </c>
      <c r="J27" s="52"/>
      <c r="K27" s="52">
        <v>2.5</v>
      </c>
      <c r="L27" s="52">
        <v>1.8</v>
      </c>
      <c r="M27" s="52">
        <v>3.2</v>
      </c>
      <c r="N27" s="52">
        <v>4.2</v>
      </c>
      <c r="O27" s="52">
        <v>4</v>
      </c>
      <c r="P27" s="52">
        <v>5.2</v>
      </c>
      <c r="Q27" s="52"/>
      <c r="R27" s="52">
        <v>3</v>
      </c>
      <c r="S27" s="52">
        <v>2.9</v>
      </c>
      <c r="T27" s="52">
        <v>2.7</v>
      </c>
      <c r="U27" s="52">
        <v>3.9</v>
      </c>
      <c r="V27" s="52">
        <v>4.2</v>
      </c>
      <c r="W27" s="52">
        <v>5.0999999999999996</v>
      </c>
      <c r="X27" s="52"/>
      <c r="Y27" s="52">
        <v>3.6</v>
      </c>
      <c r="Z27" s="52">
        <v>2.7</v>
      </c>
      <c r="AA27" s="52">
        <v>3.5</v>
      </c>
      <c r="AB27" s="52">
        <v>4.5999999999999996</v>
      </c>
      <c r="AC27" s="52">
        <v>1.8</v>
      </c>
      <c r="AD27" s="52">
        <v>3.3</v>
      </c>
      <c r="AE27" s="52"/>
      <c r="AF27" s="52"/>
      <c r="AG27" s="46">
        <f t="shared" si="0"/>
        <v>84.899999999999991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>
        <v>4.0999999999999996</v>
      </c>
      <c r="C29" s="52">
        <v>1.5</v>
      </c>
      <c r="D29" s="52">
        <v>2.5</v>
      </c>
      <c r="E29" s="52">
        <v>3.5</v>
      </c>
      <c r="F29" s="52">
        <v>3</v>
      </c>
      <c r="G29" s="52">
        <v>1.5</v>
      </c>
      <c r="H29" s="52">
        <v>2.1</v>
      </c>
      <c r="I29" s="52">
        <v>3</v>
      </c>
      <c r="J29" s="52">
        <f>3.5+0.1</f>
        <v>3.6</v>
      </c>
      <c r="K29" s="52">
        <f>2.5+1.6</f>
        <v>4.0999999999999996</v>
      </c>
      <c r="L29" s="52">
        <f>3.1+1.9</f>
        <v>5</v>
      </c>
      <c r="M29" s="52">
        <f>3+2.1</f>
        <v>5.0999999999999996</v>
      </c>
      <c r="N29" s="52">
        <f>5+1</f>
        <v>6</v>
      </c>
      <c r="O29" s="52">
        <f>3.1+2.1</f>
        <v>5.2</v>
      </c>
      <c r="P29" s="52">
        <f>2.5+1.5</f>
        <v>4</v>
      </c>
      <c r="Q29" s="52">
        <f>3+2.5</f>
        <v>5.5</v>
      </c>
      <c r="R29" s="52">
        <f>3.1+2.5</f>
        <v>5.6</v>
      </c>
      <c r="S29" s="52">
        <f>2.5+1.1</f>
        <v>3.6</v>
      </c>
      <c r="T29" s="52">
        <f>3.2+0.9</f>
        <v>4.1000000000000005</v>
      </c>
      <c r="U29" s="52">
        <f>2+1.2</f>
        <v>3.2</v>
      </c>
      <c r="V29" s="52">
        <f>3.3+1.1</f>
        <v>4.4000000000000004</v>
      </c>
      <c r="W29" s="52">
        <f>4+1.2+0.8</f>
        <v>6</v>
      </c>
      <c r="X29" s="52">
        <f>2.5+1.1+0.9</f>
        <v>4.5</v>
      </c>
      <c r="Y29" s="52">
        <f>2.5+3.5</f>
        <v>6</v>
      </c>
      <c r="Z29" s="52">
        <f>3.2+2.9+1.2</f>
        <v>7.3</v>
      </c>
      <c r="AA29" s="52">
        <f>4.1+2.1</f>
        <v>6.1999999999999993</v>
      </c>
      <c r="AB29" s="52">
        <f>1.9+2.3</f>
        <v>4.1999999999999993</v>
      </c>
      <c r="AC29" s="52">
        <f>1.9+3.1</f>
        <v>5</v>
      </c>
      <c r="AD29" s="52">
        <f>1.3+2.1</f>
        <v>3.4000000000000004</v>
      </c>
      <c r="AE29" s="52"/>
      <c r="AF29" s="52"/>
      <c r="AG29" s="46">
        <f t="shared" si="0"/>
        <v>123.20000000000002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>
        <v>6.4</v>
      </c>
      <c r="C31" s="52">
        <v>8.6999999999999993</v>
      </c>
      <c r="D31" s="52">
        <v>6.4</v>
      </c>
      <c r="E31" s="52">
        <v>6.9</v>
      </c>
      <c r="F31" s="52">
        <v>7</v>
      </c>
      <c r="G31" s="52">
        <v>7.5</v>
      </c>
      <c r="H31" s="52">
        <v>6.4</v>
      </c>
      <c r="I31" s="52">
        <v>8.5</v>
      </c>
      <c r="J31" s="52">
        <v>6.5</v>
      </c>
      <c r="K31" s="52">
        <v>8.6</v>
      </c>
      <c r="L31" s="52">
        <v>7</v>
      </c>
      <c r="M31" s="52">
        <v>8.4</v>
      </c>
      <c r="N31" s="52">
        <v>4.9000000000000004</v>
      </c>
      <c r="O31" s="52">
        <v>4.5</v>
      </c>
      <c r="P31" s="52">
        <v>6.3</v>
      </c>
      <c r="Q31" s="52">
        <v>8.1</v>
      </c>
      <c r="R31" s="52">
        <v>8.1999999999999993</v>
      </c>
      <c r="S31" s="52">
        <v>6.3</v>
      </c>
      <c r="T31" s="52">
        <v>7.2</v>
      </c>
      <c r="U31" s="52">
        <v>8</v>
      </c>
      <c r="V31" s="52">
        <v>6.6</v>
      </c>
      <c r="W31" s="52">
        <v>5.9</v>
      </c>
      <c r="X31" s="52">
        <v>7.2</v>
      </c>
      <c r="Y31" s="52">
        <v>9.1</v>
      </c>
      <c r="Z31" s="52">
        <v>5.2</v>
      </c>
      <c r="AA31" s="52">
        <v>4.9000000000000004</v>
      </c>
      <c r="AB31" s="52">
        <v>6.7</v>
      </c>
      <c r="AC31" s="52">
        <v>5.4</v>
      </c>
      <c r="AD31" s="52">
        <v>7.4</v>
      </c>
      <c r="AE31" s="52"/>
      <c r="AF31" s="52"/>
      <c r="AG31" s="46">
        <f t="shared" si="0"/>
        <v>200.19999999999996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31.199999999999996</v>
      </c>
      <c r="C33" s="51">
        <f t="shared" ref="C33:AF33" si="1">SUM(C3:C32)</f>
        <v>20.299999999999997</v>
      </c>
      <c r="D33" s="51">
        <f t="shared" si="1"/>
        <v>31.5</v>
      </c>
      <c r="E33" s="51">
        <f t="shared" si="1"/>
        <v>28.6</v>
      </c>
      <c r="F33" s="51">
        <f t="shared" si="1"/>
        <v>29.4</v>
      </c>
      <c r="G33" s="51">
        <f t="shared" si="1"/>
        <v>31.2</v>
      </c>
      <c r="H33" s="51">
        <f t="shared" si="1"/>
        <v>30.299999999999997</v>
      </c>
      <c r="I33" s="51">
        <f t="shared" si="1"/>
        <v>33.6</v>
      </c>
      <c r="J33" s="51">
        <f t="shared" si="1"/>
        <v>26.599999999999998</v>
      </c>
      <c r="K33" s="51">
        <f t="shared" si="1"/>
        <v>28.299999999999997</v>
      </c>
      <c r="L33" s="51">
        <f t="shared" si="1"/>
        <v>27.1</v>
      </c>
      <c r="M33" s="51">
        <f t="shared" si="1"/>
        <v>36.5</v>
      </c>
      <c r="N33" s="51">
        <f t="shared" si="1"/>
        <v>36.1</v>
      </c>
      <c r="O33" s="51">
        <f t="shared" si="1"/>
        <v>26.5</v>
      </c>
      <c r="P33" s="51">
        <f t="shared" si="1"/>
        <v>32.1</v>
      </c>
      <c r="Q33" s="51">
        <f t="shared" si="1"/>
        <v>28.299999999999997</v>
      </c>
      <c r="R33" s="51">
        <f t="shared" si="1"/>
        <v>38.399999999999991</v>
      </c>
      <c r="S33" s="51">
        <f t="shared" si="1"/>
        <v>28.1</v>
      </c>
      <c r="T33" s="51">
        <f t="shared" si="1"/>
        <v>42.400000000000006</v>
      </c>
      <c r="U33" s="51">
        <f t="shared" si="1"/>
        <v>34.099999999999994</v>
      </c>
      <c r="V33" s="51">
        <f t="shared" si="1"/>
        <v>32.9</v>
      </c>
      <c r="W33" s="51">
        <f t="shared" si="1"/>
        <v>38.199999999999996</v>
      </c>
      <c r="X33" s="51">
        <f t="shared" si="1"/>
        <v>25.099999999999998</v>
      </c>
      <c r="Y33" s="51">
        <f t="shared" si="1"/>
        <v>30.700000000000003</v>
      </c>
      <c r="Z33" s="51">
        <f t="shared" si="1"/>
        <v>39.700000000000003</v>
      </c>
      <c r="AA33" s="51">
        <f t="shared" si="1"/>
        <v>28.1</v>
      </c>
      <c r="AB33" s="51">
        <f t="shared" si="1"/>
        <v>38.199999999999996</v>
      </c>
      <c r="AC33" s="51">
        <f t="shared" si="1"/>
        <v>32.6</v>
      </c>
      <c r="AD33" s="51">
        <f t="shared" si="1"/>
        <v>35.700000000000003</v>
      </c>
      <c r="AE33" s="51">
        <f t="shared" si="1"/>
        <v>0</v>
      </c>
      <c r="AF33" s="51">
        <f t="shared" si="1"/>
        <v>0</v>
      </c>
      <c r="AG33" s="56">
        <f>SUM(B33:AF33)</f>
        <v>921.80000000000041</v>
      </c>
      <c r="AH33" s="57"/>
      <c r="AI33" s="57"/>
    </row>
    <row r="34" spans="1:35" s="2" customFormat="1" x14ac:dyDescent="0.25">
      <c r="AG34" s="24">
        <f>SUM(AG3:AG32)</f>
        <v>921.8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77" priority="2" operator="equal">
      <formula>$AG$34</formula>
    </cfRule>
  </conditionalFormatting>
  <conditionalFormatting sqref="AG34">
    <cfRule type="cellIs" dxfId="76" priority="1" operator="equal">
      <formula>$AG$33</formula>
    </cfRule>
  </conditionalFormatting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46.85546875" customWidth="1"/>
    <col min="2" max="32" width="7" customWidth="1"/>
    <col min="33" max="33" width="10.5703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/>
      <c r="C3" s="49">
        <v>2.2999999999999998</v>
      </c>
      <c r="D3" s="49">
        <v>3.1</v>
      </c>
      <c r="E3" s="49">
        <v>2.8</v>
      </c>
      <c r="F3" s="49">
        <v>1.9</v>
      </c>
      <c r="G3" s="49">
        <v>1.5</v>
      </c>
      <c r="H3" s="49">
        <v>1.8</v>
      </c>
      <c r="I3" s="50"/>
      <c r="J3" s="49">
        <v>1.1000000000000001</v>
      </c>
      <c r="K3" s="50">
        <v>0.9</v>
      </c>
      <c r="L3" s="49">
        <v>1.3</v>
      </c>
      <c r="M3" s="50">
        <v>1.4</v>
      </c>
      <c r="N3" s="49">
        <v>1.3</v>
      </c>
      <c r="O3" s="49">
        <v>0.8</v>
      </c>
      <c r="P3" s="50"/>
      <c r="Q3" s="49">
        <v>2.7</v>
      </c>
      <c r="R3" s="49">
        <v>2.5</v>
      </c>
      <c r="S3" s="50">
        <v>2.4</v>
      </c>
      <c r="T3" s="50">
        <v>2.2999999999999998</v>
      </c>
      <c r="U3" s="50">
        <v>2.4</v>
      </c>
      <c r="V3" s="50">
        <v>1.9</v>
      </c>
      <c r="W3" s="49"/>
      <c r="X3" s="49"/>
      <c r="Y3" s="49">
        <v>1.9</v>
      </c>
      <c r="Z3" s="49">
        <v>1.5</v>
      </c>
      <c r="AA3" s="49">
        <v>1.7</v>
      </c>
      <c r="AB3" s="49">
        <v>1.1000000000000001</v>
      </c>
      <c r="AC3" s="49">
        <v>1.3</v>
      </c>
      <c r="AD3" s="49"/>
      <c r="AE3" s="49">
        <v>1.8</v>
      </c>
      <c r="AF3" s="49">
        <v>2.2999999999999998</v>
      </c>
      <c r="AG3" s="46">
        <f>SUM(B3:AF3)</f>
        <v>45.999999999999993</v>
      </c>
      <c r="AH3" s="47"/>
      <c r="AI3" s="48"/>
    </row>
    <row r="4" spans="1:35" s="44" customFormat="1" ht="21" x14ac:dyDescent="0.35">
      <c r="A4" s="62" t="s">
        <v>193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7"/>
      <c r="AI4" s="48"/>
    </row>
    <row r="5" spans="1:35" s="44" customFormat="1" ht="18.75" customHeight="1" x14ac:dyDescent="0.35">
      <c r="A5" s="62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2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2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2" t="s">
        <v>65</v>
      </c>
      <c r="B8" s="51">
        <v>0.9</v>
      </c>
      <c r="C8" s="51">
        <v>0.3</v>
      </c>
      <c r="D8" s="51">
        <v>0.5</v>
      </c>
      <c r="E8" s="51"/>
      <c r="F8" s="51"/>
      <c r="G8" s="51"/>
      <c r="H8" s="51"/>
      <c r="I8" s="51"/>
      <c r="J8" s="51"/>
      <c r="K8" s="51"/>
      <c r="L8" s="51">
        <v>0.6</v>
      </c>
      <c r="M8" s="51">
        <v>0.7</v>
      </c>
      <c r="N8" s="51">
        <v>2</v>
      </c>
      <c r="O8" s="51">
        <v>1.9</v>
      </c>
      <c r="P8" s="51">
        <v>1.5</v>
      </c>
      <c r="Q8" s="51"/>
      <c r="R8" s="51"/>
      <c r="S8" s="51">
        <v>1.8</v>
      </c>
      <c r="T8" s="51">
        <v>0.3</v>
      </c>
      <c r="U8" s="51">
        <v>0.7</v>
      </c>
      <c r="V8" s="51">
        <v>0.5</v>
      </c>
      <c r="W8" s="51">
        <v>1</v>
      </c>
      <c r="X8" s="51">
        <v>1.3</v>
      </c>
      <c r="Y8" s="51">
        <v>2</v>
      </c>
      <c r="Z8" s="51"/>
      <c r="AA8" s="51"/>
      <c r="AB8" s="51">
        <v>0.7</v>
      </c>
      <c r="AC8" s="51">
        <v>0.4</v>
      </c>
      <c r="AD8" s="51">
        <v>2</v>
      </c>
      <c r="AE8" s="51">
        <v>1.9</v>
      </c>
      <c r="AF8" s="51">
        <v>1.4</v>
      </c>
      <c r="AG8" s="46">
        <f t="shared" si="0"/>
        <v>22.399999999999995</v>
      </c>
      <c r="AH8" s="48"/>
      <c r="AI8" s="48"/>
    </row>
    <row r="9" spans="1:35" s="44" customFormat="1" ht="18.75" customHeight="1" x14ac:dyDescent="0.35">
      <c r="A9" s="62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2" t="s">
        <v>67</v>
      </c>
      <c r="B10" s="51">
        <v>1.1000000000000001</v>
      </c>
      <c r="C10" s="51">
        <v>1</v>
      </c>
      <c r="D10" s="51">
        <v>0.9</v>
      </c>
      <c r="E10" s="51">
        <v>1</v>
      </c>
      <c r="F10" s="51">
        <v>1.2</v>
      </c>
      <c r="G10" s="51">
        <v>0.9</v>
      </c>
      <c r="H10" s="51">
        <v>0.8</v>
      </c>
      <c r="I10" s="51">
        <v>1</v>
      </c>
      <c r="J10" s="51">
        <v>1.1000000000000001</v>
      </c>
      <c r="K10" s="51">
        <v>1.1000000000000001</v>
      </c>
      <c r="L10" s="51">
        <v>0.9</v>
      </c>
      <c r="M10" s="51">
        <v>0.8</v>
      </c>
      <c r="N10" s="51">
        <v>1.1000000000000001</v>
      </c>
      <c r="O10" s="51">
        <v>1</v>
      </c>
      <c r="P10" s="51">
        <v>0.9</v>
      </c>
      <c r="Q10" s="51">
        <v>0.8</v>
      </c>
      <c r="R10" s="51">
        <v>1</v>
      </c>
      <c r="S10" s="51">
        <v>1.2</v>
      </c>
      <c r="T10" s="51">
        <v>1</v>
      </c>
      <c r="U10" s="51">
        <v>0.8</v>
      </c>
      <c r="V10" s="51">
        <v>0.9</v>
      </c>
      <c r="W10" s="51">
        <v>1</v>
      </c>
      <c r="X10" s="51">
        <v>1.2</v>
      </c>
      <c r="Y10" s="51">
        <v>1</v>
      </c>
      <c r="Z10" s="51">
        <v>1.2</v>
      </c>
      <c r="AA10" s="51">
        <v>1</v>
      </c>
      <c r="AB10" s="51">
        <v>1.1000000000000001</v>
      </c>
      <c r="AC10" s="51">
        <v>0.5</v>
      </c>
      <c r="AD10" s="51">
        <v>0.5</v>
      </c>
      <c r="AE10" s="51">
        <v>1</v>
      </c>
      <c r="AF10" s="51">
        <v>1</v>
      </c>
      <c r="AG10" s="46">
        <f t="shared" si="0"/>
        <v>30</v>
      </c>
      <c r="AH10" s="48"/>
      <c r="AI10" s="48"/>
    </row>
    <row r="11" spans="1:35" s="44" customFormat="1" ht="18.75" customHeight="1" x14ac:dyDescent="0.35">
      <c r="A11" s="62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21" x14ac:dyDescent="0.35">
      <c r="A12" s="62" t="s">
        <v>91</v>
      </c>
      <c r="B12" s="51">
        <v>2.5</v>
      </c>
      <c r="C12" s="51">
        <v>4.3</v>
      </c>
      <c r="D12" s="51">
        <v>0.7</v>
      </c>
      <c r="E12" s="51">
        <v>6.5</v>
      </c>
      <c r="F12" s="51"/>
      <c r="G12" s="51"/>
      <c r="H12" s="51"/>
      <c r="I12" s="51">
        <v>0.3</v>
      </c>
      <c r="J12" s="51">
        <v>0.9</v>
      </c>
      <c r="K12" s="51">
        <v>6.9</v>
      </c>
      <c r="L12" s="51">
        <v>2.6</v>
      </c>
      <c r="M12" s="51">
        <v>4.3</v>
      </c>
      <c r="N12" s="51">
        <v>0.8</v>
      </c>
      <c r="O12" s="51">
        <v>0.3</v>
      </c>
      <c r="P12" s="51">
        <v>2.8</v>
      </c>
      <c r="Q12" s="51">
        <v>4.7</v>
      </c>
      <c r="R12" s="51">
        <v>6.3</v>
      </c>
      <c r="S12" s="51">
        <v>6.7</v>
      </c>
      <c r="T12" s="51">
        <v>6.1</v>
      </c>
      <c r="U12" s="51">
        <v>0.7</v>
      </c>
      <c r="V12" s="51">
        <v>2.7</v>
      </c>
      <c r="W12" s="51">
        <v>4.5</v>
      </c>
      <c r="X12" s="51">
        <v>0.9</v>
      </c>
      <c r="Y12" s="51">
        <v>6.3</v>
      </c>
      <c r="Z12" s="51">
        <v>4.3</v>
      </c>
      <c r="AA12" s="51">
        <v>6.5</v>
      </c>
      <c r="AB12" s="51">
        <v>6.8</v>
      </c>
      <c r="AC12" s="51">
        <v>4.2</v>
      </c>
      <c r="AD12" s="51">
        <v>0.9</v>
      </c>
      <c r="AE12" s="51">
        <v>3.7</v>
      </c>
      <c r="AF12" s="51">
        <v>2.7</v>
      </c>
      <c r="AG12" s="46">
        <f t="shared" si="0"/>
        <v>100.90000000000003</v>
      </c>
    </row>
    <row r="13" spans="1:35" s="44" customFormat="1" ht="21" x14ac:dyDescent="0.35">
      <c r="A13" s="62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2" t="s">
        <v>71</v>
      </c>
      <c r="B14" s="51">
        <v>2</v>
      </c>
      <c r="C14" s="51">
        <v>3</v>
      </c>
      <c r="D14" s="51">
        <v>4.0999999999999996</v>
      </c>
      <c r="E14" s="51">
        <v>3.1</v>
      </c>
      <c r="F14" s="51">
        <v>2.2000000000000002</v>
      </c>
      <c r="G14" s="51">
        <v>4</v>
      </c>
      <c r="H14" s="51">
        <v>1.1000000000000001</v>
      </c>
      <c r="I14" s="51">
        <v>2.2000000000000002</v>
      </c>
      <c r="J14" s="51">
        <v>4.2</v>
      </c>
      <c r="K14" s="51">
        <v>3.1</v>
      </c>
      <c r="L14" s="51">
        <v>2.1</v>
      </c>
      <c r="M14" s="51">
        <v>4.2</v>
      </c>
      <c r="N14" s="51">
        <v>2.1</v>
      </c>
      <c r="O14" s="51">
        <v>2.1</v>
      </c>
      <c r="P14" s="51">
        <v>3.2</v>
      </c>
      <c r="Q14" s="51">
        <v>4.0999999999999996</v>
      </c>
      <c r="R14" s="51">
        <v>2.1</v>
      </c>
      <c r="S14" s="51">
        <v>2.2000000000000002</v>
      </c>
      <c r="T14" s="51">
        <v>1.1000000000000001</v>
      </c>
      <c r="U14" s="51">
        <v>3.1</v>
      </c>
      <c r="V14" s="51">
        <v>2.2000000000000002</v>
      </c>
      <c r="W14" s="51">
        <v>3.2</v>
      </c>
      <c r="X14" s="51">
        <v>2.1</v>
      </c>
      <c r="Y14" s="52">
        <v>2.2000000000000002</v>
      </c>
      <c r="Z14" s="52">
        <v>2.1</v>
      </c>
      <c r="AA14" s="52">
        <v>3.1</v>
      </c>
      <c r="AB14" s="52">
        <v>2.2999999999999998</v>
      </c>
      <c r="AC14" s="52">
        <v>4.0999999999999996</v>
      </c>
      <c r="AD14" s="52">
        <v>2.2000000000000002</v>
      </c>
      <c r="AE14" s="52">
        <v>3.1</v>
      </c>
      <c r="AF14" s="52">
        <v>3.2</v>
      </c>
      <c r="AG14" s="46">
        <f t="shared" si="0"/>
        <v>85.100000000000009</v>
      </c>
      <c r="AH14" s="48"/>
      <c r="AI14" s="48"/>
    </row>
    <row r="15" spans="1:35" s="44" customFormat="1" ht="18.75" customHeight="1" x14ac:dyDescent="0.35">
      <c r="A15" s="62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2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2" t="s">
        <v>194</v>
      </c>
      <c r="B17" s="51"/>
      <c r="C17" s="51"/>
      <c r="D17" s="51"/>
      <c r="E17" s="51"/>
      <c r="F17" s="51"/>
      <c r="G17" s="51"/>
      <c r="H17" s="51">
        <v>3.7</v>
      </c>
      <c r="I17" s="51"/>
      <c r="J17" s="51"/>
      <c r="K17" s="51"/>
      <c r="L17" s="51"/>
      <c r="M17" s="51"/>
      <c r="N17" s="51"/>
      <c r="O17" s="51">
        <v>2.8</v>
      </c>
      <c r="P17" s="51"/>
      <c r="Q17" s="51"/>
      <c r="R17" s="51"/>
      <c r="S17" s="51">
        <v>2.2999999999999998</v>
      </c>
      <c r="T17" s="51"/>
      <c r="U17" s="51"/>
      <c r="V17" s="51">
        <v>4.9000000000000004</v>
      </c>
      <c r="W17" s="51">
        <v>1</v>
      </c>
      <c r="X17" s="51"/>
      <c r="Y17" s="51">
        <v>2.4</v>
      </c>
      <c r="Z17" s="51"/>
      <c r="AA17" s="51">
        <v>3.2</v>
      </c>
      <c r="AB17" s="51"/>
      <c r="AC17" s="51">
        <v>4.5</v>
      </c>
      <c r="AD17" s="51"/>
      <c r="AE17" s="51">
        <v>1.9</v>
      </c>
      <c r="AF17" s="51"/>
      <c r="AG17" s="46">
        <f t="shared" si="0"/>
        <v>26.7</v>
      </c>
      <c r="AH17" s="48"/>
      <c r="AI17" s="48"/>
    </row>
    <row r="18" spans="1:35" s="44" customFormat="1" ht="18.75" customHeight="1" x14ac:dyDescent="0.35">
      <c r="A18" s="62" t="s">
        <v>73</v>
      </c>
      <c r="B18" s="51"/>
      <c r="C18" s="51">
        <f>2.9/2</f>
        <v>1.45</v>
      </c>
      <c r="D18" s="51"/>
      <c r="E18" s="51">
        <f>3.9/2</f>
        <v>1.95</v>
      </c>
      <c r="F18" s="51"/>
      <c r="G18" s="51">
        <f>3/2</f>
        <v>1.5</v>
      </c>
      <c r="H18" s="51"/>
      <c r="I18" s="51">
        <v>2</v>
      </c>
      <c r="J18" s="51"/>
      <c r="K18" s="51">
        <f>3.9/2</f>
        <v>1.95</v>
      </c>
      <c r="L18" s="51"/>
      <c r="M18" s="51">
        <v>2</v>
      </c>
      <c r="N18" s="51"/>
      <c r="O18" s="51">
        <f>2.9/2</f>
        <v>1.45</v>
      </c>
      <c r="P18" s="51"/>
      <c r="Q18" s="51">
        <f>3.7/2</f>
        <v>1.85</v>
      </c>
      <c r="R18" s="51">
        <f>2.7/2</f>
        <v>1.35</v>
      </c>
      <c r="S18" s="51">
        <v>1</v>
      </c>
      <c r="T18" s="51"/>
      <c r="U18" s="51"/>
      <c r="V18" s="51">
        <v>2</v>
      </c>
      <c r="W18" s="51"/>
      <c r="X18" s="51">
        <f>3.9/2</f>
        <v>1.95</v>
      </c>
      <c r="Y18" s="51">
        <f>3.9/2</f>
        <v>1.95</v>
      </c>
      <c r="Z18" s="51"/>
      <c r="AA18" s="51">
        <v>2</v>
      </c>
      <c r="AB18" s="51"/>
      <c r="AC18" s="51">
        <v>2.5</v>
      </c>
      <c r="AD18" s="51"/>
      <c r="AE18" s="51">
        <f>2.1/2</f>
        <v>1.05</v>
      </c>
      <c r="AF18" s="51"/>
      <c r="AG18" s="46">
        <f t="shared" si="0"/>
        <v>27.95</v>
      </c>
      <c r="AH18" s="48"/>
      <c r="AI18" s="48"/>
    </row>
    <row r="19" spans="1:35" s="44" customFormat="1" ht="18.75" customHeight="1" x14ac:dyDescent="0.35">
      <c r="A19" s="62" t="s">
        <v>92</v>
      </c>
      <c r="B19" s="51"/>
      <c r="C19" s="51">
        <f>2.9/2</f>
        <v>1.45</v>
      </c>
      <c r="D19" s="51"/>
      <c r="E19" s="51">
        <f>3.9/2</f>
        <v>1.95</v>
      </c>
      <c r="F19" s="51"/>
      <c r="G19" s="51">
        <f>3/2</f>
        <v>1.5</v>
      </c>
      <c r="H19" s="51"/>
      <c r="I19" s="51">
        <v>2</v>
      </c>
      <c r="J19" s="51"/>
      <c r="K19" s="51">
        <f>3.9/2</f>
        <v>1.95</v>
      </c>
      <c r="L19" s="51"/>
      <c r="M19" s="51">
        <v>2</v>
      </c>
      <c r="N19" s="51"/>
      <c r="O19" s="51">
        <f>2.9/2</f>
        <v>1.45</v>
      </c>
      <c r="P19" s="51"/>
      <c r="Q19" s="51">
        <f>3.7/2</f>
        <v>1.85</v>
      </c>
      <c r="R19" s="51">
        <f>2.7/2</f>
        <v>1.35</v>
      </c>
      <c r="S19" s="51">
        <v>1</v>
      </c>
      <c r="T19" s="51"/>
      <c r="U19" s="51"/>
      <c r="V19" s="51">
        <v>2</v>
      </c>
      <c r="W19" s="51"/>
      <c r="X19" s="51">
        <f>3.9/2</f>
        <v>1.95</v>
      </c>
      <c r="Y19" s="51">
        <f>3.9/2</f>
        <v>1.95</v>
      </c>
      <c r="Z19" s="51"/>
      <c r="AA19" s="51">
        <v>2</v>
      </c>
      <c r="AB19" s="51"/>
      <c r="AC19" s="51">
        <v>2.5</v>
      </c>
      <c r="AD19" s="51"/>
      <c r="AE19" s="51">
        <f>2.1/2</f>
        <v>1.05</v>
      </c>
      <c r="AF19" s="51"/>
      <c r="AG19" s="46">
        <f t="shared" si="0"/>
        <v>27.95</v>
      </c>
      <c r="AH19" s="48"/>
      <c r="AI19" s="48"/>
    </row>
    <row r="20" spans="1:35" s="44" customFormat="1" ht="18.75" customHeight="1" x14ac:dyDescent="0.35">
      <c r="A20" s="62" t="s">
        <v>89</v>
      </c>
      <c r="B20" s="51">
        <v>1</v>
      </c>
      <c r="C20" s="51">
        <v>0.3</v>
      </c>
      <c r="D20" s="51">
        <v>0.4</v>
      </c>
      <c r="E20" s="51">
        <v>0.5</v>
      </c>
      <c r="F20" s="51">
        <v>0.8</v>
      </c>
      <c r="G20" s="51">
        <v>1</v>
      </c>
      <c r="H20" s="51">
        <v>0.7</v>
      </c>
      <c r="I20" s="51">
        <v>0.8</v>
      </c>
      <c r="J20" s="51">
        <v>1.1000000000000001</v>
      </c>
      <c r="K20" s="51">
        <v>0.9</v>
      </c>
      <c r="L20" s="51">
        <v>0.7</v>
      </c>
      <c r="M20" s="51">
        <v>0.8</v>
      </c>
      <c r="N20" s="51">
        <v>0.4</v>
      </c>
      <c r="O20" s="51">
        <v>2.2000000000000002</v>
      </c>
      <c r="P20" s="51">
        <v>2</v>
      </c>
      <c r="Q20" s="51">
        <v>2.6</v>
      </c>
      <c r="R20" s="51">
        <v>1</v>
      </c>
      <c r="S20" s="51">
        <v>0.4</v>
      </c>
      <c r="T20" s="51">
        <v>0.7</v>
      </c>
      <c r="U20" s="51">
        <v>0.8</v>
      </c>
      <c r="V20" s="51">
        <v>1</v>
      </c>
      <c r="W20" s="51">
        <v>1.4</v>
      </c>
      <c r="X20" s="51">
        <v>1.7</v>
      </c>
      <c r="Y20" s="51">
        <v>1.8</v>
      </c>
      <c r="Z20" s="51">
        <v>1.9</v>
      </c>
      <c r="AA20" s="51">
        <v>0.4</v>
      </c>
      <c r="AB20" s="51">
        <v>2</v>
      </c>
      <c r="AC20" s="51">
        <v>2.2000000000000002</v>
      </c>
      <c r="AD20" s="51">
        <v>1.5</v>
      </c>
      <c r="AE20" s="51">
        <v>1</v>
      </c>
      <c r="AF20" s="51">
        <v>1.1000000000000001</v>
      </c>
      <c r="AG20" s="46">
        <f t="shared" si="0"/>
        <v>35.1</v>
      </c>
      <c r="AH20" s="48"/>
      <c r="AI20" s="48"/>
    </row>
    <row r="21" spans="1:35" s="44" customFormat="1" ht="18.75" customHeight="1" x14ac:dyDescent="0.35">
      <c r="A21" s="62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2" t="s">
        <v>75</v>
      </c>
      <c r="B22" s="51"/>
      <c r="C22" s="51"/>
      <c r="D22" s="51">
        <v>2.5</v>
      </c>
      <c r="E22" s="51"/>
      <c r="F22" s="51"/>
      <c r="G22" s="51">
        <v>4.5999999999999996</v>
      </c>
      <c r="H22" s="51">
        <v>3.8</v>
      </c>
      <c r="I22" s="51"/>
      <c r="J22" s="51"/>
      <c r="K22" s="51"/>
      <c r="L22" s="51">
        <v>2.2999999999999998</v>
      </c>
      <c r="M22" s="51"/>
      <c r="N22" s="51">
        <v>4.5999999999999996</v>
      </c>
      <c r="O22" s="51">
        <v>5</v>
      </c>
      <c r="P22" s="51"/>
      <c r="Q22" s="51"/>
      <c r="R22" s="51">
        <v>4.5</v>
      </c>
      <c r="S22" s="51"/>
      <c r="T22" s="51"/>
      <c r="U22" s="51">
        <v>5.3</v>
      </c>
      <c r="V22" s="51"/>
      <c r="W22" s="51"/>
      <c r="X22" s="51"/>
      <c r="Y22" s="51"/>
      <c r="Z22" s="51"/>
      <c r="AA22" s="51">
        <v>4.5</v>
      </c>
      <c r="AB22" s="51"/>
      <c r="AC22" s="51">
        <v>5</v>
      </c>
      <c r="AD22" s="51"/>
      <c r="AE22" s="51"/>
      <c r="AF22" s="51">
        <v>2.5</v>
      </c>
      <c r="AG22" s="46">
        <f t="shared" si="0"/>
        <v>44.599999999999994</v>
      </c>
      <c r="AH22" s="48"/>
      <c r="AI22" s="48"/>
    </row>
    <row r="23" spans="1:35" s="44" customFormat="1" ht="18.75" customHeight="1" x14ac:dyDescent="0.35">
      <c r="A23" s="62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2" t="s">
        <v>78</v>
      </c>
      <c r="B24" s="51">
        <v>3</v>
      </c>
      <c r="C24" s="51">
        <v>5</v>
      </c>
      <c r="D24" s="51">
        <v>7</v>
      </c>
      <c r="E24" s="51">
        <v>3</v>
      </c>
      <c r="F24" s="51">
        <v>5</v>
      </c>
      <c r="G24" s="51">
        <v>2</v>
      </c>
      <c r="H24" s="51">
        <v>3</v>
      </c>
      <c r="I24" s="51">
        <v>2</v>
      </c>
      <c r="J24" s="51">
        <v>2</v>
      </c>
      <c r="K24" s="51">
        <v>1</v>
      </c>
      <c r="L24" s="51">
        <v>1</v>
      </c>
      <c r="M24" s="51">
        <v>3</v>
      </c>
      <c r="N24" s="51">
        <v>2</v>
      </c>
      <c r="O24" s="51">
        <v>1</v>
      </c>
      <c r="P24" s="51">
        <v>2</v>
      </c>
      <c r="Q24" s="51">
        <v>5</v>
      </c>
      <c r="R24" s="51">
        <v>3</v>
      </c>
      <c r="S24" s="51">
        <v>4</v>
      </c>
      <c r="T24" s="51">
        <v>3</v>
      </c>
      <c r="U24" s="51">
        <v>2</v>
      </c>
      <c r="V24" s="51">
        <v>3</v>
      </c>
      <c r="W24" s="51">
        <v>4</v>
      </c>
      <c r="X24" s="51">
        <v>5</v>
      </c>
      <c r="Y24" s="51">
        <v>5</v>
      </c>
      <c r="Z24" s="51">
        <v>3</v>
      </c>
      <c r="AA24" s="51">
        <v>2</v>
      </c>
      <c r="AB24" s="51">
        <v>2</v>
      </c>
      <c r="AC24" s="51">
        <v>2</v>
      </c>
      <c r="AD24" s="51">
        <v>3</v>
      </c>
      <c r="AE24" s="51">
        <v>2</v>
      </c>
      <c r="AF24" s="51">
        <v>2</v>
      </c>
      <c r="AG24" s="46">
        <f t="shared" si="0"/>
        <v>92</v>
      </c>
      <c r="AH24" s="48"/>
      <c r="AI24" s="48"/>
    </row>
    <row r="25" spans="1:35" s="44" customFormat="1" ht="18.75" customHeight="1" x14ac:dyDescent="0.35">
      <c r="A25" s="62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2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2" t="s">
        <v>80</v>
      </c>
      <c r="B27" s="76">
        <v>6.2</v>
      </c>
      <c r="C27" s="76">
        <v>4.0999999999999996</v>
      </c>
      <c r="D27" s="76">
        <v>3.6</v>
      </c>
      <c r="E27" s="76"/>
      <c r="F27" s="76">
        <v>2.9</v>
      </c>
      <c r="G27" s="76">
        <v>4.2</v>
      </c>
      <c r="H27" s="76">
        <v>3.7</v>
      </c>
      <c r="I27" s="76"/>
      <c r="J27" s="76">
        <v>3.1</v>
      </c>
      <c r="K27" s="76">
        <v>3.9</v>
      </c>
      <c r="L27" s="76">
        <v>4.2</v>
      </c>
      <c r="M27" s="76">
        <v>6.2</v>
      </c>
      <c r="N27" s="76">
        <v>4.0999999999999996</v>
      </c>
      <c r="O27" s="76">
        <v>4.8</v>
      </c>
      <c r="P27" s="76"/>
      <c r="Q27" s="76">
        <v>3.7</v>
      </c>
      <c r="R27" s="76">
        <v>2.1</v>
      </c>
      <c r="S27" s="76">
        <v>1.1000000000000001</v>
      </c>
      <c r="T27" s="76">
        <v>1.4</v>
      </c>
      <c r="U27" s="76">
        <v>3.7</v>
      </c>
      <c r="V27" s="76">
        <v>2.2000000000000002</v>
      </c>
      <c r="W27" s="76">
        <v>3.1</v>
      </c>
      <c r="X27" s="76"/>
      <c r="Y27" s="76">
        <v>1.3</v>
      </c>
      <c r="Z27" s="76">
        <v>1.1000000000000001</v>
      </c>
      <c r="AA27" s="76">
        <v>3.1</v>
      </c>
      <c r="AB27" s="76">
        <v>3.9</v>
      </c>
      <c r="AC27" s="76">
        <v>4.8</v>
      </c>
      <c r="AD27" s="76">
        <v>4.0999999999999996</v>
      </c>
      <c r="AE27" s="76">
        <v>4.8</v>
      </c>
      <c r="AF27" s="76">
        <v>2</v>
      </c>
      <c r="AG27" s="46">
        <f t="shared" si="0"/>
        <v>93.399999999999977</v>
      </c>
      <c r="AH27" s="48"/>
      <c r="AI27" s="48"/>
    </row>
    <row r="28" spans="1:35" s="44" customFormat="1" ht="18.75" customHeight="1" x14ac:dyDescent="0.35">
      <c r="A28" s="62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2" t="s">
        <v>81</v>
      </c>
      <c r="B29" s="52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2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2" t="s">
        <v>82</v>
      </c>
      <c r="B31" s="76">
        <v>2.6</v>
      </c>
      <c r="C31" s="76">
        <v>4.8</v>
      </c>
      <c r="D31" s="76">
        <v>1.5</v>
      </c>
      <c r="E31" s="76">
        <v>2.2999999999999998</v>
      </c>
      <c r="F31" s="76">
        <v>3.9</v>
      </c>
      <c r="G31" s="76">
        <v>4.5999999999999996</v>
      </c>
      <c r="H31" s="76">
        <v>7.6</v>
      </c>
      <c r="I31" s="76">
        <v>7.6</v>
      </c>
      <c r="J31" s="76">
        <v>3.6</v>
      </c>
      <c r="K31" s="76">
        <v>7.6</v>
      </c>
      <c r="L31" s="76">
        <v>2.8</v>
      </c>
      <c r="M31" s="76">
        <v>3.6</v>
      </c>
      <c r="N31" s="76">
        <v>4.5999999999999996</v>
      </c>
      <c r="O31" s="76">
        <v>4</v>
      </c>
      <c r="P31" s="76">
        <v>6</v>
      </c>
      <c r="Q31" s="76">
        <v>5.6</v>
      </c>
      <c r="R31" s="76">
        <v>2.2000000000000002</v>
      </c>
      <c r="S31" s="76">
        <v>3.6</v>
      </c>
      <c r="T31" s="76">
        <v>4</v>
      </c>
      <c r="U31" s="76">
        <v>5.6</v>
      </c>
      <c r="V31" s="76">
        <v>8</v>
      </c>
      <c r="W31" s="76">
        <v>9.6</v>
      </c>
      <c r="X31" s="76">
        <v>7.6</v>
      </c>
      <c r="Y31" s="76">
        <v>2.6</v>
      </c>
      <c r="Z31" s="76">
        <v>3.6</v>
      </c>
      <c r="AA31" s="76">
        <v>2.8</v>
      </c>
      <c r="AB31" s="76">
        <v>4.5999999999999996</v>
      </c>
      <c r="AC31" s="76">
        <v>6</v>
      </c>
      <c r="AD31" s="76">
        <v>5.7</v>
      </c>
      <c r="AE31" s="76">
        <v>4.3</v>
      </c>
      <c r="AF31" s="76">
        <v>4.7</v>
      </c>
      <c r="AG31" s="46">
        <f t="shared" si="0"/>
        <v>147.59999999999994</v>
      </c>
      <c r="AH31" s="48"/>
      <c r="AI31" s="48"/>
    </row>
    <row r="32" spans="1:35" s="44" customFormat="1" ht="18.75" customHeight="1" x14ac:dyDescent="0.35">
      <c r="A32" s="62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19.3</v>
      </c>
      <c r="C33" s="51">
        <f t="shared" ref="C33:AF33" si="1">SUM(C3:C32)</f>
        <v>27.999999999999996</v>
      </c>
      <c r="D33" s="51">
        <f t="shared" si="1"/>
        <v>24.300000000000004</v>
      </c>
      <c r="E33" s="51">
        <f t="shared" si="1"/>
        <v>23.1</v>
      </c>
      <c r="F33" s="51">
        <f t="shared" si="1"/>
        <v>17.899999999999999</v>
      </c>
      <c r="G33" s="51">
        <f t="shared" si="1"/>
        <v>25.799999999999997</v>
      </c>
      <c r="H33" s="51">
        <f t="shared" si="1"/>
        <v>26.199999999999996</v>
      </c>
      <c r="I33" s="51">
        <f t="shared" si="1"/>
        <v>17.899999999999999</v>
      </c>
      <c r="J33" s="51">
        <f t="shared" si="1"/>
        <v>17.100000000000001</v>
      </c>
      <c r="K33" s="51">
        <f t="shared" si="1"/>
        <v>29.299999999999997</v>
      </c>
      <c r="L33" s="51">
        <f t="shared" si="1"/>
        <v>18.5</v>
      </c>
      <c r="M33" s="51">
        <f t="shared" si="1"/>
        <v>29</v>
      </c>
      <c r="N33" s="51">
        <f t="shared" si="1"/>
        <v>23</v>
      </c>
      <c r="O33" s="51">
        <f t="shared" si="1"/>
        <v>28.799999999999997</v>
      </c>
      <c r="P33" s="51">
        <f t="shared" si="1"/>
        <v>18.399999999999999</v>
      </c>
      <c r="Q33" s="51">
        <f t="shared" si="1"/>
        <v>32.9</v>
      </c>
      <c r="R33" s="51">
        <f t="shared" si="1"/>
        <v>27.400000000000002</v>
      </c>
      <c r="S33" s="51">
        <f t="shared" si="1"/>
        <v>27.700000000000003</v>
      </c>
      <c r="T33" s="51">
        <f t="shared" si="1"/>
        <v>19.899999999999999</v>
      </c>
      <c r="U33" s="51">
        <f t="shared" si="1"/>
        <v>25.1</v>
      </c>
      <c r="V33" s="51">
        <f t="shared" si="1"/>
        <v>31.3</v>
      </c>
      <c r="W33" s="51">
        <f t="shared" si="1"/>
        <v>28.800000000000004</v>
      </c>
      <c r="X33" s="51">
        <f t="shared" si="1"/>
        <v>23.700000000000003</v>
      </c>
      <c r="Y33" s="51">
        <f t="shared" si="1"/>
        <v>30.400000000000002</v>
      </c>
      <c r="Z33" s="51">
        <f t="shared" si="1"/>
        <v>18.7</v>
      </c>
      <c r="AA33" s="51">
        <f t="shared" si="1"/>
        <v>32.299999999999997</v>
      </c>
      <c r="AB33" s="51">
        <f t="shared" si="1"/>
        <v>24.5</v>
      </c>
      <c r="AC33" s="51">
        <f t="shared" si="1"/>
        <v>40</v>
      </c>
      <c r="AD33" s="51">
        <f t="shared" si="1"/>
        <v>19.899999999999999</v>
      </c>
      <c r="AE33" s="51">
        <f t="shared" si="1"/>
        <v>27.6</v>
      </c>
      <c r="AF33" s="51">
        <f t="shared" si="1"/>
        <v>22.9</v>
      </c>
      <c r="AG33" s="56">
        <f>SUM(B33:AF33)</f>
        <v>779.69999999999993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779.69999999999993</v>
      </c>
      <c r="AH34" s="48"/>
      <c r="AI34" s="48"/>
    </row>
  </sheetData>
  <mergeCells count="1">
    <mergeCell ref="A1:AG1"/>
  </mergeCells>
  <conditionalFormatting sqref="AG33">
    <cfRule type="cellIs" dxfId="75" priority="2" operator="equal">
      <formula>$AG$34</formula>
    </cfRule>
  </conditionalFormatting>
  <conditionalFormatting sqref="AG34">
    <cfRule type="cellIs" dxfId="74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46.85546875" customWidth="1"/>
    <col min="2" max="32" width="7" customWidth="1"/>
    <col min="33" max="33" width="10.5703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>
        <v>1.7</v>
      </c>
      <c r="C3" s="49"/>
      <c r="D3" s="49"/>
      <c r="E3" s="49">
        <v>1.9</v>
      </c>
      <c r="F3" s="49"/>
      <c r="G3" s="49">
        <v>2.5</v>
      </c>
      <c r="H3" s="49">
        <v>2.7</v>
      </c>
      <c r="I3" s="50">
        <v>3</v>
      </c>
      <c r="J3" s="49"/>
      <c r="K3" s="50"/>
      <c r="L3" s="49">
        <v>3.1</v>
      </c>
      <c r="M3" s="50">
        <v>2.8</v>
      </c>
      <c r="N3" s="49">
        <v>3.3</v>
      </c>
      <c r="O3" s="49">
        <v>2.1</v>
      </c>
      <c r="P3" s="50">
        <v>3.5</v>
      </c>
      <c r="Q3" s="49">
        <v>1.5</v>
      </c>
      <c r="R3" s="49"/>
      <c r="S3" s="50">
        <v>1.3</v>
      </c>
      <c r="T3" s="50"/>
      <c r="U3" s="50">
        <v>0.9</v>
      </c>
      <c r="V3" s="50">
        <v>1.1000000000000001</v>
      </c>
      <c r="W3" s="49">
        <v>1.3</v>
      </c>
      <c r="X3" s="49">
        <v>1.5</v>
      </c>
      <c r="Y3" s="49">
        <v>1.1000000000000001</v>
      </c>
      <c r="Z3" s="49">
        <v>1.2</v>
      </c>
      <c r="AA3" s="49"/>
      <c r="AB3" s="49">
        <v>1.3</v>
      </c>
      <c r="AC3" s="49">
        <v>2.5</v>
      </c>
      <c r="AD3" s="49">
        <v>1.2</v>
      </c>
      <c r="AE3" s="49">
        <v>0.1</v>
      </c>
      <c r="AF3" s="49"/>
      <c r="AG3" s="46">
        <f>SUM(B3:AF3)</f>
        <v>41.600000000000009</v>
      </c>
      <c r="AH3" s="47"/>
      <c r="AI3" s="48"/>
    </row>
    <row r="4" spans="1:35" s="44" customFormat="1" ht="30" customHeight="1" x14ac:dyDescent="0.35">
      <c r="A4" s="62" t="s">
        <v>193</v>
      </c>
      <c r="B4" s="49">
        <v>1.7</v>
      </c>
      <c r="C4" s="49"/>
      <c r="D4" s="49"/>
      <c r="E4" s="49">
        <v>1.9</v>
      </c>
      <c r="F4" s="49"/>
      <c r="G4" s="49">
        <v>2.5</v>
      </c>
      <c r="H4" s="49">
        <v>2.7</v>
      </c>
      <c r="I4" s="50">
        <v>3</v>
      </c>
      <c r="J4" s="49"/>
      <c r="K4" s="50"/>
      <c r="L4" s="49">
        <v>3.1</v>
      </c>
      <c r="M4" s="50">
        <v>2.8</v>
      </c>
      <c r="N4" s="49">
        <v>3.3</v>
      </c>
      <c r="O4" s="49">
        <v>2.1</v>
      </c>
      <c r="P4" s="50">
        <v>3.5</v>
      </c>
      <c r="Q4" s="49">
        <v>1.5</v>
      </c>
      <c r="R4" s="49"/>
      <c r="S4" s="50">
        <v>1.3</v>
      </c>
      <c r="T4" s="50"/>
      <c r="U4" s="50">
        <v>0.9</v>
      </c>
      <c r="V4" s="50">
        <v>1.1000000000000001</v>
      </c>
      <c r="W4" s="49">
        <v>1.3</v>
      </c>
      <c r="X4" s="49">
        <v>1.5</v>
      </c>
      <c r="Y4" s="49">
        <v>1.1000000000000001</v>
      </c>
      <c r="Z4" s="49">
        <v>1.2</v>
      </c>
      <c r="AA4" s="49"/>
      <c r="AB4" s="49">
        <v>1.3</v>
      </c>
      <c r="AC4" s="49">
        <v>2.5</v>
      </c>
      <c r="AD4" s="49">
        <v>1.2</v>
      </c>
      <c r="AE4" s="49">
        <v>0.1</v>
      </c>
      <c r="AF4" s="51"/>
      <c r="AG4" s="46">
        <f t="shared" ref="AG4:AG32" si="0">SUM(B4:AF4)</f>
        <v>41.600000000000009</v>
      </c>
      <c r="AH4" s="47"/>
      <c r="AI4" s="48"/>
    </row>
    <row r="5" spans="1:35" s="44" customFormat="1" ht="18.75" customHeight="1" x14ac:dyDescent="0.35">
      <c r="A5" s="62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2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2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2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2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2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2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21" x14ac:dyDescent="0.35">
      <c r="A12" s="62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</row>
    <row r="13" spans="1:35" s="44" customFormat="1" ht="21" x14ac:dyDescent="0.35">
      <c r="A13" s="62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2" t="s">
        <v>71</v>
      </c>
      <c r="B14" s="87">
        <v>8.1999999999999993</v>
      </c>
      <c r="C14" s="87">
        <v>4.0999999999999996</v>
      </c>
      <c r="D14" s="87">
        <v>0.4</v>
      </c>
      <c r="E14" s="87">
        <v>6.3</v>
      </c>
      <c r="F14" s="87">
        <v>1.6</v>
      </c>
      <c r="G14" s="87">
        <v>8.1999999999999993</v>
      </c>
      <c r="H14" s="87">
        <v>2.6</v>
      </c>
      <c r="I14" s="87">
        <v>0.4</v>
      </c>
      <c r="J14" s="87">
        <v>5.2</v>
      </c>
      <c r="K14" s="87">
        <v>7.1</v>
      </c>
      <c r="L14" s="87">
        <v>9.3000000000000007</v>
      </c>
      <c r="M14" s="87">
        <v>0.4</v>
      </c>
      <c r="N14" s="87">
        <v>1.3</v>
      </c>
      <c r="O14" s="87">
        <v>2.5</v>
      </c>
      <c r="P14" s="87">
        <v>0.4</v>
      </c>
      <c r="Q14" s="87">
        <v>1.5</v>
      </c>
      <c r="R14" s="87">
        <v>0.3</v>
      </c>
      <c r="S14" s="87">
        <v>1.5</v>
      </c>
      <c r="T14" s="87">
        <v>6.2</v>
      </c>
      <c r="U14" s="87">
        <v>8.3000000000000007</v>
      </c>
      <c r="V14" s="87">
        <v>9.4</v>
      </c>
      <c r="W14" s="87">
        <v>6.2</v>
      </c>
      <c r="X14" s="87">
        <v>8.3000000000000007</v>
      </c>
      <c r="Y14" s="88">
        <v>7.2</v>
      </c>
      <c r="Z14" s="88">
        <v>6.2</v>
      </c>
      <c r="AA14" s="88">
        <v>5.0999999999999996</v>
      </c>
      <c r="AB14" s="88">
        <v>0.3</v>
      </c>
      <c r="AC14" s="88">
        <v>9.4</v>
      </c>
      <c r="AD14" s="88">
        <v>7.2</v>
      </c>
      <c r="AE14" s="88">
        <v>6.2</v>
      </c>
      <c r="AF14" s="52"/>
      <c r="AG14" s="46">
        <f t="shared" si="0"/>
        <v>141.29999999999998</v>
      </c>
      <c r="AH14" s="48"/>
      <c r="AI14" s="48"/>
    </row>
    <row r="15" spans="1:35" s="44" customFormat="1" ht="18.75" customHeight="1" x14ac:dyDescent="0.35">
      <c r="A15" s="62" t="s">
        <v>72</v>
      </c>
      <c r="B15" s="51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2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2" t="s">
        <v>194</v>
      </c>
      <c r="B17" s="51">
        <v>0.3</v>
      </c>
      <c r="C17" s="51">
        <v>3</v>
      </c>
      <c r="D17" s="51">
        <v>3</v>
      </c>
      <c r="E17" s="51">
        <v>2</v>
      </c>
      <c r="F17" s="51">
        <v>2</v>
      </c>
      <c r="G17" s="51">
        <v>4</v>
      </c>
      <c r="H17" s="51">
        <v>4</v>
      </c>
      <c r="I17" s="51">
        <v>3</v>
      </c>
      <c r="J17" s="51">
        <v>2</v>
      </c>
      <c r="K17" s="51">
        <v>2</v>
      </c>
      <c r="L17" s="51">
        <v>1.4</v>
      </c>
      <c r="M17" s="51">
        <v>3</v>
      </c>
      <c r="N17" s="51">
        <v>2</v>
      </c>
      <c r="O17" s="51">
        <v>3</v>
      </c>
      <c r="P17" s="51">
        <v>2.1</v>
      </c>
      <c r="Q17" s="51"/>
      <c r="R17" s="51"/>
      <c r="S17" s="51"/>
      <c r="T17" s="51"/>
      <c r="U17" s="51">
        <v>4</v>
      </c>
      <c r="V17" s="51">
        <v>3</v>
      </c>
      <c r="W17" s="51">
        <v>3.9</v>
      </c>
      <c r="X17" s="51">
        <v>2.2999999999999998</v>
      </c>
      <c r="Y17" s="51">
        <v>2.1</v>
      </c>
      <c r="Z17" s="51">
        <v>3.1</v>
      </c>
      <c r="AA17" s="51">
        <v>4</v>
      </c>
      <c r="AB17" s="51">
        <v>1.9</v>
      </c>
      <c r="AC17" s="51">
        <v>2.2999999999999998</v>
      </c>
      <c r="AD17" s="51">
        <v>2.1</v>
      </c>
      <c r="AE17" s="51">
        <v>1.9</v>
      </c>
      <c r="AF17" s="51"/>
      <c r="AG17" s="46">
        <f t="shared" si="0"/>
        <v>67.400000000000006</v>
      </c>
      <c r="AH17" s="48"/>
      <c r="AI17" s="48"/>
    </row>
    <row r="18" spans="1:35" s="44" customFormat="1" ht="18.75" customHeight="1" x14ac:dyDescent="0.35">
      <c r="A18" s="62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2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2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2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2" t="s">
        <v>75</v>
      </c>
      <c r="B22" s="51"/>
      <c r="C22" s="51"/>
      <c r="D22" s="51"/>
      <c r="E22" s="51">
        <v>6</v>
      </c>
      <c r="F22" s="51"/>
      <c r="G22" s="51"/>
      <c r="H22" s="51"/>
      <c r="I22" s="51"/>
      <c r="J22" s="51"/>
      <c r="K22" s="51"/>
      <c r="L22" s="51">
        <v>7</v>
      </c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>
        <v>5</v>
      </c>
      <c r="AA22" s="51"/>
      <c r="AB22" s="51"/>
      <c r="AC22" s="51"/>
      <c r="AD22" s="51"/>
      <c r="AE22" s="51"/>
      <c r="AF22" s="51"/>
      <c r="AG22" s="46">
        <f t="shared" si="0"/>
        <v>18</v>
      </c>
      <c r="AH22" s="48"/>
      <c r="AI22" s="48"/>
    </row>
    <row r="23" spans="1:35" s="44" customFormat="1" ht="18.75" customHeight="1" x14ac:dyDescent="0.35">
      <c r="A23" s="62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2" t="s">
        <v>78</v>
      </c>
      <c r="B24" s="51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2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2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2" t="s">
        <v>80</v>
      </c>
      <c r="B27" s="76"/>
      <c r="C27" s="76"/>
      <c r="D27" s="76"/>
      <c r="E27" s="76"/>
      <c r="F27" s="76"/>
      <c r="G27" s="76"/>
      <c r="H27" s="76"/>
      <c r="I27" s="76"/>
      <c r="J27" s="76"/>
      <c r="K27" s="76"/>
      <c r="L27" s="76"/>
      <c r="M27" s="76"/>
      <c r="N27" s="76"/>
      <c r="O27" s="76"/>
      <c r="P27" s="76"/>
      <c r="Q27" s="76"/>
      <c r="R27" s="76"/>
      <c r="S27" s="76"/>
      <c r="T27" s="76"/>
      <c r="U27" s="76"/>
      <c r="V27" s="76"/>
      <c r="W27" s="76"/>
      <c r="X27" s="76"/>
      <c r="Y27" s="76"/>
      <c r="Z27" s="76"/>
      <c r="AA27" s="76"/>
      <c r="AB27" s="76"/>
      <c r="AC27" s="76"/>
      <c r="AD27" s="76"/>
      <c r="AE27" s="76"/>
      <c r="AF27" s="76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2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2" t="s">
        <v>81</v>
      </c>
      <c r="B29" s="52"/>
      <c r="C29" s="52">
        <v>2</v>
      </c>
      <c r="D29" s="52"/>
      <c r="E29" s="52">
        <v>1.9</v>
      </c>
      <c r="F29" s="52"/>
      <c r="G29" s="52">
        <v>3</v>
      </c>
      <c r="H29" s="52"/>
      <c r="I29" s="52">
        <v>1.7</v>
      </c>
      <c r="J29" s="52"/>
      <c r="K29" s="52">
        <v>2.9</v>
      </c>
      <c r="L29" s="52"/>
      <c r="M29" s="52">
        <v>1.3</v>
      </c>
      <c r="N29" s="52"/>
      <c r="O29" s="52">
        <v>0.9</v>
      </c>
      <c r="P29" s="52"/>
      <c r="Q29" s="52">
        <v>2.2999999999999998</v>
      </c>
      <c r="R29" s="52">
        <v>1.9</v>
      </c>
      <c r="S29" s="52"/>
      <c r="T29" s="52">
        <v>2.1</v>
      </c>
      <c r="U29" s="52"/>
      <c r="V29" s="52">
        <v>3.1</v>
      </c>
      <c r="W29" s="52"/>
      <c r="X29" s="52">
        <v>1.9</v>
      </c>
      <c r="Y29" s="52">
        <v>1.8</v>
      </c>
      <c r="Z29" s="52">
        <v>1.8</v>
      </c>
      <c r="AA29" s="52">
        <v>2</v>
      </c>
      <c r="AB29" s="52">
        <v>1.5</v>
      </c>
      <c r="AC29" s="52">
        <v>2.1</v>
      </c>
      <c r="AD29" s="52">
        <v>1.5</v>
      </c>
      <c r="AE29" s="52">
        <v>1.4</v>
      </c>
      <c r="AF29" s="52"/>
      <c r="AG29" s="46">
        <f t="shared" si="0"/>
        <v>37.1</v>
      </c>
      <c r="AH29" s="48"/>
      <c r="AI29" s="48"/>
    </row>
    <row r="30" spans="1:35" s="44" customFormat="1" ht="18.75" customHeight="1" x14ac:dyDescent="0.35">
      <c r="A30" s="62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2" t="s">
        <v>82</v>
      </c>
      <c r="B31" s="76">
        <v>8.5</v>
      </c>
      <c r="C31" s="76">
        <v>5.2</v>
      </c>
      <c r="D31" s="76">
        <v>4.5</v>
      </c>
      <c r="E31" s="76">
        <v>7.9</v>
      </c>
      <c r="F31" s="76">
        <v>6.8</v>
      </c>
      <c r="G31" s="76">
        <v>8.1</v>
      </c>
      <c r="H31" s="76">
        <v>5.2</v>
      </c>
      <c r="I31" s="76">
        <v>5</v>
      </c>
      <c r="J31" s="76">
        <v>4.9000000000000004</v>
      </c>
      <c r="K31" s="76">
        <v>6</v>
      </c>
      <c r="L31" s="76">
        <v>6.7</v>
      </c>
      <c r="M31" s="76">
        <v>5.0999999999999996</v>
      </c>
      <c r="N31" s="76">
        <v>4.9000000000000004</v>
      </c>
      <c r="O31" s="76">
        <v>3.8</v>
      </c>
      <c r="P31" s="76">
        <v>6.5</v>
      </c>
      <c r="Q31" s="76">
        <v>7</v>
      </c>
      <c r="R31" s="76">
        <v>5.8</v>
      </c>
      <c r="S31" s="76">
        <v>7.2</v>
      </c>
      <c r="T31" s="76">
        <v>6.9</v>
      </c>
      <c r="U31" s="76">
        <v>5.8</v>
      </c>
      <c r="V31" s="76">
        <v>4.9000000000000004</v>
      </c>
      <c r="W31" s="76">
        <v>3.5</v>
      </c>
      <c r="X31" s="76">
        <v>7.1</v>
      </c>
      <c r="Y31" s="76">
        <v>8</v>
      </c>
      <c r="Z31" s="76">
        <v>5</v>
      </c>
      <c r="AA31" s="76">
        <v>4.9000000000000004</v>
      </c>
      <c r="AB31" s="76">
        <v>6.1</v>
      </c>
      <c r="AC31" s="76">
        <v>6.8</v>
      </c>
      <c r="AD31" s="76">
        <v>5.4</v>
      </c>
      <c r="AE31" s="76">
        <v>4.3</v>
      </c>
      <c r="AF31" s="76"/>
      <c r="AG31" s="46">
        <f t="shared" si="0"/>
        <v>177.8</v>
      </c>
      <c r="AH31" s="48"/>
      <c r="AI31" s="48"/>
    </row>
    <row r="32" spans="1:35" s="44" customFormat="1" ht="18.75" customHeight="1" x14ac:dyDescent="0.35">
      <c r="A32" s="62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20.399999999999999</v>
      </c>
      <c r="C33" s="51">
        <f t="shared" ref="C33:AF33" si="1">SUM(C3:C32)</f>
        <v>14.3</v>
      </c>
      <c r="D33" s="51">
        <f t="shared" si="1"/>
        <v>7.9</v>
      </c>
      <c r="E33" s="51">
        <f t="shared" si="1"/>
        <v>27.9</v>
      </c>
      <c r="F33" s="51">
        <f t="shared" si="1"/>
        <v>10.4</v>
      </c>
      <c r="G33" s="51">
        <f t="shared" si="1"/>
        <v>28.299999999999997</v>
      </c>
      <c r="H33" s="51">
        <f t="shared" si="1"/>
        <v>17.2</v>
      </c>
      <c r="I33" s="51">
        <f t="shared" si="1"/>
        <v>16.100000000000001</v>
      </c>
      <c r="J33" s="51">
        <f t="shared" si="1"/>
        <v>12.100000000000001</v>
      </c>
      <c r="K33" s="51">
        <f t="shared" si="1"/>
        <v>18</v>
      </c>
      <c r="L33" s="51">
        <f t="shared" si="1"/>
        <v>30.599999999999998</v>
      </c>
      <c r="M33" s="51">
        <f t="shared" si="1"/>
        <v>15.4</v>
      </c>
      <c r="N33" s="51">
        <f t="shared" si="1"/>
        <v>14.799999999999999</v>
      </c>
      <c r="O33" s="51">
        <f t="shared" si="1"/>
        <v>14.399999999999999</v>
      </c>
      <c r="P33" s="51">
        <f t="shared" si="1"/>
        <v>16</v>
      </c>
      <c r="Q33" s="51">
        <f t="shared" si="1"/>
        <v>13.8</v>
      </c>
      <c r="R33" s="51">
        <f t="shared" si="1"/>
        <v>8</v>
      </c>
      <c r="S33" s="51">
        <f t="shared" si="1"/>
        <v>11.3</v>
      </c>
      <c r="T33" s="51">
        <f t="shared" si="1"/>
        <v>15.200000000000001</v>
      </c>
      <c r="U33" s="51">
        <f t="shared" si="1"/>
        <v>19.900000000000002</v>
      </c>
      <c r="V33" s="51">
        <f t="shared" si="1"/>
        <v>22.6</v>
      </c>
      <c r="W33" s="51">
        <f t="shared" si="1"/>
        <v>16.200000000000003</v>
      </c>
      <c r="X33" s="51">
        <f t="shared" si="1"/>
        <v>22.6</v>
      </c>
      <c r="Y33" s="51">
        <f t="shared" si="1"/>
        <v>21.3</v>
      </c>
      <c r="Z33" s="51">
        <f t="shared" si="1"/>
        <v>23.5</v>
      </c>
      <c r="AA33" s="51">
        <f t="shared" si="1"/>
        <v>16</v>
      </c>
      <c r="AB33" s="51">
        <f t="shared" si="1"/>
        <v>12.399999999999999</v>
      </c>
      <c r="AC33" s="51">
        <f t="shared" si="1"/>
        <v>25.6</v>
      </c>
      <c r="AD33" s="51">
        <f t="shared" si="1"/>
        <v>18.600000000000001</v>
      </c>
      <c r="AE33" s="51">
        <f t="shared" si="1"/>
        <v>14</v>
      </c>
      <c r="AF33" s="51">
        <f t="shared" si="1"/>
        <v>0</v>
      </c>
      <c r="AG33" s="56">
        <f>SUM(B33:AF33)</f>
        <v>524.80000000000007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524.79999999999995</v>
      </c>
      <c r="AH34" s="48"/>
      <c r="AI34" s="48"/>
    </row>
  </sheetData>
  <mergeCells count="1">
    <mergeCell ref="A1:AG1"/>
  </mergeCells>
  <conditionalFormatting sqref="AG33">
    <cfRule type="cellIs" dxfId="73" priority="2" operator="equal">
      <formula>$AG$34</formula>
    </cfRule>
  </conditionalFormatting>
  <conditionalFormatting sqref="AG34">
    <cfRule type="cellIs" dxfId="72" priority="1" operator="equal">
      <formula>$AG$33</formula>
    </cfRule>
  </conditionalFormatting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46.85546875" customWidth="1"/>
    <col min="2" max="32" width="7" customWidth="1"/>
    <col min="33" max="33" width="10.5703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107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42"/>
      <c r="AI2" s="42"/>
    </row>
    <row r="3" spans="1:35" s="44" customFormat="1" ht="47.25" x14ac:dyDescent="0.35">
      <c r="A3" s="78" t="s">
        <v>94</v>
      </c>
      <c r="B3" s="85"/>
      <c r="C3" s="85">
        <v>0.5</v>
      </c>
      <c r="D3" s="85"/>
      <c r="E3" s="85">
        <v>0.7</v>
      </c>
      <c r="F3" s="85">
        <v>0.8</v>
      </c>
      <c r="G3" s="85">
        <v>1</v>
      </c>
      <c r="H3" s="85">
        <v>2</v>
      </c>
      <c r="I3" s="86">
        <v>2.8</v>
      </c>
      <c r="J3" s="85">
        <v>0.7</v>
      </c>
      <c r="K3" s="86"/>
      <c r="L3" s="85">
        <v>0.9</v>
      </c>
      <c r="M3" s="86">
        <v>2</v>
      </c>
      <c r="N3" s="85">
        <v>1.7</v>
      </c>
      <c r="O3" s="85">
        <v>1.8</v>
      </c>
      <c r="P3" s="86">
        <v>1.3</v>
      </c>
      <c r="Q3" s="85">
        <v>2.5</v>
      </c>
      <c r="R3" s="85"/>
      <c r="S3" s="86">
        <v>1.2</v>
      </c>
      <c r="T3" s="86">
        <v>1.1000000000000001</v>
      </c>
      <c r="U3" s="86">
        <v>0.9</v>
      </c>
      <c r="V3" s="86">
        <v>0.8</v>
      </c>
      <c r="W3" s="85">
        <v>1.3</v>
      </c>
      <c r="X3" s="85">
        <v>1.1000000000000001</v>
      </c>
      <c r="Y3" s="85"/>
      <c r="Z3" s="85"/>
      <c r="AA3" s="85">
        <v>2.1</v>
      </c>
      <c r="AB3" s="85">
        <v>3.5</v>
      </c>
      <c r="AC3" s="85">
        <v>3.9</v>
      </c>
      <c r="AD3" s="85">
        <v>4.5</v>
      </c>
      <c r="AE3" s="85">
        <v>2.5</v>
      </c>
      <c r="AF3" s="85"/>
      <c r="AG3" s="103">
        <f>SUM(B3:AF3)</f>
        <v>41.6</v>
      </c>
      <c r="AH3" s="47"/>
      <c r="AI3" s="48"/>
    </row>
    <row r="4" spans="1:35" s="44" customFormat="1" ht="21" x14ac:dyDescent="0.35">
      <c r="A4" s="79" t="s">
        <v>193</v>
      </c>
      <c r="B4" s="85"/>
      <c r="C4" s="85">
        <v>0.5</v>
      </c>
      <c r="D4" s="85"/>
      <c r="E4" s="85">
        <v>0.7</v>
      </c>
      <c r="F4" s="85">
        <v>0.8</v>
      </c>
      <c r="G4" s="85">
        <v>1</v>
      </c>
      <c r="H4" s="85">
        <v>2</v>
      </c>
      <c r="I4" s="86">
        <v>2.8</v>
      </c>
      <c r="J4" s="85">
        <v>0.7</v>
      </c>
      <c r="K4" s="86"/>
      <c r="L4" s="85">
        <v>0.9</v>
      </c>
      <c r="M4" s="86">
        <v>2</v>
      </c>
      <c r="N4" s="85">
        <v>1.7</v>
      </c>
      <c r="O4" s="85">
        <v>1.8</v>
      </c>
      <c r="P4" s="86">
        <v>1.3</v>
      </c>
      <c r="Q4" s="85">
        <v>2.5</v>
      </c>
      <c r="R4" s="85"/>
      <c r="S4" s="86">
        <v>1.2</v>
      </c>
      <c r="T4" s="86">
        <v>1.1000000000000001</v>
      </c>
      <c r="U4" s="86">
        <v>0.9</v>
      </c>
      <c r="V4" s="86">
        <v>0.8</v>
      </c>
      <c r="W4" s="85">
        <v>1.3</v>
      </c>
      <c r="X4" s="85">
        <v>1.1000000000000001</v>
      </c>
      <c r="Y4" s="85"/>
      <c r="Z4" s="85"/>
      <c r="AA4" s="85">
        <v>2.1</v>
      </c>
      <c r="AB4" s="85">
        <v>3.5</v>
      </c>
      <c r="AC4" s="85">
        <v>3.9</v>
      </c>
      <c r="AD4" s="85">
        <v>4.5</v>
      </c>
      <c r="AE4" s="85">
        <v>2.5</v>
      </c>
      <c r="AF4" s="87"/>
      <c r="AG4" s="103">
        <f t="shared" ref="AG4:AG32" si="0">SUM(B4:AF4)</f>
        <v>41.6</v>
      </c>
      <c r="AH4" s="47"/>
      <c r="AI4" s="48"/>
    </row>
    <row r="5" spans="1:35" s="44" customFormat="1" ht="18.75" customHeight="1" x14ac:dyDescent="0.35">
      <c r="A5" s="79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79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79" t="s">
        <v>64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79" t="s">
        <v>65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79" t="s">
        <v>66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103">
        <f t="shared" si="0"/>
        <v>0</v>
      </c>
      <c r="AH9" s="48"/>
      <c r="AI9" s="48"/>
    </row>
    <row r="10" spans="1:35" s="44" customFormat="1" ht="18.75" customHeight="1" x14ac:dyDescent="0.35">
      <c r="A10" s="79" t="s">
        <v>67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103">
        <f t="shared" si="0"/>
        <v>0</v>
      </c>
      <c r="AH10" s="48"/>
      <c r="AI10" s="48"/>
    </row>
    <row r="11" spans="1:35" s="44" customFormat="1" ht="18.75" customHeight="1" x14ac:dyDescent="0.35">
      <c r="A11" s="79" t="s">
        <v>152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103">
        <f t="shared" si="0"/>
        <v>0</v>
      </c>
      <c r="AH11" s="48"/>
      <c r="AI11" s="48"/>
    </row>
    <row r="12" spans="1:35" s="44" customFormat="1" ht="21" x14ac:dyDescent="0.35">
      <c r="A12" s="79" t="s">
        <v>91</v>
      </c>
      <c r="B12" s="87">
        <v>1</v>
      </c>
      <c r="C12" s="87">
        <v>1</v>
      </c>
      <c r="D12" s="87">
        <v>1</v>
      </c>
      <c r="E12" s="87">
        <v>1</v>
      </c>
      <c r="F12" s="87">
        <v>2</v>
      </c>
      <c r="G12" s="87">
        <v>2</v>
      </c>
      <c r="H12" s="87">
        <v>2</v>
      </c>
      <c r="I12" s="87">
        <v>2</v>
      </c>
      <c r="J12" s="87">
        <v>2</v>
      </c>
      <c r="K12" s="87">
        <v>2</v>
      </c>
      <c r="L12" s="87">
        <v>2</v>
      </c>
      <c r="M12" s="87">
        <v>2</v>
      </c>
      <c r="N12" s="87">
        <v>2</v>
      </c>
      <c r="O12" s="87">
        <v>2</v>
      </c>
      <c r="P12" s="87">
        <v>2</v>
      </c>
      <c r="Q12" s="87">
        <v>2</v>
      </c>
      <c r="R12" s="87">
        <v>2</v>
      </c>
      <c r="S12" s="87">
        <v>2</v>
      </c>
      <c r="T12" s="87">
        <v>2</v>
      </c>
      <c r="U12" s="87">
        <v>2</v>
      </c>
      <c r="V12" s="87">
        <v>2</v>
      </c>
      <c r="W12" s="87">
        <v>2</v>
      </c>
      <c r="X12" s="87">
        <v>2</v>
      </c>
      <c r="Y12" s="87">
        <v>2</v>
      </c>
      <c r="Z12" s="87">
        <v>2</v>
      </c>
      <c r="AA12" s="87">
        <v>2</v>
      </c>
      <c r="AB12" s="87">
        <v>2</v>
      </c>
      <c r="AC12" s="87">
        <v>2</v>
      </c>
      <c r="AD12" s="87">
        <v>2</v>
      </c>
      <c r="AE12" s="87">
        <v>2</v>
      </c>
      <c r="AF12" s="87">
        <v>2</v>
      </c>
      <c r="AG12" s="103">
        <f t="shared" si="0"/>
        <v>58</v>
      </c>
    </row>
    <row r="13" spans="1:35" s="44" customFormat="1" ht="21" x14ac:dyDescent="0.35">
      <c r="A13" s="79" t="s">
        <v>69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79" t="s">
        <v>71</v>
      </c>
      <c r="B14" s="87">
        <v>1.2</v>
      </c>
      <c r="C14" s="87">
        <v>6.3</v>
      </c>
      <c r="D14" s="87">
        <v>4.3</v>
      </c>
      <c r="E14" s="87">
        <v>8.4</v>
      </c>
      <c r="F14" s="87">
        <v>2.2000000000000002</v>
      </c>
      <c r="G14" s="87">
        <v>7.2</v>
      </c>
      <c r="H14" s="87">
        <v>6.3</v>
      </c>
      <c r="I14" s="87">
        <v>1.1000000000000001</v>
      </c>
      <c r="J14" s="87">
        <v>2.1</v>
      </c>
      <c r="K14" s="87">
        <v>4.2</v>
      </c>
      <c r="L14" s="87">
        <v>7.3</v>
      </c>
      <c r="M14" s="87">
        <v>8.1999999999999993</v>
      </c>
      <c r="N14" s="87">
        <v>9.1999999999999993</v>
      </c>
      <c r="O14" s="87">
        <v>7.1</v>
      </c>
      <c r="P14" s="87">
        <v>6</v>
      </c>
      <c r="Q14" s="87">
        <v>3.1</v>
      </c>
      <c r="R14" s="87">
        <v>4.0999999999999996</v>
      </c>
      <c r="S14" s="87">
        <v>5.2</v>
      </c>
      <c r="T14" s="87">
        <v>3</v>
      </c>
      <c r="U14" s="87">
        <v>7.2</v>
      </c>
      <c r="V14" s="87">
        <v>8.4</v>
      </c>
      <c r="W14" s="87">
        <v>6.2</v>
      </c>
      <c r="X14" s="87">
        <v>8.3000000000000007</v>
      </c>
      <c r="Y14" s="88">
        <v>7.3</v>
      </c>
      <c r="Z14" s="88">
        <v>4.2</v>
      </c>
      <c r="AA14" s="88">
        <v>2.2000000000000002</v>
      </c>
      <c r="AB14" s="88">
        <v>3.3</v>
      </c>
      <c r="AC14" s="88">
        <v>4.2</v>
      </c>
      <c r="AD14" s="88">
        <v>6.3</v>
      </c>
      <c r="AE14" s="88">
        <v>8.1</v>
      </c>
      <c r="AF14" s="88">
        <v>9.1999999999999993</v>
      </c>
      <c r="AG14" s="103">
        <f t="shared" si="0"/>
        <v>171.39999999999998</v>
      </c>
      <c r="AH14" s="48"/>
      <c r="AI14" s="48"/>
    </row>
    <row r="15" spans="1:35" s="44" customFormat="1" ht="18.75" customHeight="1" x14ac:dyDescent="0.35">
      <c r="A15" s="79" t="s">
        <v>72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79" t="s">
        <v>85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103">
        <f t="shared" si="0"/>
        <v>0</v>
      </c>
      <c r="AH16" s="48"/>
      <c r="AI16" s="48"/>
    </row>
    <row r="17" spans="1:35" s="44" customFormat="1" ht="18.75" customHeight="1" x14ac:dyDescent="0.35">
      <c r="A17" s="79" t="s">
        <v>194</v>
      </c>
      <c r="B17" s="87"/>
      <c r="C17" s="87"/>
      <c r="D17" s="87"/>
      <c r="E17" s="87">
        <v>3.5</v>
      </c>
      <c r="F17" s="87"/>
      <c r="G17" s="87"/>
      <c r="H17" s="87"/>
      <c r="I17" s="87"/>
      <c r="J17" s="87"/>
      <c r="K17" s="87"/>
      <c r="L17" s="87"/>
      <c r="M17" s="87"/>
      <c r="N17" s="87"/>
      <c r="O17" s="87">
        <v>4</v>
      </c>
      <c r="P17" s="87"/>
      <c r="Q17" s="87"/>
      <c r="R17" s="87"/>
      <c r="S17" s="87"/>
      <c r="T17" s="87">
        <v>3.8</v>
      </c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>
        <v>2.5</v>
      </c>
      <c r="AF17" s="87"/>
      <c r="AG17" s="103">
        <f t="shared" si="0"/>
        <v>13.8</v>
      </c>
      <c r="AH17" s="48"/>
      <c r="AI17" s="48"/>
    </row>
    <row r="18" spans="1:35" s="44" customFormat="1" ht="18.75" customHeight="1" x14ac:dyDescent="0.35">
      <c r="A18" s="79" t="s">
        <v>73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79" t="s">
        <v>92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79" t="s">
        <v>89</v>
      </c>
      <c r="B20" s="85"/>
      <c r="C20" s="85">
        <v>2</v>
      </c>
      <c r="D20" s="85">
        <v>3</v>
      </c>
      <c r="E20" s="85">
        <v>2.8</v>
      </c>
      <c r="F20" s="85">
        <v>2.2999999999999998</v>
      </c>
      <c r="G20" s="85">
        <v>2.8</v>
      </c>
      <c r="H20" s="85"/>
      <c r="I20" s="86"/>
      <c r="J20" s="85">
        <v>3.1</v>
      </c>
      <c r="K20" s="86">
        <v>2.7</v>
      </c>
      <c r="L20" s="85">
        <v>3.2</v>
      </c>
      <c r="M20" s="86">
        <v>3</v>
      </c>
      <c r="N20" s="85">
        <v>3.2</v>
      </c>
      <c r="O20" s="85"/>
      <c r="P20" s="86"/>
      <c r="Q20" s="85">
        <v>2.9</v>
      </c>
      <c r="R20" s="85">
        <v>2.8</v>
      </c>
      <c r="S20" s="86">
        <v>2</v>
      </c>
      <c r="T20" s="86">
        <v>3</v>
      </c>
      <c r="U20" s="86">
        <v>3.2</v>
      </c>
      <c r="V20" s="86"/>
      <c r="W20" s="85"/>
      <c r="X20" s="85">
        <v>2.8</v>
      </c>
      <c r="Y20" s="85"/>
      <c r="Z20" s="85">
        <v>2.8</v>
      </c>
      <c r="AA20" s="85">
        <v>3.9</v>
      </c>
      <c r="AB20" s="85">
        <v>2.7</v>
      </c>
      <c r="AC20" s="85"/>
      <c r="AD20" s="85"/>
      <c r="AE20" s="85">
        <v>3</v>
      </c>
      <c r="AF20" s="87"/>
      <c r="AG20" s="103">
        <f t="shared" si="0"/>
        <v>57.199999999999996</v>
      </c>
      <c r="AH20" s="48"/>
      <c r="AI20" s="48"/>
    </row>
    <row r="21" spans="1:35" s="44" customFormat="1" ht="18.75" customHeight="1" x14ac:dyDescent="0.35">
      <c r="A21" s="79" t="s">
        <v>74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79" t="s">
        <v>75</v>
      </c>
      <c r="B22" s="87"/>
      <c r="C22" s="87"/>
      <c r="D22" s="87"/>
      <c r="E22" s="87"/>
      <c r="F22" s="87"/>
      <c r="G22" s="87"/>
      <c r="H22" s="87"/>
      <c r="I22" s="87">
        <v>6</v>
      </c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>
        <v>6.3</v>
      </c>
      <c r="V22" s="87"/>
      <c r="W22" s="87"/>
      <c r="X22" s="87">
        <v>1.5</v>
      </c>
      <c r="Y22" s="87"/>
      <c r="Z22" s="87"/>
      <c r="AA22" s="87"/>
      <c r="AB22" s="87"/>
      <c r="AC22" s="87">
        <v>3.4</v>
      </c>
      <c r="AD22" s="87"/>
      <c r="AE22" s="87">
        <v>4.0999999999999996</v>
      </c>
      <c r="AF22" s="87"/>
      <c r="AG22" s="103">
        <f t="shared" si="0"/>
        <v>21.299999999999997</v>
      </c>
      <c r="AH22" s="48"/>
      <c r="AI22" s="48"/>
    </row>
    <row r="23" spans="1:35" s="44" customFormat="1" ht="18.75" customHeight="1" x14ac:dyDescent="0.35">
      <c r="A23" s="79" t="s">
        <v>77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103">
        <f t="shared" si="0"/>
        <v>0</v>
      </c>
      <c r="AH23" s="48"/>
      <c r="AI23" s="48"/>
    </row>
    <row r="24" spans="1:35" s="44" customFormat="1" ht="18.75" customHeight="1" x14ac:dyDescent="0.35">
      <c r="A24" s="79" t="s">
        <v>78</v>
      </c>
      <c r="B24" s="87">
        <v>3</v>
      </c>
      <c r="C24" s="87">
        <v>4</v>
      </c>
      <c r="D24" s="87">
        <v>3</v>
      </c>
      <c r="E24" s="87">
        <v>2</v>
      </c>
      <c r="F24" s="87">
        <v>4</v>
      </c>
      <c r="G24" s="87">
        <v>1</v>
      </c>
      <c r="H24" s="87">
        <v>2</v>
      </c>
      <c r="I24" s="87">
        <v>1</v>
      </c>
      <c r="J24" s="87">
        <v>3</v>
      </c>
      <c r="K24" s="87">
        <v>4</v>
      </c>
      <c r="L24" s="87">
        <v>3</v>
      </c>
      <c r="M24" s="87">
        <v>2</v>
      </c>
      <c r="N24" s="87">
        <v>1</v>
      </c>
      <c r="O24" s="87">
        <v>5</v>
      </c>
      <c r="P24" s="87">
        <v>3</v>
      </c>
      <c r="Q24" s="87">
        <v>2</v>
      </c>
      <c r="R24" s="87">
        <v>4</v>
      </c>
      <c r="S24" s="87">
        <v>2</v>
      </c>
      <c r="T24" s="87">
        <v>3</v>
      </c>
      <c r="U24" s="87">
        <v>4</v>
      </c>
      <c r="V24" s="87">
        <v>3</v>
      </c>
      <c r="W24" s="87">
        <v>4</v>
      </c>
      <c r="X24" s="87">
        <v>3</v>
      </c>
      <c r="Y24" s="87">
        <v>2</v>
      </c>
      <c r="Z24" s="87">
        <v>3</v>
      </c>
      <c r="AA24" s="87">
        <v>2</v>
      </c>
      <c r="AB24" s="87">
        <v>3</v>
      </c>
      <c r="AC24" s="87">
        <v>2</v>
      </c>
      <c r="AD24" s="87">
        <v>3</v>
      </c>
      <c r="AE24" s="87">
        <v>2</v>
      </c>
      <c r="AF24" s="87">
        <v>2</v>
      </c>
      <c r="AG24" s="103">
        <f t="shared" si="0"/>
        <v>85</v>
      </c>
      <c r="AH24" s="48"/>
      <c r="AI24" s="48"/>
    </row>
    <row r="25" spans="1:35" s="44" customFormat="1" ht="18.75" customHeight="1" x14ac:dyDescent="0.35">
      <c r="A25" s="79" t="s">
        <v>79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79" t="s">
        <v>154</v>
      </c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103">
        <f t="shared" si="0"/>
        <v>0</v>
      </c>
      <c r="AH26" s="48"/>
      <c r="AI26" s="48"/>
    </row>
    <row r="27" spans="1:35" s="44" customFormat="1" ht="18.75" customHeight="1" x14ac:dyDescent="0.35">
      <c r="A27" s="79" t="s">
        <v>80</v>
      </c>
      <c r="B27" s="88"/>
      <c r="C27" s="88">
        <v>1.4</v>
      </c>
      <c r="D27" s="88"/>
      <c r="E27" s="88"/>
      <c r="F27" s="88"/>
      <c r="G27" s="88"/>
      <c r="H27" s="88">
        <v>3.1</v>
      </c>
      <c r="I27" s="88"/>
      <c r="J27" s="88"/>
      <c r="K27" s="88"/>
      <c r="L27" s="88"/>
      <c r="M27" s="88">
        <v>2.9</v>
      </c>
      <c r="N27" s="88"/>
      <c r="O27" s="88"/>
      <c r="P27" s="88"/>
      <c r="Q27" s="88"/>
      <c r="R27" s="88"/>
      <c r="S27" s="88">
        <v>1.7</v>
      </c>
      <c r="T27" s="88"/>
      <c r="U27" s="88"/>
      <c r="V27" s="88"/>
      <c r="W27" s="88">
        <v>2.2000000000000002</v>
      </c>
      <c r="X27" s="88"/>
      <c r="Y27" s="88"/>
      <c r="Z27" s="88"/>
      <c r="AA27" s="88"/>
      <c r="AB27" s="88"/>
      <c r="AC27" s="88">
        <v>3.9</v>
      </c>
      <c r="AD27" s="88"/>
      <c r="AE27" s="88"/>
      <c r="AF27" s="88"/>
      <c r="AG27" s="103">
        <f t="shared" si="0"/>
        <v>15.200000000000001</v>
      </c>
      <c r="AH27" s="48"/>
      <c r="AI27" s="48"/>
    </row>
    <row r="28" spans="1:35" s="44" customFormat="1" ht="18.75" customHeight="1" x14ac:dyDescent="0.35">
      <c r="A28" s="79" t="s">
        <v>76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103">
        <f t="shared" si="0"/>
        <v>0</v>
      </c>
      <c r="AH28" s="48"/>
      <c r="AI28" s="48"/>
    </row>
    <row r="29" spans="1:35" s="44" customFormat="1" ht="18.75" customHeight="1" x14ac:dyDescent="0.35">
      <c r="A29" s="79" t="s">
        <v>81</v>
      </c>
      <c r="B29" s="88">
        <f>2.1+3.1</f>
        <v>5.2</v>
      </c>
      <c r="C29" s="88">
        <v>1.5</v>
      </c>
      <c r="D29" s="88"/>
      <c r="E29" s="88">
        <f>2.5+2</f>
        <v>4.5</v>
      </c>
      <c r="F29" s="88">
        <f>0.9+1</f>
        <v>1.9</v>
      </c>
      <c r="G29" s="88">
        <f>0.9+2.5</f>
        <v>3.4</v>
      </c>
      <c r="H29" s="88">
        <f>2.1+0.9</f>
        <v>3</v>
      </c>
      <c r="I29" s="88"/>
      <c r="J29" s="88"/>
      <c r="K29" s="88">
        <f>0.9+2.5+1.5</f>
        <v>4.9000000000000004</v>
      </c>
      <c r="L29" s="88"/>
      <c r="M29" s="88">
        <f>0.9+1.5</f>
        <v>2.4</v>
      </c>
      <c r="N29" s="88"/>
      <c r="O29" s="88">
        <v>3.1</v>
      </c>
      <c r="P29" s="88"/>
      <c r="Q29" s="88">
        <v>2.2999999999999998</v>
      </c>
      <c r="R29" s="88"/>
      <c r="S29" s="88">
        <v>1.8</v>
      </c>
      <c r="T29" s="88"/>
      <c r="U29" s="88">
        <f>2.1+0.9</f>
        <v>3</v>
      </c>
      <c r="V29" s="88">
        <f>2.6+2</f>
        <v>4.5999999999999996</v>
      </c>
      <c r="W29" s="88">
        <f>1.9+2</f>
        <v>3.9</v>
      </c>
      <c r="X29" s="88">
        <f>2.3+1.7</f>
        <v>4</v>
      </c>
      <c r="Y29" s="88">
        <v>2.8</v>
      </c>
      <c r="Z29" s="88">
        <f>3+1.2</f>
        <v>4.2</v>
      </c>
      <c r="AA29" s="88">
        <f>2.7+0.9</f>
        <v>3.6</v>
      </c>
      <c r="AB29" s="88">
        <f>1.9+0.7</f>
        <v>2.5999999999999996</v>
      </c>
      <c r="AC29" s="88">
        <f>2.4+1.4</f>
        <v>3.8</v>
      </c>
      <c r="AD29" s="88">
        <f>1.7+0.9</f>
        <v>2.6</v>
      </c>
      <c r="AE29" s="88">
        <f>2+1.7</f>
        <v>3.7</v>
      </c>
      <c r="AF29" s="88">
        <f>1.8+1.6</f>
        <v>3.4000000000000004</v>
      </c>
      <c r="AG29" s="103">
        <f t="shared" si="0"/>
        <v>76.2</v>
      </c>
      <c r="AH29" s="48"/>
      <c r="AI29" s="48"/>
    </row>
    <row r="30" spans="1:35" s="44" customFormat="1" ht="18.75" customHeight="1" x14ac:dyDescent="0.35">
      <c r="A30" s="79" t="s">
        <v>86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79" t="s">
        <v>82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103">
        <f t="shared" si="0"/>
        <v>0</v>
      </c>
      <c r="AH31" s="48"/>
      <c r="AI31" s="48"/>
    </row>
    <row r="32" spans="1:35" s="44" customFormat="1" ht="18.75" customHeight="1" x14ac:dyDescent="0.35">
      <c r="A32" s="79" t="s">
        <v>178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104" t="s">
        <v>155</v>
      </c>
      <c r="B33" s="87">
        <f>SUM(B3:B32)</f>
        <v>10.4</v>
      </c>
      <c r="C33" s="87">
        <f t="shared" ref="C33:AF33" si="1">SUM(C3:C32)</f>
        <v>17.200000000000003</v>
      </c>
      <c r="D33" s="87">
        <f t="shared" si="1"/>
        <v>11.3</v>
      </c>
      <c r="E33" s="87">
        <f t="shared" si="1"/>
        <v>23.6</v>
      </c>
      <c r="F33" s="87">
        <f t="shared" si="1"/>
        <v>14.000000000000002</v>
      </c>
      <c r="G33" s="87">
        <f t="shared" si="1"/>
        <v>18.399999999999999</v>
      </c>
      <c r="H33" s="87">
        <f t="shared" si="1"/>
        <v>20.400000000000002</v>
      </c>
      <c r="I33" s="87">
        <f t="shared" si="1"/>
        <v>15.7</v>
      </c>
      <c r="J33" s="87">
        <f t="shared" si="1"/>
        <v>11.6</v>
      </c>
      <c r="K33" s="87">
        <f t="shared" si="1"/>
        <v>17.8</v>
      </c>
      <c r="L33" s="87">
        <f t="shared" si="1"/>
        <v>17.3</v>
      </c>
      <c r="M33" s="87">
        <f t="shared" si="1"/>
        <v>24.499999999999996</v>
      </c>
      <c r="N33" s="87">
        <f t="shared" si="1"/>
        <v>18.8</v>
      </c>
      <c r="O33" s="87">
        <f t="shared" si="1"/>
        <v>24.8</v>
      </c>
      <c r="P33" s="87">
        <f t="shared" si="1"/>
        <v>13.6</v>
      </c>
      <c r="Q33" s="87">
        <f t="shared" si="1"/>
        <v>17.3</v>
      </c>
      <c r="R33" s="87">
        <f t="shared" si="1"/>
        <v>12.899999999999999</v>
      </c>
      <c r="S33" s="87">
        <f t="shared" si="1"/>
        <v>17.100000000000001</v>
      </c>
      <c r="T33" s="87">
        <f t="shared" si="1"/>
        <v>17</v>
      </c>
      <c r="U33" s="87">
        <f t="shared" si="1"/>
        <v>27.5</v>
      </c>
      <c r="V33" s="87">
        <f t="shared" si="1"/>
        <v>19.600000000000001</v>
      </c>
      <c r="W33" s="87">
        <f t="shared" si="1"/>
        <v>20.9</v>
      </c>
      <c r="X33" s="87">
        <f t="shared" si="1"/>
        <v>23.8</v>
      </c>
      <c r="Y33" s="87">
        <f t="shared" si="1"/>
        <v>14.100000000000001</v>
      </c>
      <c r="Z33" s="87">
        <f t="shared" si="1"/>
        <v>16.2</v>
      </c>
      <c r="AA33" s="87">
        <f t="shared" si="1"/>
        <v>17.900000000000002</v>
      </c>
      <c r="AB33" s="87">
        <f t="shared" si="1"/>
        <v>20.6</v>
      </c>
      <c r="AC33" s="87">
        <f t="shared" si="1"/>
        <v>27.099999999999998</v>
      </c>
      <c r="AD33" s="87">
        <f t="shared" si="1"/>
        <v>22.900000000000002</v>
      </c>
      <c r="AE33" s="87">
        <f t="shared" si="1"/>
        <v>30.400000000000002</v>
      </c>
      <c r="AF33" s="87">
        <f t="shared" si="1"/>
        <v>16.600000000000001</v>
      </c>
      <c r="AG33" s="105">
        <f>SUM(B33:AF33)</f>
        <v>581.30000000000007</v>
      </c>
      <c r="AH33" s="48"/>
      <c r="AI33" s="48"/>
    </row>
    <row r="34" spans="1:35" s="44" customFormat="1" ht="18.75" customHeight="1" x14ac:dyDescent="0.35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24">
        <f>SUM(AG3:AG32)</f>
        <v>581.29999999999995</v>
      </c>
      <c r="AH34" s="48"/>
      <c r="AI34" s="48"/>
    </row>
  </sheetData>
  <mergeCells count="1">
    <mergeCell ref="A1:AG1"/>
  </mergeCells>
  <conditionalFormatting sqref="AG33">
    <cfRule type="cellIs" dxfId="71" priority="2" operator="equal">
      <formula>$AG$34</formula>
    </cfRule>
  </conditionalFormatting>
  <conditionalFormatting sqref="AG34">
    <cfRule type="cellIs" dxfId="70" priority="1" operator="equal">
      <formula>$AG$33</formula>
    </cfRule>
  </conditionalFormatting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46.85546875" customWidth="1"/>
    <col min="2" max="32" width="7" customWidth="1"/>
    <col min="33" max="33" width="10.5703125" customWidth="1"/>
  </cols>
  <sheetData>
    <row r="1" spans="1:35" s="44" customFormat="1" ht="21" x14ac:dyDescent="0.35">
      <c r="A1" s="217" t="s">
        <v>87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107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42"/>
      <c r="AI2" s="42"/>
    </row>
    <row r="3" spans="1:35" s="44" customFormat="1" ht="47.25" x14ac:dyDescent="0.35">
      <c r="A3" s="78" t="s">
        <v>94</v>
      </c>
      <c r="B3" s="85">
        <v>1.9</v>
      </c>
      <c r="C3" s="85">
        <v>2.5</v>
      </c>
      <c r="D3" s="85">
        <v>1.9</v>
      </c>
      <c r="E3" s="85">
        <v>2.1</v>
      </c>
      <c r="F3" s="85">
        <v>1.3</v>
      </c>
      <c r="G3" s="85"/>
      <c r="H3" s="85"/>
      <c r="I3" s="86">
        <v>2.7</v>
      </c>
      <c r="J3" s="85">
        <v>3.5</v>
      </c>
      <c r="K3" s="86">
        <v>3.4</v>
      </c>
      <c r="L3" s="85">
        <v>1.2</v>
      </c>
      <c r="M3" s="86">
        <v>1.2</v>
      </c>
      <c r="N3" s="85"/>
      <c r="O3" s="85"/>
      <c r="P3" s="86"/>
      <c r="Q3" s="85">
        <v>1.1000000000000001</v>
      </c>
      <c r="R3" s="85">
        <v>3.3</v>
      </c>
      <c r="S3" s="86">
        <v>3.4</v>
      </c>
      <c r="T3" s="86">
        <v>3.2</v>
      </c>
      <c r="U3" s="86"/>
      <c r="V3" s="86"/>
      <c r="W3" s="85"/>
      <c r="X3" s="85">
        <v>3.6</v>
      </c>
      <c r="Y3" s="85">
        <v>3.2</v>
      </c>
      <c r="Z3" s="85">
        <v>2.2999999999999998</v>
      </c>
      <c r="AA3" s="85">
        <v>1.9</v>
      </c>
      <c r="AB3" s="85"/>
      <c r="AC3" s="85"/>
      <c r="AD3" s="85"/>
      <c r="AE3" s="85">
        <v>1.9</v>
      </c>
      <c r="AF3" s="85"/>
      <c r="AG3" s="103">
        <f>SUM(B3:AF3)</f>
        <v>45.6</v>
      </c>
      <c r="AH3" s="47"/>
      <c r="AI3" s="48"/>
    </row>
    <row r="4" spans="1:35" s="44" customFormat="1" ht="21" x14ac:dyDescent="0.35">
      <c r="A4" s="79" t="s">
        <v>193</v>
      </c>
      <c r="B4" s="85">
        <v>1.9</v>
      </c>
      <c r="C4" s="85">
        <v>2.5</v>
      </c>
      <c r="D4" s="85">
        <v>1.9</v>
      </c>
      <c r="E4" s="85">
        <v>2.1</v>
      </c>
      <c r="F4" s="85">
        <v>1.3</v>
      </c>
      <c r="G4" s="85">
        <v>1.1000000000000001</v>
      </c>
      <c r="H4" s="85"/>
      <c r="I4" s="86">
        <v>2.7</v>
      </c>
      <c r="J4" s="85">
        <v>3.5</v>
      </c>
      <c r="K4" s="86">
        <v>3.4</v>
      </c>
      <c r="L4" s="85">
        <v>1.2</v>
      </c>
      <c r="M4" s="86">
        <v>1.2</v>
      </c>
      <c r="N4" s="85">
        <v>1.1000000000000001</v>
      </c>
      <c r="O4" s="85"/>
      <c r="P4" s="86"/>
      <c r="Q4" s="85">
        <v>1.1000000000000001</v>
      </c>
      <c r="R4" s="85">
        <v>3.3</v>
      </c>
      <c r="S4" s="86">
        <v>3.4</v>
      </c>
      <c r="T4" s="86">
        <v>3.2</v>
      </c>
      <c r="U4" s="86">
        <v>3.1</v>
      </c>
      <c r="V4" s="86"/>
      <c r="W4" s="85"/>
      <c r="X4" s="85">
        <v>3.6</v>
      </c>
      <c r="Y4" s="85">
        <v>3.2</v>
      </c>
      <c r="Z4" s="85">
        <v>2.2999999999999998</v>
      </c>
      <c r="AA4" s="85">
        <v>1.9</v>
      </c>
      <c r="AB4" s="85">
        <v>1.7</v>
      </c>
      <c r="AC4" s="85"/>
      <c r="AD4" s="85"/>
      <c r="AE4" s="85">
        <v>1.9</v>
      </c>
      <c r="AF4" s="87"/>
      <c r="AG4" s="103">
        <f t="shared" ref="AG4:AG32" si="0">SUM(B4:AF4)</f>
        <v>52.6</v>
      </c>
      <c r="AH4" s="47"/>
      <c r="AI4" s="48"/>
    </row>
    <row r="5" spans="1:35" s="44" customFormat="1" ht="18.75" customHeight="1" x14ac:dyDescent="0.35">
      <c r="A5" s="79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79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79" t="s">
        <v>64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79" t="s">
        <v>65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79" t="s">
        <v>66</v>
      </c>
      <c r="B9" s="88">
        <v>1.8</v>
      </c>
      <c r="C9" s="88">
        <v>2</v>
      </c>
      <c r="D9" s="88">
        <v>0.5</v>
      </c>
      <c r="E9" s="88">
        <v>1.1000000000000001</v>
      </c>
      <c r="F9" s="88">
        <v>0.5</v>
      </c>
      <c r="G9" s="88">
        <v>0.8</v>
      </c>
      <c r="H9" s="88">
        <v>1.6</v>
      </c>
      <c r="I9" s="88">
        <v>1.9</v>
      </c>
      <c r="J9" s="88">
        <v>0.3</v>
      </c>
      <c r="K9" s="88">
        <v>0.8</v>
      </c>
      <c r="L9" s="88">
        <v>1.3</v>
      </c>
      <c r="M9" s="88">
        <v>2.1</v>
      </c>
      <c r="N9" s="88">
        <v>2.9</v>
      </c>
      <c r="O9" s="88">
        <v>0.4</v>
      </c>
      <c r="P9" s="88">
        <v>0.9</v>
      </c>
      <c r="Q9" s="88">
        <v>1.7</v>
      </c>
      <c r="R9" s="88">
        <v>0.3</v>
      </c>
      <c r="S9" s="88">
        <v>0.9</v>
      </c>
      <c r="T9" s="88">
        <v>1.7</v>
      </c>
      <c r="U9" s="88">
        <v>1</v>
      </c>
      <c r="V9" s="88">
        <v>1.1000000000000001</v>
      </c>
      <c r="W9" s="88">
        <v>1.7</v>
      </c>
      <c r="X9" s="88">
        <v>1</v>
      </c>
      <c r="Y9" s="88">
        <v>1.5</v>
      </c>
      <c r="Z9" s="88">
        <v>0.4</v>
      </c>
      <c r="AA9" s="88">
        <v>0.9</v>
      </c>
      <c r="AB9" s="88">
        <v>1.5</v>
      </c>
      <c r="AC9" s="88">
        <v>1.7</v>
      </c>
      <c r="AD9" s="88">
        <v>0.7</v>
      </c>
      <c r="AE9" s="88">
        <v>1.9</v>
      </c>
      <c r="AF9" s="88"/>
      <c r="AG9" s="103">
        <f t="shared" si="0"/>
        <v>36.9</v>
      </c>
      <c r="AH9" s="48"/>
      <c r="AI9" s="48"/>
    </row>
    <row r="10" spans="1:35" s="44" customFormat="1" ht="18.75" customHeight="1" x14ac:dyDescent="0.35">
      <c r="A10" s="79" t="s">
        <v>67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103">
        <f t="shared" si="0"/>
        <v>0</v>
      </c>
      <c r="AH10" s="48"/>
      <c r="AI10" s="48"/>
    </row>
    <row r="11" spans="1:35" s="44" customFormat="1" ht="18.75" customHeight="1" x14ac:dyDescent="0.35">
      <c r="A11" s="79" t="s">
        <v>152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103">
        <f t="shared" si="0"/>
        <v>0</v>
      </c>
      <c r="AH11" s="48"/>
      <c r="AI11" s="48"/>
    </row>
    <row r="12" spans="1:35" s="44" customFormat="1" ht="21" x14ac:dyDescent="0.35">
      <c r="A12" s="79" t="s">
        <v>91</v>
      </c>
      <c r="B12" s="87">
        <v>0.1</v>
      </c>
      <c r="C12" s="87">
        <v>2</v>
      </c>
      <c r="D12" s="87">
        <v>0.9</v>
      </c>
      <c r="E12" s="87">
        <v>0.3</v>
      </c>
      <c r="F12" s="87">
        <v>0.4</v>
      </c>
      <c r="G12" s="87">
        <v>0.3</v>
      </c>
      <c r="H12" s="87">
        <v>0.5</v>
      </c>
      <c r="I12" s="87">
        <v>0.2</v>
      </c>
      <c r="J12" s="87">
        <v>0.7</v>
      </c>
      <c r="K12" s="87">
        <v>0.8</v>
      </c>
      <c r="L12" s="87">
        <v>1</v>
      </c>
      <c r="M12" s="87">
        <v>1.9</v>
      </c>
      <c r="N12" s="87">
        <v>0.2</v>
      </c>
      <c r="O12" s="87">
        <v>3.1</v>
      </c>
      <c r="P12" s="87">
        <v>2.7</v>
      </c>
      <c r="Q12" s="87">
        <v>2.9</v>
      </c>
      <c r="R12" s="87">
        <v>2.2000000000000002</v>
      </c>
      <c r="S12" s="87">
        <v>2.1</v>
      </c>
      <c r="T12" s="87">
        <v>3.1</v>
      </c>
      <c r="U12" s="87">
        <v>2.1</v>
      </c>
      <c r="V12" s="87">
        <v>2</v>
      </c>
      <c r="W12" s="87">
        <v>2</v>
      </c>
      <c r="X12" s="87">
        <v>2.1</v>
      </c>
      <c r="Y12" s="87">
        <v>0.9</v>
      </c>
      <c r="Z12" s="87">
        <v>3.1</v>
      </c>
      <c r="AA12" s="87">
        <v>2.5</v>
      </c>
      <c r="AB12" s="87">
        <v>3.7</v>
      </c>
      <c r="AC12" s="87">
        <v>2.8</v>
      </c>
      <c r="AD12" s="87">
        <v>3.1</v>
      </c>
      <c r="AE12" s="87">
        <v>3</v>
      </c>
      <c r="AF12" s="87"/>
      <c r="AG12" s="103">
        <f t="shared" si="0"/>
        <v>52.7</v>
      </c>
    </row>
    <row r="13" spans="1:35" s="44" customFormat="1" ht="21" x14ac:dyDescent="0.35">
      <c r="A13" s="79" t="s">
        <v>69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79" t="s">
        <v>71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8"/>
      <c r="Z14" s="88"/>
      <c r="AA14" s="88"/>
      <c r="AB14" s="88"/>
      <c r="AC14" s="88"/>
      <c r="AD14" s="88"/>
      <c r="AE14" s="88"/>
      <c r="AF14" s="88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79" t="s">
        <v>72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79" t="s">
        <v>85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103">
        <f t="shared" si="0"/>
        <v>0</v>
      </c>
      <c r="AH16" s="48"/>
      <c r="AI16" s="48"/>
    </row>
    <row r="17" spans="1:35" s="44" customFormat="1" ht="18.75" customHeight="1" x14ac:dyDescent="0.35">
      <c r="A17" s="79" t="s">
        <v>194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79" t="s">
        <v>73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79" t="s">
        <v>92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79" t="s">
        <v>89</v>
      </c>
      <c r="B20" s="87"/>
      <c r="C20" s="87">
        <v>1.5</v>
      </c>
      <c r="D20" s="87">
        <v>2.2999999999999998</v>
      </c>
      <c r="E20" s="87">
        <v>2.4</v>
      </c>
      <c r="F20" s="87">
        <v>3</v>
      </c>
      <c r="G20" s="87">
        <v>2.1</v>
      </c>
      <c r="H20" s="87">
        <v>2.8</v>
      </c>
      <c r="I20" s="87"/>
      <c r="J20" s="87">
        <v>4.9000000000000004</v>
      </c>
      <c r="K20" s="87">
        <v>3.6</v>
      </c>
      <c r="L20" s="87">
        <v>3.1</v>
      </c>
      <c r="M20" s="87">
        <v>3.7</v>
      </c>
      <c r="N20" s="87">
        <v>3</v>
      </c>
      <c r="O20" s="87">
        <v>2.9</v>
      </c>
      <c r="P20" s="87"/>
      <c r="Q20" s="87">
        <v>3.2</v>
      </c>
      <c r="R20" s="87">
        <v>3.6</v>
      </c>
      <c r="S20" s="87">
        <v>2.6</v>
      </c>
      <c r="T20" s="87">
        <v>3</v>
      </c>
      <c r="U20" s="87">
        <v>1.6</v>
      </c>
      <c r="V20" s="87">
        <v>2.7</v>
      </c>
      <c r="W20" s="87"/>
      <c r="X20" s="87">
        <v>1.5</v>
      </c>
      <c r="Y20" s="87">
        <v>3.4</v>
      </c>
      <c r="Z20" s="87">
        <v>2</v>
      </c>
      <c r="AA20" s="87">
        <v>2.9</v>
      </c>
      <c r="AB20" s="87">
        <v>1.6</v>
      </c>
      <c r="AC20" s="87">
        <v>3</v>
      </c>
      <c r="AD20" s="87"/>
      <c r="AE20" s="87">
        <v>2.4</v>
      </c>
      <c r="AF20" s="87"/>
      <c r="AG20" s="103">
        <f t="shared" si="0"/>
        <v>68.800000000000011</v>
      </c>
      <c r="AH20" s="48"/>
      <c r="AI20" s="48"/>
    </row>
    <row r="21" spans="1:35" s="44" customFormat="1" ht="18.75" customHeight="1" x14ac:dyDescent="0.35">
      <c r="A21" s="79" t="s">
        <v>74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79" t="s">
        <v>75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79" t="s">
        <v>77</v>
      </c>
      <c r="B23" s="87"/>
      <c r="C23" s="87">
        <v>1</v>
      </c>
      <c r="D23" s="87"/>
      <c r="E23" s="87"/>
      <c r="F23" s="87"/>
      <c r="G23" s="87"/>
      <c r="H23" s="87"/>
      <c r="I23" s="87">
        <v>1.9</v>
      </c>
      <c r="J23" s="87">
        <v>0.7</v>
      </c>
      <c r="K23" s="87"/>
      <c r="L23" s="87">
        <v>1</v>
      </c>
      <c r="M23" s="87"/>
      <c r="N23" s="87"/>
      <c r="O23" s="87"/>
      <c r="P23" s="87"/>
      <c r="Q23" s="87"/>
      <c r="R23" s="87"/>
      <c r="S23" s="87">
        <v>0.5</v>
      </c>
      <c r="T23" s="87"/>
      <c r="U23" s="87"/>
      <c r="V23" s="87"/>
      <c r="W23" s="87"/>
      <c r="X23" s="87">
        <v>0.8</v>
      </c>
      <c r="Y23" s="87"/>
      <c r="Z23" s="87"/>
      <c r="AA23" s="87">
        <v>1.1000000000000001</v>
      </c>
      <c r="AB23" s="87"/>
      <c r="AC23" s="87"/>
      <c r="AD23" s="87"/>
      <c r="AE23" s="87"/>
      <c r="AF23" s="87"/>
      <c r="AG23" s="103">
        <f t="shared" si="0"/>
        <v>7</v>
      </c>
      <c r="AH23" s="48"/>
      <c r="AI23" s="48"/>
    </row>
    <row r="24" spans="1:35" s="44" customFormat="1" ht="18.75" customHeight="1" x14ac:dyDescent="0.35">
      <c r="A24" s="79" t="s">
        <v>78</v>
      </c>
      <c r="B24" s="87">
        <v>1</v>
      </c>
      <c r="C24" s="87">
        <v>2</v>
      </c>
      <c r="D24" s="87">
        <v>1</v>
      </c>
      <c r="E24" s="87">
        <v>2</v>
      </c>
      <c r="F24" s="87">
        <v>3</v>
      </c>
      <c r="G24" s="87">
        <v>2</v>
      </c>
      <c r="H24" s="87">
        <v>1</v>
      </c>
      <c r="I24" s="87">
        <v>2</v>
      </c>
      <c r="J24" s="87">
        <v>3</v>
      </c>
      <c r="K24" s="87">
        <v>2</v>
      </c>
      <c r="L24" s="87">
        <v>4</v>
      </c>
      <c r="M24" s="87">
        <v>3</v>
      </c>
      <c r="N24" s="87">
        <v>2</v>
      </c>
      <c r="O24" s="87">
        <v>3</v>
      </c>
      <c r="P24" s="87">
        <v>3</v>
      </c>
      <c r="Q24" s="87">
        <v>2</v>
      </c>
      <c r="R24" s="87">
        <v>3</v>
      </c>
      <c r="S24" s="87">
        <v>2</v>
      </c>
      <c r="T24" s="87">
        <v>2</v>
      </c>
      <c r="U24" s="87">
        <v>4</v>
      </c>
      <c r="V24" s="87">
        <v>3</v>
      </c>
      <c r="W24" s="87">
        <v>2</v>
      </c>
      <c r="X24" s="87">
        <v>3</v>
      </c>
      <c r="Y24" s="87">
        <v>4</v>
      </c>
      <c r="Z24" s="87">
        <v>3</v>
      </c>
      <c r="AA24" s="87">
        <v>5</v>
      </c>
      <c r="AB24" s="87">
        <v>5</v>
      </c>
      <c r="AC24" s="87">
        <v>5</v>
      </c>
      <c r="AD24" s="87">
        <v>5</v>
      </c>
      <c r="AE24" s="87">
        <v>6</v>
      </c>
      <c r="AF24" s="87"/>
      <c r="AG24" s="103">
        <f t="shared" si="0"/>
        <v>88</v>
      </c>
      <c r="AH24" s="48"/>
      <c r="AI24" s="48"/>
    </row>
    <row r="25" spans="1:35" s="44" customFormat="1" ht="18.75" customHeight="1" x14ac:dyDescent="0.35">
      <c r="A25" s="79" t="s">
        <v>79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79" t="s">
        <v>154</v>
      </c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103">
        <f t="shared" si="0"/>
        <v>0</v>
      </c>
      <c r="AH26" s="48"/>
      <c r="AI26" s="48"/>
    </row>
    <row r="27" spans="1:35" s="44" customFormat="1" ht="18.75" customHeight="1" x14ac:dyDescent="0.35">
      <c r="A27" s="79" t="s">
        <v>80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103">
        <f t="shared" si="0"/>
        <v>0</v>
      </c>
      <c r="AH27" s="48"/>
      <c r="AI27" s="48"/>
    </row>
    <row r="28" spans="1:35" s="44" customFormat="1" ht="18.75" customHeight="1" x14ac:dyDescent="0.35">
      <c r="A28" s="79" t="s">
        <v>76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103">
        <f t="shared" si="0"/>
        <v>0</v>
      </c>
      <c r="AH28" s="48"/>
      <c r="AI28" s="48"/>
    </row>
    <row r="29" spans="1:35" s="44" customFormat="1" ht="18.75" customHeight="1" x14ac:dyDescent="0.35">
      <c r="A29" s="79" t="s">
        <v>81</v>
      </c>
      <c r="B29" s="88">
        <f>1.5+2.1</f>
        <v>3.6</v>
      </c>
      <c r="C29" s="88">
        <f>2.5+1</f>
        <v>3.5</v>
      </c>
      <c r="D29" s="88">
        <f>0.3+2</f>
        <v>2.2999999999999998</v>
      </c>
      <c r="E29" s="88">
        <f>1.5+2.5</f>
        <v>4</v>
      </c>
      <c r="F29" s="88">
        <f>2.5+3</f>
        <v>5.5</v>
      </c>
      <c r="G29" s="88">
        <f>1.5+2.1</f>
        <v>3.6</v>
      </c>
      <c r="H29" s="88">
        <f>2.1+1.6</f>
        <v>3.7</v>
      </c>
      <c r="I29" s="88">
        <f>2.1+3.1+0.9</f>
        <v>6.1000000000000005</v>
      </c>
      <c r="J29" s="88">
        <f>2.5+1.5</f>
        <v>4</v>
      </c>
      <c r="K29" s="88">
        <f>1.5+2</f>
        <v>3.5</v>
      </c>
      <c r="L29" s="88">
        <f>1.5+0.9</f>
        <v>2.4</v>
      </c>
      <c r="M29" s="88">
        <f>2.1+1.5</f>
        <v>3.6</v>
      </c>
      <c r="N29" s="88"/>
      <c r="O29" s="88"/>
      <c r="P29" s="88">
        <v>4.5</v>
      </c>
      <c r="Q29" s="88">
        <v>3.6</v>
      </c>
      <c r="R29" s="88">
        <v>4.5</v>
      </c>
      <c r="S29" s="88">
        <v>6.1</v>
      </c>
      <c r="T29" s="88">
        <v>2.8</v>
      </c>
      <c r="U29" s="88">
        <v>3.4</v>
      </c>
      <c r="V29" s="88">
        <v>4.4000000000000004</v>
      </c>
      <c r="W29" s="88">
        <v>4.9000000000000004</v>
      </c>
      <c r="X29" s="88">
        <v>5.0999999999999996</v>
      </c>
      <c r="Y29" s="88">
        <v>6.8</v>
      </c>
      <c r="Z29" s="88">
        <v>4.8</v>
      </c>
      <c r="AA29" s="88">
        <v>3.9</v>
      </c>
      <c r="AB29" s="88">
        <v>4.2</v>
      </c>
      <c r="AC29" s="88">
        <v>3.9</v>
      </c>
      <c r="AD29" s="88">
        <v>5.6</v>
      </c>
      <c r="AE29" s="88">
        <v>3.8</v>
      </c>
      <c r="AF29" s="88"/>
      <c r="AG29" s="103">
        <f t="shared" si="0"/>
        <v>118.10000000000001</v>
      </c>
      <c r="AH29" s="48"/>
      <c r="AI29" s="48"/>
    </row>
    <row r="30" spans="1:35" s="44" customFormat="1" ht="18.75" customHeight="1" x14ac:dyDescent="0.35">
      <c r="A30" s="79" t="s">
        <v>86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79" t="s">
        <v>82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103">
        <f t="shared" si="0"/>
        <v>0</v>
      </c>
      <c r="AH31" s="48"/>
      <c r="AI31" s="48"/>
    </row>
    <row r="32" spans="1:35" s="44" customFormat="1" ht="18.75" customHeight="1" x14ac:dyDescent="0.35">
      <c r="A32" s="79" t="s">
        <v>178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104" t="s">
        <v>155</v>
      </c>
      <c r="B33" s="87">
        <f>SUM(B3:B32)</f>
        <v>10.299999999999999</v>
      </c>
      <c r="C33" s="87">
        <f t="shared" ref="C33:AF33" si="1">SUM(C3:C32)</f>
        <v>17</v>
      </c>
      <c r="D33" s="87">
        <f t="shared" si="1"/>
        <v>10.8</v>
      </c>
      <c r="E33" s="87">
        <f t="shared" si="1"/>
        <v>14</v>
      </c>
      <c r="F33" s="87">
        <f t="shared" si="1"/>
        <v>15</v>
      </c>
      <c r="G33" s="87">
        <f t="shared" si="1"/>
        <v>9.9</v>
      </c>
      <c r="H33" s="87">
        <f t="shared" si="1"/>
        <v>9.6000000000000014</v>
      </c>
      <c r="I33" s="87">
        <f t="shared" si="1"/>
        <v>17.5</v>
      </c>
      <c r="J33" s="87">
        <f t="shared" si="1"/>
        <v>20.6</v>
      </c>
      <c r="K33" s="87">
        <f t="shared" si="1"/>
        <v>17.5</v>
      </c>
      <c r="L33" s="87">
        <f t="shared" si="1"/>
        <v>15.200000000000001</v>
      </c>
      <c r="M33" s="87">
        <f t="shared" si="1"/>
        <v>16.700000000000003</v>
      </c>
      <c r="N33" s="87">
        <f t="shared" si="1"/>
        <v>9.1999999999999993</v>
      </c>
      <c r="O33" s="87">
        <f t="shared" si="1"/>
        <v>9.4</v>
      </c>
      <c r="P33" s="87">
        <f t="shared" si="1"/>
        <v>11.1</v>
      </c>
      <c r="Q33" s="87">
        <f t="shared" si="1"/>
        <v>15.6</v>
      </c>
      <c r="R33" s="87">
        <f t="shared" si="1"/>
        <v>20.2</v>
      </c>
      <c r="S33" s="87">
        <f t="shared" si="1"/>
        <v>21</v>
      </c>
      <c r="T33" s="87">
        <f t="shared" si="1"/>
        <v>19</v>
      </c>
      <c r="U33" s="87">
        <f t="shared" si="1"/>
        <v>15.2</v>
      </c>
      <c r="V33" s="87">
        <f t="shared" si="1"/>
        <v>13.200000000000001</v>
      </c>
      <c r="W33" s="87">
        <f t="shared" si="1"/>
        <v>10.600000000000001</v>
      </c>
      <c r="X33" s="87">
        <f t="shared" si="1"/>
        <v>20.7</v>
      </c>
      <c r="Y33" s="87">
        <f t="shared" si="1"/>
        <v>23.000000000000004</v>
      </c>
      <c r="Z33" s="87">
        <f t="shared" si="1"/>
        <v>17.899999999999999</v>
      </c>
      <c r="AA33" s="87">
        <f t="shared" si="1"/>
        <v>20.099999999999998</v>
      </c>
      <c r="AB33" s="87">
        <f t="shared" si="1"/>
        <v>17.7</v>
      </c>
      <c r="AC33" s="87">
        <f t="shared" si="1"/>
        <v>16.399999999999999</v>
      </c>
      <c r="AD33" s="87">
        <f t="shared" si="1"/>
        <v>14.4</v>
      </c>
      <c r="AE33" s="87">
        <f t="shared" si="1"/>
        <v>20.900000000000002</v>
      </c>
      <c r="AF33" s="87">
        <f t="shared" si="1"/>
        <v>0</v>
      </c>
      <c r="AG33" s="105">
        <f>SUM(B33:AF33)</f>
        <v>469.69999999999982</v>
      </c>
      <c r="AH33" s="48"/>
      <c r="AI33" s="48"/>
    </row>
    <row r="34" spans="1:35" s="44" customFormat="1" ht="18.75" customHeight="1" x14ac:dyDescent="0.35">
      <c r="A34" s="91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  <c r="AF34" s="91"/>
      <c r="AG34" s="24">
        <f>SUM(AG3:AG32)</f>
        <v>469.70000000000005</v>
      </c>
      <c r="AH34" s="48"/>
      <c r="AI34" s="48"/>
    </row>
  </sheetData>
  <mergeCells count="1">
    <mergeCell ref="A1:AG1"/>
  </mergeCells>
  <conditionalFormatting sqref="AG33">
    <cfRule type="cellIs" dxfId="69" priority="2" operator="equal">
      <formula>$AG$34</formula>
    </cfRule>
  </conditionalFormatting>
  <conditionalFormatting sqref="AG34">
    <cfRule type="cellIs" dxfId="68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>
        <v>0.5</v>
      </c>
      <c r="C3" s="51">
        <v>1.3</v>
      </c>
      <c r="D3" s="51">
        <v>2.2999999999999998</v>
      </c>
      <c r="E3" s="51">
        <v>1.9</v>
      </c>
      <c r="F3" s="51"/>
      <c r="G3" s="51">
        <v>2.2999999999999998</v>
      </c>
      <c r="H3" s="51">
        <v>2.1</v>
      </c>
      <c r="I3" s="51">
        <v>1.4</v>
      </c>
      <c r="J3" s="51">
        <v>2.2000000000000002</v>
      </c>
      <c r="K3" s="51">
        <v>3.1</v>
      </c>
      <c r="L3" s="51">
        <v>1.6</v>
      </c>
      <c r="M3" s="51"/>
      <c r="N3" s="51">
        <v>0.5</v>
      </c>
      <c r="O3" s="51">
        <v>0.5</v>
      </c>
      <c r="P3" s="51">
        <v>0.4</v>
      </c>
      <c r="Q3" s="51">
        <v>2.2999999999999998</v>
      </c>
      <c r="R3" s="51">
        <v>0.5</v>
      </c>
      <c r="S3" s="51">
        <v>3.2</v>
      </c>
      <c r="T3" s="51"/>
      <c r="U3" s="51"/>
      <c r="V3" s="51">
        <v>2.9</v>
      </c>
      <c r="W3" s="51">
        <v>3.2</v>
      </c>
      <c r="X3" s="51">
        <v>1.3</v>
      </c>
      <c r="Y3" s="51">
        <v>1.1000000000000001</v>
      </c>
      <c r="Z3" s="51">
        <v>0.3</v>
      </c>
      <c r="AA3" s="51"/>
      <c r="AB3" s="51">
        <v>1</v>
      </c>
      <c r="AC3" s="51">
        <v>0.9</v>
      </c>
      <c r="AD3" s="51">
        <v>0.1</v>
      </c>
      <c r="AE3" s="51">
        <v>0.2</v>
      </c>
      <c r="AF3" s="51">
        <v>0.3</v>
      </c>
      <c r="AG3" s="46">
        <f t="shared" ref="AG3:AG32" si="0">SUM(B3:AF3)</f>
        <v>37.4</v>
      </c>
      <c r="AH3" s="47"/>
      <c r="AI3" s="48"/>
    </row>
    <row r="4" spans="1:35" s="44" customFormat="1" ht="18.75" customHeight="1" x14ac:dyDescent="0.35">
      <c r="A4" s="79" t="s">
        <v>193</v>
      </c>
      <c r="B4" s="49">
        <v>0.5</v>
      </c>
      <c r="C4" s="51">
        <v>1.3</v>
      </c>
      <c r="D4" s="51">
        <v>2.2999999999999998</v>
      </c>
      <c r="E4" s="51">
        <v>1.9</v>
      </c>
      <c r="F4" s="51"/>
      <c r="G4" s="51">
        <v>2.2999999999999998</v>
      </c>
      <c r="H4" s="51">
        <v>2.1</v>
      </c>
      <c r="I4" s="51">
        <v>1.4</v>
      </c>
      <c r="J4" s="51">
        <v>2.2000000000000002</v>
      </c>
      <c r="K4" s="51">
        <v>3.1</v>
      </c>
      <c r="L4" s="51">
        <v>1.6</v>
      </c>
      <c r="M4" s="51"/>
      <c r="N4" s="51">
        <v>0.5</v>
      </c>
      <c r="O4" s="51">
        <v>0.5</v>
      </c>
      <c r="P4" s="51">
        <v>0.4</v>
      </c>
      <c r="Q4" s="51">
        <v>2.2999999999999998</v>
      </c>
      <c r="R4" s="51">
        <v>0.5</v>
      </c>
      <c r="S4" s="51">
        <v>3.2</v>
      </c>
      <c r="T4" s="51"/>
      <c r="U4" s="51"/>
      <c r="V4" s="51">
        <v>2.9</v>
      </c>
      <c r="W4" s="51">
        <v>3.2</v>
      </c>
      <c r="X4" s="51">
        <v>1.3</v>
      </c>
      <c r="Y4" s="51">
        <v>1.1000000000000001</v>
      </c>
      <c r="Z4" s="51">
        <v>0.3</v>
      </c>
      <c r="AA4" s="51"/>
      <c r="AB4" s="51">
        <v>1</v>
      </c>
      <c r="AC4" s="51">
        <v>0.9</v>
      </c>
      <c r="AD4" s="51">
        <v>0.1</v>
      </c>
      <c r="AE4" s="51">
        <v>0.2</v>
      </c>
      <c r="AF4" s="51">
        <v>0.3</v>
      </c>
      <c r="AG4" s="46">
        <f t="shared" si="0"/>
        <v>37.4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>
        <v>0</v>
      </c>
      <c r="C8" s="51">
        <v>6.7</v>
      </c>
      <c r="D8" s="51">
        <v>0</v>
      </c>
      <c r="E8" s="51">
        <v>0</v>
      </c>
      <c r="F8" s="51">
        <v>0.1</v>
      </c>
      <c r="G8" s="51">
        <v>0.5</v>
      </c>
      <c r="H8" s="51" t="s">
        <v>203</v>
      </c>
      <c r="I8" s="51">
        <v>0.5</v>
      </c>
      <c r="J8" s="51">
        <v>0</v>
      </c>
      <c r="K8" s="51">
        <v>0</v>
      </c>
      <c r="L8" s="51">
        <v>0</v>
      </c>
      <c r="M8" s="51">
        <v>0</v>
      </c>
      <c r="N8" s="51">
        <v>0</v>
      </c>
      <c r="O8" s="51">
        <v>0</v>
      </c>
      <c r="P8" s="51">
        <v>2.4</v>
      </c>
      <c r="Q8" s="51">
        <v>2.5</v>
      </c>
      <c r="R8" s="51">
        <v>2.1</v>
      </c>
      <c r="S8" s="51">
        <v>4.3</v>
      </c>
      <c r="T8" s="51">
        <v>2.5</v>
      </c>
      <c r="U8" s="51">
        <v>0.1</v>
      </c>
      <c r="V8" s="51">
        <v>2.5</v>
      </c>
      <c r="W8" s="51">
        <v>0</v>
      </c>
      <c r="X8" s="51">
        <v>0.3</v>
      </c>
      <c r="Y8" s="51">
        <v>3.9</v>
      </c>
      <c r="Z8" s="51">
        <v>2.1</v>
      </c>
      <c r="AA8" s="51">
        <v>0.9</v>
      </c>
      <c r="AB8" s="51">
        <v>0.8</v>
      </c>
      <c r="AC8" s="51">
        <v>0.7</v>
      </c>
      <c r="AD8" s="51">
        <v>3.5</v>
      </c>
      <c r="AE8" s="51">
        <v>2.7</v>
      </c>
      <c r="AF8" s="51">
        <v>4.3</v>
      </c>
      <c r="AG8" s="46">
        <f t="shared" si="0"/>
        <v>43.4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>
        <v>1.9</v>
      </c>
      <c r="C13" s="55">
        <v>2.7</v>
      </c>
      <c r="D13" s="55">
        <v>1.6</v>
      </c>
      <c r="E13" s="55">
        <v>2.4</v>
      </c>
      <c r="F13" s="55">
        <v>1</v>
      </c>
      <c r="G13" s="55">
        <v>2.5</v>
      </c>
      <c r="H13" s="55">
        <v>3.2</v>
      </c>
      <c r="I13" s="55">
        <v>2.7</v>
      </c>
      <c r="J13" s="55">
        <v>3.5</v>
      </c>
      <c r="K13" s="55">
        <v>1.4</v>
      </c>
      <c r="L13" s="55">
        <v>1.7</v>
      </c>
      <c r="M13" s="55">
        <v>2.5</v>
      </c>
      <c r="N13" s="55">
        <v>1.9</v>
      </c>
      <c r="O13" s="55">
        <v>2</v>
      </c>
      <c r="P13" s="55">
        <v>1.4</v>
      </c>
      <c r="Q13" s="55">
        <v>2.2000000000000002</v>
      </c>
      <c r="R13" s="55">
        <v>1.1000000000000001</v>
      </c>
      <c r="S13" s="55">
        <v>0.9</v>
      </c>
      <c r="T13" s="55">
        <v>1.4</v>
      </c>
      <c r="U13" s="55">
        <v>0.5</v>
      </c>
      <c r="V13" s="55">
        <v>1.7</v>
      </c>
      <c r="W13" s="55">
        <v>0.8</v>
      </c>
      <c r="X13" s="55">
        <v>1.8</v>
      </c>
      <c r="Y13" s="55">
        <v>2.1</v>
      </c>
      <c r="Z13" s="55">
        <v>2.2000000000000002</v>
      </c>
      <c r="AA13" s="55">
        <v>2.4</v>
      </c>
      <c r="AB13" s="55">
        <v>2.7</v>
      </c>
      <c r="AC13" s="55">
        <v>2.6</v>
      </c>
      <c r="AD13" s="55">
        <v>1.8</v>
      </c>
      <c r="AE13" s="55">
        <v>1.9</v>
      </c>
      <c r="AF13" s="55"/>
      <c r="AG13" s="46">
        <f t="shared" si="0"/>
        <v>58.5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>
        <v>1.4</v>
      </c>
      <c r="F14" s="51"/>
      <c r="G14" s="51"/>
      <c r="H14" s="51">
        <v>2.8</v>
      </c>
      <c r="I14" s="51"/>
      <c r="J14" s="51"/>
      <c r="K14" s="51">
        <v>1.4</v>
      </c>
      <c r="L14" s="51"/>
      <c r="M14" s="51">
        <v>3.2</v>
      </c>
      <c r="N14" s="51"/>
      <c r="O14" s="51"/>
      <c r="P14" s="51">
        <v>1.5</v>
      </c>
      <c r="Q14" s="51"/>
      <c r="R14" s="51"/>
      <c r="S14" s="51">
        <v>2.9</v>
      </c>
      <c r="T14" s="51"/>
      <c r="U14" s="51">
        <v>1.1000000000000001</v>
      </c>
      <c r="V14" s="51"/>
      <c r="W14" s="51"/>
      <c r="X14" s="51">
        <v>1.7</v>
      </c>
      <c r="Y14" s="52"/>
      <c r="Z14" s="52"/>
      <c r="AA14" s="52">
        <v>1.4</v>
      </c>
      <c r="AB14" s="52"/>
      <c r="AC14" s="52">
        <v>2.8</v>
      </c>
      <c r="AD14" s="52"/>
      <c r="AE14" s="52">
        <v>3</v>
      </c>
      <c r="AF14" s="52"/>
      <c r="AG14" s="46">
        <f t="shared" si="0"/>
        <v>23.2</v>
      </c>
      <c r="AH14" s="48"/>
      <c r="AI14" s="48"/>
    </row>
    <row r="15" spans="1:35" s="44" customFormat="1" ht="18.75" customHeight="1" x14ac:dyDescent="0.35">
      <c r="A15" s="60" t="s">
        <v>72</v>
      </c>
      <c r="B15" s="49">
        <v>3.8</v>
      </c>
      <c r="C15" s="51">
        <v>4</v>
      </c>
      <c r="D15" s="51">
        <v>5.0999999999999996</v>
      </c>
      <c r="E15" s="51">
        <v>4.8</v>
      </c>
      <c r="F15" s="51">
        <v>3.5</v>
      </c>
      <c r="G15" s="51">
        <v>5.3</v>
      </c>
      <c r="H15" s="51">
        <v>7.1</v>
      </c>
      <c r="I15" s="51">
        <v>6.3</v>
      </c>
      <c r="J15" s="51">
        <v>6.3</v>
      </c>
      <c r="K15" s="51">
        <v>7.3</v>
      </c>
      <c r="L15" s="51">
        <v>5.3</v>
      </c>
      <c r="M15" s="51">
        <v>2.5</v>
      </c>
      <c r="N15" s="51">
        <v>5.5</v>
      </c>
      <c r="O15" s="51">
        <v>5.0999999999999996</v>
      </c>
      <c r="P15" s="51">
        <v>4.9000000000000004</v>
      </c>
      <c r="Q15" s="51">
        <v>5</v>
      </c>
      <c r="R15" s="51">
        <v>4.5</v>
      </c>
      <c r="S15" s="51">
        <v>5.3</v>
      </c>
      <c r="T15" s="51">
        <v>4.0999999999999996</v>
      </c>
      <c r="U15" s="51">
        <v>4.3</v>
      </c>
      <c r="V15" s="51">
        <v>5.2</v>
      </c>
      <c r="W15" s="51">
        <v>4.8</v>
      </c>
      <c r="X15" s="51">
        <v>3.5</v>
      </c>
      <c r="Y15" s="51">
        <v>4.4000000000000004</v>
      </c>
      <c r="Z15" s="51">
        <v>4.0999999999999996</v>
      </c>
      <c r="AA15" s="51">
        <v>3.3</v>
      </c>
      <c r="AB15" s="51">
        <v>0.5</v>
      </c>
      <c r="AC15" s="51">
        <v>0</v>
      </c>
      <c r="AD15" s="51">
        <v>1.2</v>
      </c>
      <c r="AE15" s="51">
        <v>2.2000000000000002</v>
      </c>
      <c r="AF15" s="51">
        <v>3.1</v>
      </c>
      <c r="AG15" s="46">
        <f t="shared" si="0"/>
        <v>132.29999999999995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49">
        <v>3</v>
      </c>
      <c r="C24" s="51">
        <v>5</v>
      </c>
      <c r="D24" s="51">
        <v>5</v>
      </c>
      <c r="E24" s="51">
        <v>3</v>
      </c>
      <c r="F24" s="51">
        <v>5</v>
      </c>
      <c r="G24" s="51">
        <v>3</v>
      </c>
      <c r="H24" s="51">
        <v>3</v>
      </c>
      <c r="I24" s="51">
        <v>5</v>
      </c>
      <c r="J24" s="51">
        <v>3</v>
      </c>
      <c r="K24" s="51">
        <v>5</v>
      </c>
      <c r="L24" s="51">
        <v>3</v>
      </c>
      <c r="M24" s="51">
        <v>5</v>
      </c>
      <c r="N24" s="51">
        <v>5</v>
      </c>
      <c r="O24" s="51">
        <v>5</v>
      </c>
      <c r="P24" s="51">
        <v>7</v>
      </c>
      <c r="Q24" s="51">
        <v>4</v>
      </c>
      <c r="R24" s="51">
        <v>5</v>
      </c>
      <c r="S24" s="51">
        <v>7</v>
      </c>
      <c r="T24" s="51">
        <v>6</v>
      </c>
      <c r="U24" s="51">
        <v>4</v>
      </c>
      <c r="V24" s="51">
        <v>4</v>
      </c>
      <c r="W24" s="51">
        <v>3</v>
      </c>
      <c r="X24" s="51">
        <v>6</v>
      </c>
      <c r="Y24" s="51">
        <v>5</v>
      </c>
      <c r="Z24" s="51">
        <v>6</v>
      </c>
      <c r="AA24" s="51">
        <v>6</v>
      </c>
      <c r="AB24" s="51">
        <v>6</v>
      </c>
      <c r="AC24" s="51">
        <v>5</v>
      </c>
      <c r="AD24" s="51">
        <v>5</v>
      </c>
      <c r="AE24" s="51">
        <v>6</v>
      </c>
      <c r="AF24" s="51">
        <v>5</v>
      </c>
      <c r="AG24" s="46">
        <f t="shared" si="0"/>
        <v>148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49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9.6999999999999993</v>
      </c>
      <c r="C33" s="51">
        <f t="shared" ref="C33:AF33" si="1">SUM(C3:C32)</f>
        <v>21</v>
      </c>
      <c r="D33" s="51">
        <f t="shared" si="1"/>
        <v>16.299999999999997</v>
      </c>
      <c r="E33" s="51">
        <f t="shared" si="1"/>
        <v>15.399999999999999</v>
      </c>
      <c r="F33" s="51">
        <f t="shared" si="1"/>
        <v>9.6</v>
      </c>
      <c r="G33" s="51">
        <f t="shared" si="1"/>
        <v>15.899999999999999</v>
      </c>
      <c r="H33" s="51">
        <f t="shared" si="1"/>
        <v>20.299999999999997</v>
      </c>
      <c r="I33" s="51">
        <f t="shared" si="1"/>
        <v>17.3</v>
      </c>
      <c r="J33" s="51">
        <f t="shared" si="1"/>
        <v>17.2</v>
      </c>
      <c r="K33" s="51">
        <f t="shared" si="1"/>
        <v>21.3</v>
      </c>
      <c r="L33" s="51">
        <f t="shared" si="1"/>
        <v>13.2</v>
      </c>
      <c r="M33" s="51">
        <f t="shared" si="1"/>
        <v>13.2</v>
      </c>
      <c r="N33" s="51">
        <f t="shared" si="1"/>
        <v>13.4</v>
      </c>
      <c r="O33" s="51">
        <f t="shared" si="1"/>
        <v>13.1</v>
      </c>
      <c r="P33" s="51">
        <f t="shared" si="1"/>
        <v>18</v>
      </c>
      <c r="Q33" s="51">
        <f t="shared" si="1"/>
        <v>18.3</v>
      </c>
      <c r="R33" s="51">
        <f t="shared" si="1"/>
        <v>13.7</v>
      </c>
      <c r="S33" s="51">
        <f t="shared" si="1"/>
        <v>26.8</v>
      </c>
      <c r="T33" s="51">
        <f t="shared" si="1"/>
        <v>14</v>
      </c>
      <c r="U33" s="51">
        <f t="shared" si="1"/>
        <v>10</v>
      </c>
      <c r="V33" s="51">
        <f t="shared" si="1"/>
        <v>19.2</v>
      </c>
      <c r="W33" s="51">
        <f t="shared" si="1"/>
        <v>15</v>
      </c>
      <c r="X33" s="51">
        <f t="shared" si="1"/>
        <v>15.9</v>
      </c>
      <c r="Y33" s="51">
        <f t="shared" si="1"/>
        <v>17.600000000000001</v>
      </c>
      <c r="Z33" s="51">
        <f t="shared" si="1"/>
        <v>15</v>
      </c>
      <c r="AA33" s="51">
        <f t="shared" si="1"/>
        <v>14</v>
      </c>
      <c r="AB33" s="51">
        <f t="shared" si="1"/>
        <v>12</v>
      </c>
      <c r="AC33" s="51">
        <f t="shared" si="1"/>
        <v>12.899999999999999</v>
      </c>
      <c r="AD33" s="51">
        <f t="shared" si="1"/>
        <v>11.7</v>
      </c>
      <c r="AE33" s="51">
        <f t="shared" si="1"/>
        <v>16.2</v>
      </c>
      <c r="AF33" s="51">
        <f t="shared" si="1"/>
        <v>13</v>
      </c>
      <c r="AG33" s="56">
        <f>SUM(B33:AF33)</f>
        <v>480.19999999999993</v>
      </c>
      <c r="AH33" s="57"/>
      <c r="AI33" s="57"/>
    </row>
    <row r="34" spans="1:35" s="2" customFormat="1" x14ac:dyDescent="0.25">
      <c r="AG34" s="24">
        <f>SUM(AG3:AG32)</f>
        <v>480.19999999999993</v>
      </c>
    </row>
    <row r="35" spans="1:35" s="2" customFormat="1" x14ac:dyDescent="0.25"/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horizontalDpi="0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>
        <v>2.1</v>
      </c>
      <c r="C3" s="49"/>
      <c r="D3" s="49">
        <v>0.7</v>
      </c>
      <c r="E3" s="49">
        <v>0.9</v>
      </c>
      <c r="F3" s="49">
        <v>0.5</v>
      </c>
      <c r="G3" s="49">
        <v>0.5</v>
      </c>
      <c r="H3" s="49">
        <v>0.7</v>
      </c>
      <c r="I3" s="50">
        <v>0.8</v>
      </c>
      <c r="J3" s="49"/>
      <c r="K3" s="50">
        <v>0.5</v>
      </c>
      <c r="L3" s="49">
        <v>0.3</v>
      </c>
      <c r="M3" s="50">
        <v>0.9</v>
      </c>
      <c r="N3" s="49">
        <v>0.5</v>
      </c>
      <c r="O3" s="49">
        <v>0.4</v>
      </c>
      <c r="P3" s="50">
        <v>1.3</v>
      </c>
      <c r="Q3" s="49"/>
      <c r="R3" s="49">
        <v>1.1000000000000001</v>
      </c>
      <c r="S3" s="50">
        <v>1.5</v>
      </c>
      <c r="T3" s="50">
        <v>0.4</v>
      </c>
      <c r="U3" s="50">
        <v>0.6</v>
      </c>
      <c r="V3" s="50">
        <v>0.7</v>
      </c>
      <c r="W3" s="49">
        <v>0.9</v>
      </c>
      <c r="X3" s="49"/>
      <c r="Y3" s="49">
        <v>0.6</v>
      </c>
      <c r="Z3" s="49">
        <v>0.7</v>
      </c>
      <c r="AA3" s="49">
        <v>0.9</v>
      </c>
      <c r="AB3" s="49">
        <v>1.1000000000000001</v>
      </c>
      <c r="AC3" s="49">
        <v>0.7</v>
      </c>
      <c r="AD3" s="49">
        <v>0.4</v>
      </c>
      <c r="AE3" s="49">
        <v>0.3</v>
      </c>
      <c r="AF3" s="49">
        <v>0.1</v>
      </c>
      <c r="AG3" s="46">
        <f t="shared" ref="AG3:AG32" si="0">SUM(B3:AF3)</f>
        <v>20.099999999999998</v>
      </c>
      <c r="AH3" s="47"/>
      <c r="AI3" s="48"/>
    </row>
    <row r="4" spans="1:35" s="44" customFormat="1" ht="18.75" customHeight="1" x14ac:dyDescent="0.35">
      <c r="A4" s="60" t="s">
        <v>193</v>
      </c>
      <c r="B4" s="49">
        <v>2.1</v>
      </c>
      <c r="C4" s="49"/>
      <c r="D4" s="49">
        <v>0.7</v>
      </c>
      <c r="E4" s="49">
        <v>0.9</v>
      </c>
      <c r="F4" s="49">
        <v>0.5</v>
      </c>
      <c r="G4" s="49">
        <v>0.5</v>
      </c>
      <c r="H4" s="49">
        <v>0.7</v>
      </c>
      <c r="I4" s="50">
        <v>0.8</v>
      </c>
      <c r="J4" s="49"/>
      <c r="K4" s="50">
        <v>0.5</v>
      </c>
      <c r="L4" s="49">
        <v>0.3</v>
      </c>
      <c r="M4" s="50">
        <v>0.9</v>
      </c>
      <c r="N4" s="49">
        <v>0.5</v>
      </c>
      <c r="O4" s="49">
        <v>0.4</v>
      </c>
      <c r="P4" s="50">
        <v>1.3</v>
      </c>
      <c r="Q4" s="49"/>
      <c r="R4" s="49">
        <v>1.1000000000000001</v>
      </c>
      <c r="S4" s="50">
        <v>1.5</v>
      </c>
      <c r="T4" s="50">
        <v>0.4</v>
      </c>
      <c r="U4" s="50">
        <v>0.6</v>
      </c>
      <c r="V4" s="50">
        <v>0.7</v>
      </c>
      <c r="W4" s="49">
        <v>0.9</v>
      </c>
      <c r="X4" s="49"/>
      <c r="Y4" s="49">
        <v>0.6</v>
      </c>
      <c r="Z4" s="49">
        <v>0.7</v>
      </c>
      <c r="AA4" s="49">
        <v>0.9</v>
      </c>
      <c r="AB4" s="49">
        <v>1.1000000000000001</v>
      </c>
      <c r="AC4" s="49">
        <v>0.7</v>
      </c>
      <c r="AD4" s="49">
        <v>0.4</v>
      </c>
      <c r="AE4" s="49">
        <v>0.3</v>
      </c>
      <c r="AF4" s="49">
        <v>0.1</v>
      </c>
      <c r="AG4" s="46">
        <f t="shared" si="0"/>
        <v>20.099999999999998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49">
        <v>3</v>
      </c>
      <c r="C8" s="51">
        <v>1.9</v>
      </c>
      <c r="D8" s="51">
        <v>0</v>
      </c>
      <c r="E8" s="51">
        <v>3</v>
      </c>
      <c r="F8" s="51">
        <v>0</v>
      </c>
      <c r="G8" s="51">
        <v>3.5</v>
      </c>
      <c r="H8" s="51">
        <v>2.5</v>
      </c>
      <c r="I8" s="51">
        <v>2.2999999999999998</v>
      </c>
      <c r="J8" s="51">
        <v>2.9</v>
      </c>
      <c r="K8" s="51">
        <v>0</v>
      </c>
      <c r="L8" s="51">
        <v>0</v>
      </c>
      <c r="M8" s="51">
        <v>0</v>
      </c>
      <c r="N8" s="51">
        <v>4.3</v>
      </c>
      <c r="O8" s="51">
        <v>2.5</v>
      </c>
      <c r="P8" s="51">
        <v>2.5</v>
      </c>
      <c r="Q8" s="51">
        <v>3</v>
      </c>
      <c r="R8" s="51">
        <v>3</v>
      </c>
      <c r="S8" s="51">
        <v>2.9</v>
      </c>
      <c r="T8" s="51">
        <v>2.5</v>
      </c>
      <c r="U8" s="51">
        <v>2.2999999999999998</v>
      </c>
      <c r="V8" s="51">
        <v>4.3</v>
      </c>
      <c r="W8" s="51">
        <v>2.2000000000000002</v>
      </c>
      <c r="X8" s="51">
        <v>2</v>
      </c>
      <c r="Y8" s="51">
        <v>2.1</v>
      </c>
      <c r="Z8" s="51">
        <v>0.9</v>
      </c>
      <c r="AA8" s="51">
        <v>0</v>
      </c>
      <c r="AB8" s="51">
        <v>2.1</v>
      </c>
      <c r="AC8" s="51">
        <v>2.1</v>
      </c>
      <c r="AD8" s="51">
        <v>3</v>
      </c>
      <c r="AE8" s="51">
        <v>0</v>
      </c>
      <c r="AF8" s="51">
        <v>0</v>
      </c>
      <c r="AG8" s="46">
        <f t="shared" si="0"/>
        <v>60.8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49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>
        <v>1</v>
      </c>
      <c r="C12" s="51">
        <v>1.3</v>
      </c>
      <c r="D12" s="51">
        <v>2.1</v>
      </c>
      <c r="E12" s="51" t="s">
        <v>205</v>
      </c>
      <c r="F12" s="51">
        <v>0.5</v>
      </c>
      <c r="G12" s="51">
        <v>1.5</v>
      </c>
      <c r="H12" s="51">
        <v>2</v>
      </c>
      <c r="I12" s="51">
        <v>1</v>
      </c>
      <c r="J12" s="51">
        <v>1</v>
      </c>
      <c r="K12" s="51">
        <v>11</v>
      </c>
      <c r="L12" s="51">
        <v>1</v>
      </c>
      <c r="M12" s="51">
        <v>1</v>
      </c>
      <c r="N12" s="51">
        <v>1</v>
      </c>
      <c r="O12" s="51">
        <v>1</v>
      </c>
      <c r="P12" s="51">
        <v>3</v>
      </c>
      <c r="Q12" s="51">
        <v>2</v>
      </c>
      <c r="R12" s="51">
        <v>2</v>
      </c>
      <c r="S12" s="51">
        <v>3</v>
      </c>
      <c r="T12" s="51">
        <v>3</v>
      </c>
      <c r="U12" s="51">
        <v>4</v>
      </c>
      <c r="V12" s="51">
        <v>4</v>
      </c>
      <c r="W12" s="51">
        <v>3</v>
      </c>
      <c r="X12" s="51">
        <v>1</v>
      </c>
      <c r="Y12" s="51">
        <v>1</v>
      </c>
      <c r="Z12" s="51">
        <v>1</v>
      </c>
      <c r="AA12" s="51">
        <v>1</v>
      </c>
      <c r="AB12" s="51">
        <v>1</v>
      </c>
      <c r="AC12" s="51">
        <v>0.5</v>
      </c>
      <c r="AD12" s="51">
        <v>1</v>
      </c>
      <c r="AE12" s="51">
        <v>2</v>
      </c>
      <c r="AF12" s="51">
        <v>2</v>
      </c>
      <c r="AG12" s="46">
        <f t="shared" si="0"/>
        <v>59.9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>
        <v>3.1</v>
      </c>
      <c r="C14" s="51">
        <v>2.1</v>
      </c>
      <c r="D14" s="51">
        <v>1.1000000000000001</v>
      </c>
      <c r="E14" s="51">
        <v>1</v>
      </c>
      <c r="F14" s="51">
        <v>3.1</v>
      </c>
      <c r="G14" s="51">
        <v>2.2000000000000002</v>
      </c>
      <c r="H14" s="51">
        <v>4.0999999999999996</v>
      </c>
      <c r="I14" s="51">
        <v>3</v>
      </c>
      <c r="J14" s="51">
        <v>4.3</v>
      </c>
      <c r="K14" s="51">
        <v>2.1</v>
      </c>
      <c r="L14" s="51">
        <v>1</v>
      </c>
      <c r="M14" s="51">
        <v>3.2</v>
      </c>
      <c r="N14" s="51">
        <v>1.4</v>
      </c>
      <c r="O14" s="51">
        <v>1.2</v>
      </c>
      <c r="P14" s="51">
        <v>3.3</v>
      </c>
      <c r="Q14" s="51">
        <v>4</v>
      </c>
      <c r="R14" s="51">
        <v>3.5</v>
      </c>
      <c r="S14" s="51">
        <v>2.2999999999999998</v>
      </c>
      <c r="T14" s="51">
        <v>4.0999999999999996</v>
      </c>
      <c r="U14" s="51">
        <v>2.1</v>
      </c>
      <c r="V14" s="51">
        <v>3.2</v>
      </c>
      <c r="W14" s="51">
        <v>1.5</v>
      </c>
      <c r="X14" s="51">
        <v>2.1</v>
      </c>
      <c r="Y14" s="52">
        <v>3.3</v>
      </c>
      <c r="Z14" s="52">
        <v>6.2</v>
      </c>
      <c r="AA14" s="52">
        <v>1.2</v>
      </c>
      <c r="AB14" s="52">
        <v>3.3</v>
      </c>
      <c r="AC14" s="52">
        <v>4</v>
      </c>
      <c r="AD14" s="52">
        <v>2.2999999999999998</v>
      </c>
      <c r="AE14" s="52">
        <v>1</v>
      </c>
      <c r="AF14" s="52">
        <v>3.3</v>
      </c>
      <c r="AG14" s="46">
        <f t="shared" si="0"/>
        <v>83.6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51"/>
      <c r="D17" s="51"/>
      <c r="E17" s="51"/>
      <c r="F17" s="51"/>
      <c r="G17" s="51"/>
      <c r="H17" s="51"/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/>
      <c r="U17" s="51"/>
      <c r="V17" s="51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2"/>
      <c r="G21" s="52"/>
      <c r="H21" s="52"/>
      <c r="I21" s="52"/>
      <c r="J21" s="52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49">
        <v>5</v>
      </c>
      <c r="C24" s="51">
        <v>5</v>
      </c>
      <c r="D24" s="51">
        <v>3</v>
      </c>
      <c r="E24" s="51">
        <v>2</v>
      </c>
      <c r="F24" s="51">
        <v>3</v>
      </c>
      <c r="G24" s="51">
        <v>4</v>
      </c>
      <c r="H24" s="51">
        <v>3</v>
      </c>
      <c r="I24" s="51">
        <v>2</v>
      </c>
      <c r="J24" s="51">
        <v>5</v>
      </c>
      <c r="K24" s="51">
        <v>3</v>
      </c>
      <c r="L24" s="51">
        <v>4</v>
      </c>
      <c r="M24" s="51">
        <v>4</v>
      </c>
      <c r="N24" s="51">
        <v>3</v>
      </c>
      <c r="O24" s="51">
        <v>2</v>
      </c>
      <c r="P24" s="51">
        <v>3</v>
      </c>
      <c r="Q24" s="51">
        <v>2</v>
      </c>
      <c r="R24" s="51">
        <v>4</v>
      </c>
      <c r="S24" s="51">
        <v>3</v>
      </c>
      <c r="T24" s="51">
        <v>4</v>
      </c>
      <c r="U24" s="51">
        <v>4</v>
      </c>
      <c r="V24" s="51">
        <v>3</v>
      </c>
      <c r="W24" s="51">
        <v>2</v>
      </c>
      <c r="X24" s="51">
        <v>2</v>
      </c>
      <c r="Y24" s="51">
        <v>4</v>
      </c>
      <c r="Z24" s="51">
        <v>3</v>
      </c>
      <c r="AA24" s="51">
        <v>4</v>
      </c>
      <c r="AB24" s="51">
        <v>3</v>
      </c>
      <c r="AC24" s="51">
        <v>4</v>
      </c>
      <c r="AD24" s="51">
        <v>3</v>
      </c>
      <c r="AE24" s="51">
        <v>4</v>
      </c>
      <c r="AF24" s="51">
        <v>5</v>
      </c>
      <c r="AG24" s="46">
        <f t="shared" si="0"/>
        <v>105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49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52"/>
      <c r="D29" s="52"/>
      <c r="E29" s="52"/>
      <c r="F29" s="52"/>
      <c r="G29" s="52"/>
      <c r="H29" s="52"/>
      <c r="I29" s="52"/>
      <c r="J29" s="52"/>
      <c r="K29" s="52"/>
      <c r="L29" s="52"/>
      <c r="M29" s="52"/>
      <c r="N29" s="52"/>
      <c r="O29" s="52"/>
      <c r="P29" s="52"/>
      <c r="Q29" s="52"/>
      <c r="R29" s="52"/>
      <c r="S29" s="52"/>
      <c r="T29" s="52"/>
      <c r="U29" s="52"/>
      <c r="V29" s="52"/>
      <c r="W29" s="52"/>
      <c r="X29" s="52"/>
      <c r="Y29" s="52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76">
        <v>0.8</v>
      </c>
      <c r="C31" s="76">
        <v>0.5</v>
      </c>
      <c r="D31" s="76">
        <v>0.1</v>
      </c>
      <c r="E31" s="76">
        <v>0.4</v>
      </c>
      <c r="F31" s="76">
        <v>0.1</v>
      </c>
      <c r="G31" s="76">
        <v>0.7</v>
      </c>
      <c r="H31" s="76">
        <v>0.2</v>
      </c>
      <c r="I31" s="76">
        <v>0.3</v>
      </c>
      <c r="J31" s="76">
        <v>0.1</v>
      </c>
      <c r="K31" s="76">
        <v>0.2</v>
      </c>
      <c r="L31" s="76">
        <v>0.1</v>
      </c>
      <c r="M31" s="76">
        <v>0.3</v>
      </c>
      <c r="N31" s="76">
        <v>0.4</v>
      </c>
      <c r="O31" s="76">
        <v>0.1</v>
      </c>
      <c r="P31" s="76">
        <v>0.3</v>
      </c>
      <c r="Q31" s="76">
        <v>0.2</v>
      </c>
      <c r="R31" s="76">
        <v>0.4</v>
      </c>
      <c r="S31" s="76">
        <v>0.1</v>
      </c>
      <c r="T31" s="76">
        <v>0.3</v>
      </c>
      <c r="U31" s="76">
        <v>0.2</v>
      </c>
      <c r="V31" s="76">
        <v>0.5</v>
      </c>
      <c r="W31" s="76">
        <v>0.4</v>
      </c>
      <c r="X31" s="76">
        <v>0.3</v>
      </c>
      <c r="Y31" s="76">
        <v>0.2</v>
      </c>
      <c r="Z31" s="76">
        <v>0.1</v>
      </c>
      <c r="AA31" s="76">
        <v>0.2</v>
      </c>
      <c r="AB31" s="76">
        <v>0.4</v>
      </c>
      <c r="AC31" s="76">
        <v>0.3</v>
      </c>
      <c r="AD31" s="76">
        <v>0.1</v>
      </c>
      <c r="AE31" s="76">
        <v>0.2</v>
      </c>
      <c r="AF31" s="76">
        <v>0.4</v>
      </c>
      <c r="AG31" s="46">
        <f>SUM(B31:AF31)</f>
        <v>8.9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17.099999999999998</v>
      </c>
      <c r="C33" s="51">
        <f t="shared" ref="C33:AF33" si="1">SUM(C3:C32)</f>
        <v>10.8</v>
      </c>
      <c r="D33" s="51">
        <f t="shared" si="1"/>
        <v>7.6999999999999993</v>
      </c>
      <c r="E33" s="51">
        <f t="shared" si="1"/>
        <v>8.1999999999999993</v>
      </c>
      <c r="F33" s="51">
        <f t="shared" si="1"/>
        <v>7.6999999999999993</v>
      </c>
      <c r="G33" s="51">
        <f t="shared" si="1"/>
        <v>12.899999999999999</v>
      </c>
      <c r="H33" s="51">
        <f t="shared" si="1"/>
        <v>13.2</v>
      </c>
      <c r="I33" s="51">
        <f t="shared" si="1"/>
        <v>10.200000000000001</v>
      </c>
      <c r="J33" s="51">
        <f t="shared" si="1"/>
        <v>13.299999999999999</v>
      </c>
      <c r="K33" s="51">
        <f t="shared" si="1"/>
        <v>17.3</v>
      </c>
      <c r="L33" s="51">
        <f t="shared" si="1"/>
        <v>6.6999999999999993</v>
      </c>
      <c r="M33" s="51">
        <f t="shared" si="1"/>
        <v>10.3</v>
      </c>
      <c r="N33" s="51">
        <f t="shared" si="1"/>
        <v>11.1</v>
      </c>
      <c r="O33" s="51">
        <f t="shared" si="1"/>
        <v>7.6</v>
      </c>
      <c r="P33" s="51">
        <f t="shared" si="1"/>
        <v>14.7</v>
      </c>
      <c r="Q33" s="51">
        <f t="shared" si="1"/>
        <v>11.2</v>
      </c>
      <c r="R33" s="51">
        <f t="shared" si="1"/>
        <v>15.1</v>
      </c>
      <c r="S33" s="51">
        <f t="shared" si="1"/>
        <v>14.299999999999999</v>
      </c>
      <c r="T33" s="51">
        <f t="shared" si="1"/>
        <v>14.7</v>
      </c>
      <c r="U33" s="51">
        <f t="shared" si="1"/>
        <v>13.799999999999999</v>
      </c>
      <c r="V33" s="51">
        <f t="shared" si="1"/>
        <v>16.399999999999999</v>
      </c>
      <c r="W33" s="51">
        <f t="shared" si="1"/>
        <v>10.9</v>
      </c>
      <c r="X33" s="51">
        <f t="shared" si="1"/>
        <v>7.3999999999999995</v>
      </c>
      <c r="Y33" s="51">
        <f t="shared" si="1"/>
        <v>11.799999999999999</v>
      </c>
      <c r="Z33" s="51">
        <f t="shared" si="1"/>
        <v>12.6</v>
      </c>
      <c r="AA33" s="51">
        <f t="shared" si="1"/>
        <v>8.1999999999999993</v>
      </c>
      <c r="AB33" s="51">
        <f t="shared" si="1"/>
        <v>12.000000000000002</v>
      </c>
      <c r="AC33" s="51">
        <f t="shared" si="1"/>
        <v>12.3</v>
      </c>
      <c r="AD33" s="51">
        <f t="shared" si="1"/>
        <v>10.199999999999999</v>
      </c>
      <c r="AE33" s="51">
        <f t="shared" si="1"/>
        <v>7.8</v>
      </c>
      <c r="AF33" s="51">
        <f t="shared" si="1"/>
        <v>10.9</v>
      </c>
      <c r="AG33" s="56">
        <f>SUM(B33:AF33)</f>
        <v>358.4</v>
      </c>
      <c r="AH33" s="57"/>
      <c r="AI33" s="57"/>
    </row>
    <row r="34" spans="1:35" s="2" customFormat="1" x14ac:dyDescent="0.25">
      <c r="AG34" s="24">
        <f>SUM(AG3:AG32)</f>
        <v>358.4</v>
      </c>
    </row>
    <row r="35" spans="1:35" s="2" customFormat="1" x14ac:dyDescent="0.25"/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sqref="A1:AG1"/>
    </sheetView>
  </sheetViews>
  <sheetFormatPr baseColWidth="10" defaultRowHeight="15" x14ac:dyDescent="0.25"/>
  <cols>
    <col min="1" max="1" width="56.42578125" customWidth="1"/>
    <col min="2" max="32" width="5.570312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6">
        <f>SUM(B3:AF3)</f>
        <v>0</v>
      </c>
      <c r="AH3" s="47"/>
      <c r="AI3" s="48"/>
    </row>
    <row r="4" spans="1:35" s="44" customFormat="1" ht="30.75" customHeight="1" x14ac:dyDescent="0.35">
      <c r="A4" s="78" t="s">
        <v>94</v>
      </c>
      <c r="B4" s="85"/>
      <c r="C4" s="85">
        <v>0.8</v>
      </c>
      <c r="D4" s="85">
        <v>0.1</v>
      </c>
      <c r="E4" s="85"/>
      <c r="F4" s="85">
        <v>0.7</v>
      </c>
      <c r="G4" s="85">
        <v>0.3</v>
      </c>
      <c r="H4" s="85"/>
      <c r="I4" s="86"/>
      <c r="J4" s="85">
        <v>0.9</v>
      </c>
      <c r="K4" s="86">
        <v>1</v>
      </c>
      <c r="L4" s="85">
        <v>0.7</v>
      </c>
      <c r="M4" s="86">
        <v>1.3</v>
      </c>
      <c r="N4" s="85">
        <v>2</v>
      </c>
      <c r="O4" s="85"/>
      <c r="P4" s="86"/>
      <c r="Q4" s="85">
        <v>2.1</v>
      </c>
      <c r="R4" s="85">
        <v>0.9</v>
      </c>
      <c r="S4" s="86"/>
      <c r="T4" s="86">
        <v>3</v>
      </c>
      <c r="U4" s="86">
        <v>2.8</v>
      </c>
      <c r="V4" s="86"/>
      <c r="W4" s="85"/>
      <c r="X4" s="85">
        <v>3</v>
      </c>
      <c r="Y4" s="85">
        <v>2.2000000000000002</v>
      </c>
      <c r="Z4" s="85">
        <v>2.9</v>
      </c>
      <c r="AA4" s="85">
        <v>3.9</v>
      </c>
      <c r="AB4" s="85">
        <v>2.9</v>
      </c>
      <c r="AC4" s="85"/>
      <c r="AD4" s="85"/>
      <c r="AE4" s="85">
        <v>1.8</v>
      </c>
      <c r="AF4" s="85"/>
      <c r="AG4" s="46">
        <f t="shared" ref="AG4:AG40" si="0">SUM(B4:AF4)</f>
        <v>33.299999999999997</v>
      </c>
      <c r="AH4" s="47"/>
      <c r="AI4" s="48"/>
    </row>
    <row r="5" spans="1:35" s="44" customFormat="1" ht="18.75" customHeight="1" x14ac:dyDescent="0.35">
      <c r="A5" s="79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46">
        <f t="shared" si="0"/>
        <v>0</v>
      </c>
      <c r="AH5" s="48"/>
      <c r="AI5" s="48"/>
    </row>
    <row r="6" spans="1:35" s="44" customFormat="1" ht="18.75" customHeight="1" x14ac:dyDescent="0.35">
      <c r="A6" s="79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46">
        <f t="shared" si="0"/>
        <v>0</v>
      </c>
      <c r="AH6" s="48"/>
      <c r="AI6" s="48"/>
    </row>
    <row r="7" spans="1:35" s="44" customFormat="1" ht="18.75" customHeight="1" x14ac:dyDescent="0.35">
      <c r="A7" s="79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46">
        <f t="shared" si="0"/>
        <v>0</v>
      </c>
      <c r="AH7" s="48"/>
      <c r="AI7" s="48"/>
    </row>
    <row r="8" spans="1:35" s="44" customFormat="1" ht="18.75" customHeight="1" x14ac:dyDescent="0.35">
      <c r="A8" s="79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46">
        <f t="shared" si="0"/>
        <v>0</v>
      </c>
      <c r="AH8" s="48"/>
      <c r="AI8" s="48"/>
    </row>
    <row r="9" spans="1:35" s="44" customFormat="1" ht="18.75" customHeight="1" x14ac:dyDescent="0.35">
      <c r="A9" s="79" t="s">
        <v>65</v>
      </c>
      <c r="B9" s="87">
        <v>3.9</v>
      </c>
      <c r="C9" s="87">
        <v>2.5</v>
      </c>
      <c r="D9" s="87">
        <v>4</v>
      </c>
      <c r="E9" s="87">
        <v>3.6</v>
      </c>
      <c r="F9" s="87">
        <v>2.9</v>
      </c>
      <c r="G9" s="87">
        <v>4</v>
      </c>
      <c r="H9" s="87">
        <v>3.1</v>
      </c>
      <c r="I9" s="87">
        <v>2.6</v>
      </c>
      <c r="J9" s="87">
        <v>3</v>
      </c>
      <c r="K9" s="87">
        <v>2.8</v>
      </c>
      <c r="L9" s="87">
        <v>2.5</v>
      </c>
      <c r="M9" s="87">
        <v>3</v>
      </c>
      <c r="N9" s="87">
        <v>4.5999999999999996</v>
      </c>
      <c r="O9" s="87">
        <v>3.8</v>
      </c>
      <c r="P9" s="87">
        <v>3.2</v>
      </c>
      <c r="Q9" s="87">
        <v>2.8</v>
      </c>
      <c r="R9" s="87">
        <v>5</v>
      </c>
      <c r="S9" s="87">
        <v>3.7</v>
      </c>
      <c r="T9" s="87">
        <v>4.5999999999999996</v>
      </c>
      <c r="U9" s="87">
        <v>3.6</v>
      </c>
      <c r="V9" s="87">
        <v>3</v>
      </c>
      <c r="W9" s="87">
        <v>4.9000000000000004</v>
      </c>
      <c r="X9" s="87">
        <v>3.7</v>
      </c>
      <c r="Y9" s="87">
        <v>4.5</v>
      </c>
      <c r="Z9" s="87">
        <v>3</v>
      </c>
      <c r="AA9" s="87">
        <v>5.5</v>
      </c>
      <c r="AB9" s="87">
        <v>3</v>
      </c>
      <c r="AC9" s="87">
        <v>3.7</v>
      </c>
      <c r="AD9" s="87">
        <v>5</v>
      </c>
      <c r="AE9" s="87">
        <v>3.3</v>
      </c>
      <c r="AF9" s="87"/>
      <c r="AG9" s="46">
        <f t="shared" si="0"/>
        <v>108.8</v>
      </c>
      <c r="AH9" s="48"/>
      <c r="AI9" s="48"/>
    </row>
    <row r="10" spans="1:35" s="44" customFormat="1" ht="18.75" customHeight="1" x14ac:dyDescent="0.35">
      <c r="A10" s="79" t="s">
        <v>66</v>
      </c>
      <c r="B10" s="88">
        <v>4.5</v>
      </c>
      <c r="C10" s="88">
        <v>3</v>
      </c>
      <c r="D10" s="88">
        <v>2.9</v>
      </c>
      <c r="E10" s="88">
        <v>4.7</v>
      </c>
      <c r="F10" s="88">
        <v>3.9</v>
      </c>
      <c r="G10" s="88">
        <v>6.2</v>
      </c>
      <c r="H10" s="88">
        <v>8.3000000000000007</v>
      </c>
      <c r="I10" s="88">
        <v>1.1000000000000001</v>
      </c>
      <c r="J10" s="88">
        <v>7.2</v>
      </c>
      <c r="K10" s="88">
        <v>6.1</v>
      </c>
      <c r="L10" s="88">
        <v>9.4</v>
      </c>
      <c r="M10" s="88">
        <v>10.4</v>
      </c>
      <c r="N10" s="88">
        <v>2.2000000000000002</v>
      </c>
      <c r="O10" s="88">
        <v>9.4</v>
      </c>
      <c r="P10" s="88">
        <v>1.3</v>
      </c>
      <c r="Q10" s="88">
        <v>7.4</v>
      </c>
      <c r="R10" s="88">
        <v>8.1999999999999993</v>
      </c>
      <c r="S10" s="88">
        <v>3.2</v>
      </c>
      <c r="T10" s="88">
        <v>2.9</v>
      </c>
      <c r="U10" s="88">
        <v>3.6</v>
      </c>
      <c r="V10" s="88">
        <v>12.4</v>
      </c>
      <c r="W10" s="88">
        <v>9.4</v>
      </c>
      <c r="X10" s="88">
        <v>1.4</v>
      </c>
      <c r="Y10" s="88">
        <v>3.2</v>
      </c>
      <c r="Z10" s="88">
        <v>6.3</v>
      </c>
      <c r="AA10" s="88">
        <v>3.1</v>
      </c>
      <c r="AB10" s="88">
        <v>1</v>
      </c>
      <c r="AC10" s="88">
        <v>4.3</v>
      </c>
      <c r="AD10" s="88">
        <v>1.1000000000000001</v>
      </c>
      <c r="AE10" s="88">
        <v>6.2</v>
      </c>
      <c r="AF10" s="88"/>
      <c r="AG10" s="46">
        <f t="shared" si="0"/>
        <v>154.30000000000001</v>
      </c>
      <c r="AH10" s="48"/>
      <c r="AI10" s="48"/>
    </row>
    <row r="11" spans="1:35" s="44" customFormat="1" ht="18.75" customHeight="1" x14ac:dyDescent="0.35">
      <c r="A11" s="79" t="s">
        <v>67</v>
      </c>
      <c r="B11" s="87">
        <v>1.1000000000000001</v>
      </c>
      <c r="C11" s="87">
        <v>0.9</v>
      </c>
      <c r="D11" s="87">
        <v>1.9</v>
      </c>
      <c r="E11" s="87">
        <v>1.2</v>
      </c>
      <c r="F11" s="87">
        <v>1.5</v>
      </c>
      <c r="G11" s="87">
        <v>1.6</v>
      </c>
      <c r="H11" s="87">
        <v>1.9</v>
      </c>
      <c r="I11" s="87">
        <v>0.9</v>
      </c>
      <c r="J11" s="87">
        <v>1</v>
      </c>
      <c r="K11" s="87">
        <v>1</v>
      </c>
      <c r="L11" s="87">
        <v>1.1000000000000001</v>
      </c>
      <c r="M11" s="87">
        <v>0.8</v>
      </c>
      <c r="N11" s="87">
        <v>1</v>
      </c>
      <c r="O11" s="87">
        <v>0.9</v>
      </c>
      <c r="P11" s="87">
        <v>0.9</v>
      </c>
      <c r="Q11" s="87">
        <v>0.8</v>
      </c>
      <c r="R11" s="87">
        <v>1.1000000000000001</v>
      </c>
      <c r="S11" s="87">
        <v>0.9</v>
      </c>
      <c r="T11" s="87">
        <v>0.9</v>
      </c>
      <c r="U11" s="87">
        <v>1</v>
      </c>
      <c r="V11" s="87">
        <v>1</v>
      </c>
      <c r="W11" s="87">
        <v>1.1000000000000001</v>
      </c>
      <c r="X11" s="87">
        <v>1.2</v>
      </c>
      <c r="Y11" s="87">
        <v>1.1000000000000001</v>
      </c>
      <c r="Z11" s="87">
        <v>1.1000000000000001</v>
      </c>
      <c r="AA11" s="87">
        <v>0.9</v>
      </c>
      <c r="AB11" s="87" t="s">
        <v>175</v>
      </c>
      <c r="AC11" s="87">
        <v>0.9</v>
      </c>
      <c r="AD11" s="87">
        <v>1.1000000000000001</v>
      </c>
      <c r="AE11" s="87">
        <v>1.1000000000000001</v>
      </c>
      <c r="AF11" s="87"/>
      <c r="AG11" s="46">
        <f t="shared" si="0"/>
        <v>31.900000000000002</v>
      </c>
      <c r="AH11" s="48"/>
      <c r="AI11" s="48"/>
    </row>
    <row r="12" spans="1:35" s="44" customFormat="1" ht="30.75" customHeight="1" x14ac:dyDescent="0.35">
      <c r="A12" s="79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46">
        <f t="shared" si="0"/>
        <v>0</v>
      </c>
    </row>
    <row r="13" spans="1:35" s="44" customFormat="1" ht="31.5" customHeight="1" x14ac:dyDescent="0.35">
      <c r="A13" s="79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46">
        <f t="shared" si="0"/>
        <v>0</v>
      </c>
      <c r="AH13" s="48"/>
      <c r="AI13" s="48"/>
    </row>
    <row r="14" spans="1:35" s="44" customFormat="1" ht="18.75" customHeight="1" x14ac:dyDescent="0.35">
      <c r="A14" s="79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46">
        <f t="shared" si="0"/>
        <v>0</v>
      </c>
      <c r="AH14" s="48"/>
      <c r="AI14" s="48"/>
    </row>
    <row r="15" spans="1:35" s="44" customFormat="1" ht="18.75" customHeight="1" x14ac:dyDescent="0.35">
      <c r="A15" s="79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46">
        <f t="shared" si="0"/>
        <v>0</v>
      </c>
      <c r="AH15" s="48"/>
      <c r="AI15" s="48"/>
    </row>
    <row r="16" spans="1:35" s="44" customFormat="1" ht="18.75" customHeight="1" x14ac:dyDescent="0.35">
      <c r="A16" s="79" t="s">
        <v>91</v>
      </c>
      <c r="B16" s="87"/>
      <c r="C16" s="87"/>
      <c r="D16" s="87">
        <v>2.7</v>
      </c>
      <c r="E16" s="87"/>
      <c r="F16" s="87"/>
      <c r="G16" s="87"/>
      <c r="H16" s="87">
        <v>3.1</v>
      </c>
      <c r="I16" s="87"/>
      <c r="J16" s="87"/>
      <c r="K16" s="87"/>
      <c r="L16" s="87"/>
      <c r="M16" s="87">
        <v>3.5</v>
      </c>
      <c r="N16" s="87"/>
      <c r="O16" s="87">
        <v>2.6</v>
      </c>
      <c r="P16" s="87"/>
      <c r="Q16" s="87"/>
      <c r="R16" s="87"/>
      <c r="S16" s="87"/>
      <c r="T16" s="87"/>
      <c r="U16" s="87"/>
      <c r="V16" s="87">
        <v>1.3</v>
      </c>
      <c r="W16" s="87"/>
      <c r="X16" s="87"/>
      <c r="Y16" s="87"/>
      <c r="Z16" s="87">
        <v>0.5</v>
      </c>
      <c r="AA16" s="87"/>
      <c r="AB16" s="87"/>
      <c r="AC16" s="87"/>
      <c r="AD16" s="87"/>
      <c r="AE16" s="87">
        <v>0.5</v>
      </c>
      <c r="AF16" s="87"/>
      <c r="AG16" s="46">
        <f t="shared" si="0"/>
        <v>14.200000000000001</v>
      </c>
      <c r="AH16" s="48"/>
      <c r="AI16" s="48"/>
    </row>
    <row r="17" spans="1:35" s="44" customFormat="1" ht="18.75" customHeight="1" x14ac:dyDescent="0.35">
      <c r="A17" s="79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46">
        <f t="shared" si="0"/>
        <v>0</v>
      </c>
      <c r="AH17" s="48"/>
      <c r="AI17" s="48"/>
    </row>
    <row r="18" spans="1:35" s="44" customFormat="1" ht="18.75" customHeight="1" x14ac:dyDescent="0.35">
      <c r="A18" s="79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46">
        <f t="shared" si="0"/>
        <v>0</v>
      </c>
      <c r="AH18" s="48"/>
      <c r="AI18" s="48"/>
    </row>
    <row r="19" spans="1:35" s="44" customFormat="1" ht="18.75" customHeight="1" x14ac:dyDescent="0.35">
      <c r="A19" s="79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46">
        <f t="shared" si="0"/>
        <v>0</v>
      </c>
      <c r="AH19" s="48"/>
      <c r="AI19" s="48"/>
    </row>
    <row r="20" spans="1:35" s="44" customFormat="1" ht="18.75" customHeight="1" x14ac:dyDescent="0.35">
      <c r="A20" s="79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46">
        <f t="shared" si="0"/>
        <v>0</v>
      </c>
      <c r="AH20" s="48"/>
      <c r="AI20" s="48"/>
    </row>
    <row r="21" spans="1:35" s="44" customFormat="1" ht="18.75" customHeight="1" x14ac:dyDescent="0.35">
      <c r="A21" s="80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46">
        <f t="shared" si="0"/>
        <v>0</v>
      </c>
      <c r="AH21" s="48"/>
      <c r="AI21" s="48"/>
    </row>
    <row r="22" spans="1:35" s="44" customFormat="1" ht="18.75" customHeight="1" x14ac:dyDescent="0.35">
      <c r="A22" s="79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46">
        <f t="shared" si="0"/>
        <v>0</v>
      </c>
      <c r="AH22" s="48"/>
      <c r="AI22" s="48"/>
    </row>
    <row r="23" spans="1:35" s="44" customFormat="1" ht="18.75" customHeight="1" x14ac:dyDescent="0.35">
      <c r="A23" s="79" t="s">
        <v>71</v>
      </c>
      <c r="B23" s="87"/>
      <c r="C23" s="87"/>
      <c r="D23" s="87"/>
      <c r="E23" s="87"/>
      <c r="F23" s="87"/>
      <c r="G23" s="87"/>
      <c r="H23" s="87">
        <v>3.2</v>
      </c>
      <c r="I23" s="87"/>
      <c r="J23" s="87"/>
      <c r="K23" s="87"/>
      <c r="L23" s="87"/>
      <c r="M23" s="87"/>
      <c r="N23" s="87"/>
      <c r="O23" s="87">
        <v>2.2000000000000002</v>
      </c>
      <c r="P23" s="87"/>
      <c r="Q23" s="87"/>
      <c r="R23" s="87"/>
      <c r="S23" s="87"/>
      <c r="T23" s="87"/>
      <c r="U23" s="87"/>
      <c r="V23" s="87">
        <v>1.3</v>
      </c>
      <c r="W23" s="87"/>
      <c r="X23" s="87"/>
      <c r="Y23" s="88"/>
      <c r="Z23" s="88"/>
      <c r="AA23" s="88"/>
      <c r="AB23" s="88"/>
      <c r="AC23" s="88"/>
      <c r="AD23" s="88"/>
      <c r="AE23" s="88"/>
      <c r="AF23" s="88"/>
      <c r="AG23" s="46">
        <f t="shared" si="0"/>
        <v>6.7</v>
      </c>
      <c r="AH23" s="48"/>
      <c r="AI23" s="48"/>
    </row>
    <row r="24" spans="1:35" s="44" customFormat="1" ht="18.75" customHeight="1" x14ac:dyDescent="0.35">
      <c r="A24" s="79" t="s">
        <v>72</v>
      </c>
      <c r="B24" s="87"/>
      <c r="C24" s="87"/>
      <c r="D24" s="87"/>
      <c r="E24" s="87">
        <v>0.8</v>
      </c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>
        <v>0.3</v>
      </c>
      <c r="W24" s="87"/>
      <c r="X24" s="87"/>
      <c r="Y24" s="87"/>
      <c r="Z24" s="87"/>
      <c r="AA24" s="87">
        <v>2.1</v>
      </c>
      <c r="AB24" s="87"/>
      <c r="AC24" s="87"/>
      <c r="AD24" s="87"/>
      <c r="AE24" s="87"/>
      <c r="AF24" s="87"/>
      <c r="AG24" s="46">
        <f t="shared" si="0"/>
        <v>3.2</v>
      </c>
      <c r="AH24" s="48"/>
      <c r="AI24" s="48"/>
    </row>
    <row r="25" spans="1:35" s="44" customFormat="1" ht="18.75" customHeight="1" x14ac:dyDescent="0.35">
      <c r="A25" s="79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46">
        <f t="shared" si="0"/>
        <v>0</v>
      </c>
      <c r="AH25" s="48"/>
      <c r="AI25" s="48"/>
    </row>
    <row r="26" spans="1:35" s="44" customFormat="1" ht="18.75" customHeight="1" x14ac:dyDescent="0.35">
      <c r="A26" s="79" t="s">
        <v>153</v>
      </c>
      <c r="B26" s="87">
        <v>2</v>
      </c>
      <c r="C26" s="87"/>
      <c r="D26" s="87">
        <v>3.6</v>
      </c>
      <c r="E26" s="87"/>
      <c r="F26" s="87">
        <v>2.9</v>
      </c>
      <c r="G26" s="87"/>
      <c r="H26" s="87">
        <v>0.7</v>
      </c>
      <c r="I26" s="87"/>
      <c r="J26" s="87"/>
      <c r="K26" s="87"/>
      <c r="L26" s="87">
        <v>3.6</v>
      </c>
      <c r="M26" s="87"/>
      <c r="N26" s="87">
        <v>2.9</v>
      </c>
      <c r="O26" s="87"/>
      <c r="P26" s="87">
        <v>4.0999999999999996</v>
      </c>
      <c r="Q26" s="87"/>
      <c r="R26" s="87"/>
      <c r="S26" s="87"/>
      <c r="T26" s="87">
        <v>2.7</v>
      </c>
      <c r="U26" s="87"/>
      <c r="V26" s="87">
        <v>1</v>
      </c>
      <c r="W26" s="87"/>
      <c r="X26" s="87">
        <v>0.9</v>
      </c>
      <c r="Y26" s="87"/>
      <c r="Z26" s="87">
        <v>2.9</v>
      </c>
      <c r="AA26" s="87"/>
      <c r="AB26" s="87">
        <v>2.9</v>
      </c>
      <c r="AC26" s="87"/>
      <c r="AD26" s="87"/>
      <c r="AE26" s="87">
        <v>1.7</v>
      </c>
      <c r="AF26" s="87"/>
      <c r="AG26" s="46">
        <f t="shared" si="0"/>
        <v>31.899999999999991</v>
      </c>
      <c r="AH26" s="48"/>
      <c r="AI26" s="48"/>
    </row>
    <row r="27" spans="1:35" s="44" customFormat="1" ht="18.75" customHeight="1" x14ac:dyDescent="0.35">
      <c r="A27" s="79" t="s">
        <v>73</v>
      </c>
      <c r="B27" s="87"/>
      <c r="C27" s="87">
        <f>5.4/2</f>
        <v>2.7</v>
      </c>
      <c r="D27" s="87">
        <f>2.3/2</f>
        <v>1.1499999999999999</v>
      </c>
      <c r="E27" s="87"/>
      <c r="F27" s="87">
        <f>6.3/2</f>
        <v>3.15</v>
      </c>
      <c r="G27" s="87">
        <f>2.5/2</f>
        <v>1.25</v>
      </c>
      <c r="H27" s="87"/>
      <c r="I27" s="87"/>
      <c r="J27" s="87">
        <f>1.4/2</f>
        <v>0.7</v>
      </c>
      <c r="K27" s="87">
        <f>3.2/2</f>
        <v>1.6</v>
      </c>
      <c r="L27" s="87"/>
      <c r="M27" s="87">
        <f>4.3/2</f>
        <v>2.15</v>
      </c>
      <c r="N27" s="87"/>
      <c r="O27" s="87"/>
      <c r="P27" s="87"/>
      <c r="Q27" s="87">
        <v>3</v>
      </c>
      <c r="R27" s="87">
        <f>1.4/2</f>
        <v>0.7</v>
      </c>
      <c r="S27" s="87">
        <v>1.5</v>
      </c>
      <c r="T27" s="87">
        <f>1.4/2</f>
        <v>0.7</v>
      </c>
      <c r="U27" s="87">
        <f>2.5/2</f>
        <v>1.25</v>
      </c>
      <c r="V27" s="87"/>
      <c r="W27" s="87"/>
      <c r="X27" s="87">
        <f>2.6/2</f>
        <v>1.3</v>
      </c>
      <c r="Y27" s="87">
        <f>1.5/2</f>
        <v>0.75</v>
      </c>
      <c r="Z27" s="87">
        <f>4.3/2</f>
        <v>2.15</v>
      </c>
      <c r="AA27" s="87"/>
      <c r="AB27" s="87">
        <f>1.9/2</f>
        <v>0.95</v>
      </c>
      <c r="AC27" s="87"/>
      <c r="AD27" s="87"/>
      <c r="AE27" s="87">
        <f>5.1/2</f>
        <v>2.5499999999999998</v>
      </c>
      <c r="AF27" s="87"/>
      <c r="AG27" s="46">
        <f t="shared" si="0"/>
        <v>27.549999999999997</v>
      </c>
      <c r="AH27" s="48"/>
      <c r="AI27" s="48"/>
    </row>
    <row r="28" spans="1:35" s="44" customFormat="1" ht="18.75" customHeight="1" x14ac:dyDescent="0.35">
      <c r="A28" s="79" t="s">
        <v>92</v>
      </c>
      <c r="B28" s="87"/>
      <c r="C28" s="87">
        <f>5.4/2</f>
        <v>2.7</v>
      </c>
      <c r="D28" s="87">
        <f>2.3/2</f>
        <v>1.1499999999999999</v>
      </c>
      <c r="E28" s="87"/>
      <c r="F28" s="87">
        <f>6.3/2</f>
        <v>3.15</v>
      </c>
      <c r="G28" s="87">
        <f>2.5/2</f>
        <v>1.25</v>
      </c>
      <c r="H28" s="87"/>
      <c r="I28" s="87"/>
      <c r="J28" s="87">
        <f>1.4/2</f>
        <v>0.7</v>
      </c>
      <c r="K28" s="87">
        <f>3.2/2</f>
        <v>1.6</v>
      </c>
      <c r="L28" s="87"/>
      <c r="M28" s="87">
        <f>4.3/2</f>
        <v>2.15</v>
      </c>
      <c r="N28" s="87"/>
      <c r="O28" s="87"/>
      <c r="P28" s="87"/>
      <c r="Q28" s="87">
        <v>3</v>
      </c>
      <c r="R28" s="87">
        <f>1.4/2</f>
        <v>0.7</v>
      </c>
      <c r="S28" s="87">
        <v>1.5</v>
      </c>
      <c r="T28" s="87">
        <f>1.4/2</f>
        <v>0.7</v>
      </c>
      <c r="U28" s="87">
        <f>2.5/2</f>
        <v>1.25</v>
      </c>
      <c r="V28" s="87"/>
      <c r="W28" s="87"/>
      <c r="X28" s="87">
        <f>2.6/2</f>
        <v>1.3</v>
      </c>
      <c r="Y28" s="87">
        <f>1.5/2</f>
        <v>0.75</v>
      </c>
      <c r="Z28" s="87">
        <f>4.3/2</f>
        <v>2.15</v>
      </c>
      <c r="AA28" s="87"/>
      <c r="AB28" s="87">
        <f>1.9/2</f>
        <v>0.95</v>
      </c>
      <c r="AC28" s="87"/>
      <c r="AD28" s="87"/>
      <c r="AE28" s="87">
        <f>5.1/2</f>
        <v>2.5499999999999998</v>
      </c>
      <c r="AF28" s="87"/>
      <c r="AG28" s="46">
        <f t="shared" si="0"/>
        <v>27.549999999999997</v>
      </c>
      <c r="AH28" s="48"/>
      <c r="AI28" s="48"/>
    </row>
    <row r="29" spans="1:35" s="44" customFormat="1" ht="18.75" customHeight="1" x14ac:dyDescent="0.35">
      <c r="A29" s="79" t="s">
        <v>89</v>
      </c>
      <c r="B29" s="87">
        <v>1.7</v>
      </c>
      <c r="C29" s="87">
        <v>2.5</v>
      </c>
      <c r="D29" s="87">
        <v>3.3</v>
      </c>
      <c r="E29" s="87">
        <v>3</v>
      </c>
      <c r="F29" s="87">
        <v>3.9</v>
      </c>
      <c r="G29" s="87">
        <v>4</v>
      </c>
      <c r="H29" s="87">
        <v>4.0999999999999996</v>
      </c>
      <c r="I29" s="87">
        <v>3.9</v>
      </c>
      <c r="J29" s="87">
        <v>4.0999999999999996</v>
      </c>
      <c r="K29" s="87">
        <v>4</v>
      </c>
      <c r="L29" s="87">
        <v>4</v>
      </c>
      <c r="M29" s="87">
        <v>3.9</v>
      </c>
      <c r="N29" s="87">
        <v>4</v>
      </c>
      <c r="O29" s="87">
        <v>3.9</v>
      </c>
      <c r="P29" s="87">
        <v>1</v>
      </c>
      <c r="Q29" s="87">
        <v>3.9</v>
      </c>
      <c r="R29" s="87">
        <v>3.5</v>
      </c>
      <c r="S29" s="87">
        <v>3.7</v>
      </c>
      <c r="T29" s="87">
        <v>3</v>
      </c>
      <c r="U29" s="87">
        <v>2.9</v>
      </c>
      <c r="V29" s="87">
        <v>2.1</v>
      </c>
      <c r="W29" s="87">
        <v>3</v>
      </c>
      <c r="X29" s="87">
        <v>2</v>
      </c>
      <c r="Y29" s="87">
        <v>4.0999999999999996</v>
      </c>
      <c r="Z29" s="87">
        <v>3.2</v>
      </c>
      <c r="AA29" s="87">
        <v>3.6</v>
      </c>
      <c r="AB29" s="87">
        <v>3</v>
      </c>
      <c r="AC29" s="87">
        <v>3</v>
      </c>
      <c r="AD29" s="87">
        <v>3.9</v>
      </c>
      <c r="AE29" s="87">
        <v>3</v>
      </c>
      <c r="AF29" s="87"/>
      <c r="AG29" s="46">
        <f t="shared" si="0"/>
        <v>99.2</v>
      </c>
      <c r="AH29" s="48"/>
      <c r="AI29" s="48"/>
    </row>
    <row r="30" spans="1:35" s="44" customFormat="1" ht="18.75" customHeight="1" x14ac:dyDescent="0.35">
      <c r="A30" s="79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46">
        <f t="shared" si="0"/>
        <v>0</v>
      </c>
      <c r="AH30" s="48"/>
      <c r="AI30" s="48"/>
    </row>
    <row r="31" spans="1:35" s="44" customFormat="1" ht="18.75" customHeight="1" x14ac:dyDescent="0.35">
      <c r="A31" s="79" t="s">
        <v>75</v>
      </c>
      <c r="B31" s="87"/>
      <c r="C31" s="87">
        <v>1.9</v>
      </c>
      <c r="D31" s="87"/>
      <c r="E31" s="87">
        <v>2.6</v>
      </c>
      <c r="F31" s="87"/>
      <c r="G31" s="87">
        <v>3</v>
      </c>
      <c r="H31" s="87">
        <v>1.4</v>
      </c>
      <c r="I31" s="87"/>
      <c r="J31" s="87"/>
      <c r="K31" s="87">
        <v>1.6</v>
      </c>
      <c r="L31" s="87">
        <v>0.9</v>
      </c>
      <c r="M31" s="87"/>
      <c r="N31" s="87">
        <v>2.4</v>
      </c>
      <c r="O31" s="87">
        <v>0.6</v>
      </c>
      <c r="P31" s="87"/>
      <c r="Q31" s="87"/>
      <c r="R31" s="87">
        <v>2</v>
      </c>
      <c r="S31" s="87">
        <v>1.6</v>
      </c>
      <c r="T31" s="87">
        <v>2.2999999999999998</v>
      </c>
      <c r="U31" s="87">
        <v>1.8</v>
      </c>
      <c r="V31" s="87">
        <v>1.9</v>
      </c>
      <c r="W31" s="87"/>
      <c r="X31" s="87">
        <v>0.9</v>
      </c>
      <c r="Y31" s="87">
        <v>2.6</v>
      </c>
      <c r="Z31" s="87"/>
      <c r="AA31" s="87">
        <v>1.9</v>
      </c>
      <c r="AB31" s="87"/>
      <c r="AC31" s="87">
        <v>0.4</v>
      </c>
      <c r="AD31" s="87"/>
      <c r="AE31" s="87">
        <v>2.9</v>
      </c>
      <c r="AF31" s="87"/>
      <c r="AG31" s="46">
        <f t="shared" si="0"/>
        <v>32.699999999999996</v>
      </c>
      <c r="AH31" s="48"/>
      <c r="AI31" s="48"/>
    </row>
    <row r="32" spans="1:35" s="44" customFormat="1" ht="18.75" customHeight="1" x14ac:dyDescent="0.35">
      <c r="A32" s="79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46">
        <f t="shared" si="0"/>
        <v>0</v>
      </c>
      <c r="AH32" s="48"/>
      <c r="AI32" s="48"/>
    </row>
    <row r="33" spans="1:35" s="44" customFormat="1" ht="18.75" customHeight="1" x14ac:dyDescent="0.35">
      <c r="A33" s="79" t="s">
        <v>78</v>
      </c>
      <c r="B33" s="87">
        <v>1.2</v>
      </c>
      <c r="C33" s="87">
        <v>1</v>
      </c>
      <c r="D33" s="87">
        <v>2</v>
      </c>
      <c r="E33" s="87">
        <v>2.5</v>
      </c>
      <c r="F33" s="87">
        <v>1.5</v>
      </c>
      <c r="G33" s="87">
        <v>1.2</v>
      </c>
      <c r="H33" s="87">
        <v>2</v>
      </c>
      <c r="I33" s="87">
        <v>1</v>
      </c>
      <c r="J33" s="87">
        <v>2</v>
      </c>
      <c r="K33" s="87">
        <v>1.5</v>
      </c>
      <c r="L33" s="87">
        <v>1</v>
      </c>
      <c r="M33" s="87">
        <v>2</v>
      </c>
      <c r="N33" s="87">
        <v>1.7</v>
      </c>
      <c r="O33" s="87">
        <v>2</v>
      </c>
      <c r="P33" s="87">
        <v>2.2999999999999998</v>
      </c>
      <c r="Q33" s="87">
        <v>1</v>
      </c>
      <c r="R33" s="87">
        <v>1.2</v>
      </c>
      <c r="S33" s="87">
        <v>1</v>
      </c>
      <c r="T33" s="87">
        <v>1.2</v>
      </c>
      <c r="U33" s="87">
        <v>1.5</v>
      </c>
      <c r="V33" s="87">
        <v>1</v>
      </c>
      <c r="W33" s="87">
        <v>1</v>
      </c>
      <c r="X33" s="87">
        <v>1.2</v>
      </c>
      <c r="Y33" s="87">
        <v>1</v>
      </c>
      <c r="Z33" s="87">
        <v>2</v>
      </c>
      <c r="AA33" s="87">
        <v>1</v>
      </c>
      <c r="AB33" s="87">
        <v>1</v>
      </c>
      <c r="AC33" s="87">
        <v>1.5</v>
      </c>
      <c r="AD33" s="87">
        <v>1.5</v>
      </c>
      <c r="AE33" s="87">
        <v>2</v>
      </c>
      <c r="AF33" s="87"/>
      <c r="AG33" s="46">
        <f t="shared" si="0"/>
        <v>44</v>
      </c>
      <c r="AH33" s="48"/>
      <c r="AI33" s="48"/>
    </row>
    <row r="34" spans="1:35" s="44" customFormat="1" ht="18.75" customHeight="1" x14ac:dyDescent="0.35">
      <c r="A34" s="79" t="s">
        <v>79</v>
      </c>
      <c r="B34" s="87">
        <v>0.5</v>
      </c>
      <c r="C34" s="87"/>
      <c r="D34" s="87"/>
      <c r="E34" s="87">
        <v>0.4</v>
      </c>
      <c r="F34" s="87">
        <v>0.3</v>
      </c>
      <c r="G34" s="87"/>
      <c r="H34" s="87">
        <v>1</v>
      </c>
      <c r="I34" s="87">
        <v>0.5</v>
      </c>
      <c r="J34" s="87">
        <v>0.5</v>
      </c>
      <c r="K34" s="87"/>
      <c r="L34" s="87"/>
      <c r="M34" s="87"/>
      <c r="N34" s="87">
        <v>0.8</v>
      </c>
      <c r="O34" s="87"/>
      <c r="P34" s="87"/>
      <c r="Q34" s="87"/>
      <c r="R34" s="87">
        <v>0.9</v>
      </c>
      <c r="S34" s="87"/>
      <c r="T34" s="87"/>
      <c r="U34" s="87"/>
      <c r="V34" s="87">
        <v>0.85</v>
      </c>
      <c r="W34" s="87"/>
      <c r="X34" s="87">
        <v>0.8</v>
      </c>
      <c r="Y34" s="87"/>
      <c r="Z34" s="87">
        <v>0.5</v>
      </c>
      <c r="AA34" s="87"/>
      <c r="AB34" s="87">
        <v>0.9</v>
      </c>
      <c r="AC34" s="87"/>
      <c r="AD34" s="87">
        <v>0.8</v>
      </c>
      <c r="AE34" s="87">
        <v>0.6</v>
      </c>
      <c r="AF34" s="87"/>
      <c r="AG34" s="46">
        <f t="shared" si="0"/>
        <v>9.35</v>
      </c>
      <c r="AH34" s="48"/>
      <c r="AI34" s="48"/>
    </row>
    <row r="35" spans="1:35" s="44" customFormat="1" ht="18.75" customHeight="1" x14ac:dyDescent="0.35">
      <c r="A35" s="79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46">
        <f t="shared" si="0"/>
        <v>0</v>
      </c>
      <c r="AH35" s="48"/>
      <c r="AI35" s="48"/>
    </row>
    <row r="36" spans="1:35" s="44" customFormat="1" ht="18.75" customHeight="1" x14ac:dyDescent="0.35">
      <c r="A36" s="79" t="s">
        <v>80</v>
      </c>
      <c r="B36" s="88">
        <v>4.5</v>
      </c>
      <c r="C36" s="88">
        <v>3</v>
      </c>
      <c r="D36" s="88">
        <v>2.9</v>
      </c>
      <c r="E36" s="88">
        <v>4.7</v>
      </c>
      <c r="F36" s="88">
        <v>3.9</v>
      </c>
      <c r="G36" s="88">
        <v>6.2</v>
      </c>
      <c r="H36" s="88">
        <v>8.5</v>
      </c>
      <c r="I36" s="88">
        <v>1.1000000000000001</v>
      </c>
      <c r="J36" s="88">
        <v>7.2</v>
      </c>
      <c r="K36" s="88">
        <v>6.1</v>
      </c>
      <c r="L36" s="88">
        <v>9.4</v>
      </c>
      <c r="M36" s="88">
        <v>1.4</v>
      </c>
      <c r="N36" s="88">
        <v>2.2000000000000002</v>
      </c>
      <c r="O36" s="88">
        <v>9.4</v>
      </c>
      <c r="P36" s="88">
        <v>7.3</v>
      </c>
      <c r="Q36" s="88">
        <v>7.4</v>
      </c>
      <c r="R36" s="88">
        <v>8.3000000000000007</v>
      </c>
      <c r="S36" s="88">
        <v>3.2</v>
      </c>
      <c r="T36" s="88">
        <v>2.9</v>
      </c>
      <c r="U36" s="88">
        <v>3.6</v>
      </c>
      <c r="V36" s="88">
        <v>2.4</v>
      </c>
      <c r="W36" s="88">
        <v>9.4</v>
      </c>
      <c r="X36" s="88">
        <v>1.4</v>
      </c>
      <c r="Y36" s="88">
        <v>3.4</v>
      </c>
      <c r="Z36" s="88">
        <v>6.3</v>
      </c>
      <c r="AA36" s="88">
        <v>3.1</v>
      </c>
      <c r="AB36" s="88">
        <v>1</v>
      </c>
      <c r="AC36" s="88">
        <v>4.3</v>
      </c>
      <c r="AD36" s="88">
        <v>1.1000000000000001</v>
      </c>
      <c r="AE36" s="88">
        <v>0.6</v>
      </c>
      <c r="AF36" s="88"/>
      <c r="AG36" s="46">
        <f t="shared" si="0"/>
        <v>136.20000000000005</v>
      </c>
      <c r="AH36" s="48"/>
      <c r="AI36" s="48"/>
    </row>
    <row r="37" spans="1:35" s="44" customFormat="1" ht="18.75" customHeight="1" x14ac:dyDescent="0.35">
      <c r="A37" s="79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46">
        <f t="shared" si="0"/>
        <v>0</v>
      </c>
      <c r="AH37" s="48"/>
      <c r="AI37" s="48"/>
    </row>
    <row r="38" spans="1:35" s="44" customFormat="1" ht="18.75" customHeight="1" x14ac:dyDescent="0.35">
      <c r="A38" s="79" t="s">
        <v>81</v>
      </c>
      <c r="B38" s="88"/>
      <c r="C38" s="88"/>
      <c r="D38" s="88"/>
      <c r="E38" s="88"/>
      <c r="F38" s="88"/>
      <c r="G38" s="88">
        <f>2.3+2.5+1</f>
        <v>5.8</v>
      </c>
      <c r="H38" s="88">
        <v>1.5</v>
      </c>
      <c r="I38" s="88">
        <v>1.5</v>
      </c>
      <c r="J38" s="88">
        <v>2.1</v>
      </c>
      <c r="K38" s="88"/>
      <c r="L38" s="88"/>
      <c r="M38" s="88"/>
      <c r="N38" s="88"/>
      <c r="O38" s="88">
        <v>3</v>
      </c>
      <c r="P38" s="88"/>
      <c r="Q38" s="88"/>
      <c r="R38" s="88"/>
      <c r="S38" s="88"/>
      <c r="T38" s="88"/>
      <c r="U38" s="88"/>
      <c r="V38" s="88"/>
      <c r="W38" s="88"/>
      <c r="X38" s="88"/>
      <c r="Y38" s="88">
        <v>4.2</v>
      </c>
      <c r="Z38" s="88">
        <v>1</v>
      </c>
      <c r="AA38" s="88"/>
      <c r="AB38" s="88">
        <f>3.1+2.5</f>
        <v>5.6</v>
      </c>
      <c r="AC38" s="88"/>
      <c r="AD38" s="88">
        <f>3.4+2.9</f>
        <v>6.3</v>
      </c>
      <c r="AE38" s="88"/>
      <c r="AF38" s="88"/>
      <c r="AG38" s="46">
        <f t="shared" si="0"/>
        <v>31.000000000000004</v>
      </c>
      <c r="AH38" s="48"/>
      <c r="AI38" s="48"/>
    </row>
    <row r="39" spans="1:35" s="44" customFormat="1" ht="18.75" customHeight="1" x14ac:dyDescent="0.35">
      <c r="A39" s="79" t="s">
        <v>86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46">
        <f t="shared" si="0"/>
        <v>0</v>
      </c>
      <c r="AH39" s="48"/>
      <c r="AI39" s="48"/>
    </row>
    <row r="40" spans="1:35" s="44" customFormat="1" ht="18.75" customHeight="1" x14ac:dyDescent="0.35">
      <c r="A40" s="79" t="s">
        <v>82</v>
      </c>
      <c r="B40" s="88">
        <v>0.6</v>
      </c>
      <c r="C40" s="88">
        <v>0.7</v>
      </c>
      <c r="D40" s="88">
        <v>1.6</v>
      </c>
      <c r="E40" s="88">
        <v>2.6</v>
      </c>
      <c r="F40" s="88">
        <v>2</v>
      </c>
      <c r="G40" s="88">
        <v>3.6</v>
      </c>
      <c r="H40" s="88">
        <v>7.6</v>
      </c>
      <c r="I40" s="88">
        <v>4.4000000000000004</v>
      </c>
      <c r="J40" s="88">
        <v>7.6</v>
      </c>
      <c r="K40" s="88">
        <v>8.6</v>
      </c>
      <c r="L40" s="88">
        <v>4.8</v>
      </c>
      <c r="M40" s="88">
        <v>3.6</v>
      </c>
      <c r="N40" s="88">
        <v>2.9</v>
      </c>
      <c r="O40" s="88">
        <v>2.8</v>
      </c>
      <c r="P40" s="88">
        <v>3.6</v>
      </c>
      <c r="Q40" s="88">
        <v>4.4000000000000004</v>
      </c>
      <c r="R40" s="88">
        <v>1.8</v>
      </c>
      <c r="S40" s="88">
        <v>1.7</v>
      </c>
      <c r="T40" s="88">
        <v>1.9</v>
      </c>
      <c r="U40" s="88">
        <v>3.6</v>
      </c>
      <c r="V40" s="88">
        <v>33.4</v>
      </c>
      <c r="W40" s="88">
        <v>5.6</v>
      </c>
      <c r="X40" s="88">
        <v>7</v>
      </c>
      <c r="Y40" s="88">
        <v>8.6</v>
      </c>
      <c r="Z40" s="88">
        <v>3.6</v>
      </c>
      <c r="AA40" s="88">
        <v>5.6</v>
      </c>
      <c r="AB40" s="88">
        <v>7.6</v>
      </c>
      <c r="AC40" s="88">
        <v>7.7</v>
      </c>
      <c r="AD40" s="88">
        <v>7.6</v>
      </c>
      <c r="AE40" s="88">
        <v>7.6</v>
      </c>
      <c r="AF40" s="88"/>
      <c r="AG40" s="46">
        <f t="shared" si="0"/>
        <v>164.69999999999993</v>
      </c>
      <c r="AH40" s="48"/>
      <c r="AI40" s="48"/>
    </row>
    <row r="41" spans="1:35" s="44" customFormat="1" ht="18.75" customHeight="1" x14ac:dyDescent="0.35">
      <c r="A41" s="59" t="s">
        <v>155</v>
      </c>
      <c r="B41" s="87">
        <f>SUM(B3:B40)</f>
        <v>20</v>
      </c>
      <c r="C41" s="87">
        <f t="shared" ref="C41:AF41" si="1">SUM(C3:C40)</f>
        <v>21.7</v>
      </c>
      <c r="D41" s="87">
        <f t="shared" si="1"/>
        <v>27.3</v>
      </c>
      <c r="E41" s="87">
        <f t="shared" si="1"/>
        <v>26.099999999999998</v>
      </c>
      <c r="F41" s="87">
        <f t="shared" si="1"/>
        <v>29.799999999999997</v>
      </c>
      <c r="G41" s="87">
        <f t="shared" si="1"/>
        <v>38.4</v>
      </c>
      <c r="H41" s="87">
        <f t="shared" si="1"/>
        <v>46.4</v>
      </c>
      <c r="I41" s="87">
        <f t="shared" si="1"/>
        <v>17</v>
      </c>
      <c r="J41" s="87">
        <f t="shared" si="1"/>
        <v>37</v>
      </c>
      <c r="K41" s="87">
        <f t="shared" si="1"/>
        <v>35.9</v>
      </c>
      <c r="L41" s="87">
        <f t="shared" si="1"/>
        <v>37.4</v>
      </c>
      <c r="M41" s="87">
        <f t="shared" si="1"/>
        <v>34.199999999999996</v>
      </c>
      <c r="N41" s="87">
        <f t="shared" si="1"/>
        <v>26.7</v>
      </c>
      <c r="O41" s="87">
        <f t="shared" si="1"/>
        <v>40.599999999999994</v>
      </c>
      <c r="P41" s="87">
        <f t="shared" si="1"/>
        <v>23.700000000000003</v>
      </c>
      <c r="Q41" s="87">
        <f t="shared" si="1"/>
        <v>35.799999999999997</v>
      </c>
      <c r="R41" s="87">
        <f t="shared" si="1"/>
        <v>34.299999999999997</v>
      </c>
      <c r="S41" s="87">
        <f t="shared" si="1"/>
        <v>22</v>
      </c>
      <c r="T41" s="87">
        <f t="shared" si="1"/>
        <v>26.799999999999997</v>
      </c>
      <c r="U41" s="87">
        <f t="shared" si="1"/>
        <v>26.900000000000002</v>
      </c>
      <c r="V41" s="87">
        <f t="shared" si="1"/>
        <v>61.95</v>
      </c>
      <c r="W41" s="87">
        <f t="shared" si="1"/>
        <v>34.4</v>
      </c>
      <c r="X41" s="87">
        <f t="shared" si="1"/>
        <v>26.1</v>
      </c>
      <c r="Y41" s="87">
        <f t="shared" si="1"/>
        <v>36.4</v>
      </c>
      <c r="Z41" s="87">
        <f t="shared" si="1"/>
        <v>37.599999999999994</v>
      </c>
      <c r="AA41" s="87">
        <f t="shared" si="1"/>
        <v>30.700000000000003</v>
      </c>
      <c r="AB41" s="87">
        <f t="shared" si="1"/>
        <v>30.799999999999997</v>
      </c>
      <c r="AC41" s="87">
        <f t="shared" si="1"/>
        <v>25.8</v>
      </c>
      <c r="AD41" s="87">
        <f t="shared" si="1"/>
        <v>28.4</v>
      </c>
      <c r="AE41" s="87">
        <f t="shared" si="1"/>
        <v>36.4</v>
      </c>
      <c r="AF41" s="87">
        <f t="shared" si="1"/>
        <v>0</v>
      </c>
      <c r="AG41" s="56">
        <f>SUM(B41:AF41)</f>
        <v>956.54999999999973</v>
      </c>
      <c r="AH41" s="57"/>
      <c r="AI41" s="57"/>
    </row>
    <row r="42" spans="1:35" s="2" customFormat="1" x14ac:dyDescent="0.25">
      <c r="AG42" s="24">
        <f>SUM(AG3:AG40)</f>
        <v>956.55</v>
      </c>
    </row>
    <row r="43" spans="1:35" s="2" customFormat="1" x14ac:dyDescent="0.25"/>
    <row r="44" spans="1:35" s="2" customFormat="1" x14ac:dyDescent="0.25"/>
    <row r="45" spans="1:35" s="2" customFormat="1" x14ac:dyDescent="0.25"/>
    <row r="46" spans="1:35" s="2" customFormat="1" x14ac:dyDescent="0.25"/>
    <row r="47" spans="1:35" s="2" customFormat="1" x14ac:dyDescent="0.25"/>
    <row r="48" spans="1:35" s="2" customFormat="1" x14ac:dyDescent="0.25"/>
    <row r="49" s="2" customFormat="1" x14ac:dyDescent="0.25"/>
    <row r="50" s="2" customFormat="1" x14ac:dyDescent="0.25"/>
    <row r="51" s="2" customFormat="1" x14ac:dyDescent="0.25"/>
  </sheetData>
  <mergeCells count="1">
    <mergeCell ref="A1:AG1"/>
  </mergeCells>
  <pageMargins left="0.7" right="0.7" top="0.75" bottom="0.75" header="0.3" footer="0.3"/>
  <pageSetup orientation="portrait" horizontalDpi="0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2"/>
  <sheetViews>
    <sheetView workbookViewId="0">
      <selection sqref="A1:AG1"/>
    </sheetView>
  </sheetViews>
  <sheetFormatPr baseColWidth="10" defaultRowHeight="15" x14ac:dyDescent="0.25"/>
  <cols>
    <col min="1" max="1" width="65" customWidth="1"/>
    <col min="2" max="32" width="6.570312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>
        <v>2</v>
      </c>
      <c r="C4" s="85">
        <v>0.1</v>
      </c>
      <c r="D4" s="85">
        <v>0.8</v>
      </c>
      <c r="E4" s="85">
        <v>2</v>
      </c>
      <c r="F4" s="85"/>
      <c r="G4" s="85"/>
      <c r="H4" s="85">
        <v>0.9</v>
      </c>
      <c r="I4" s="86">
        <v>0</v>
      </c>
      <c r="J4" s="85">
        <v>2.8</v>
      </c>
      <c r="K4" s="86">
        <v>3.1</v>
      </c>
      <c r="L4" s="85">
        <v>2.4</v>
      </c>
      <c r="M4" s="86"/>
      <c r="N4" s="85"/>
      <c r="O4" s="85"/>
      <c r="P4" s="86">
        <v>2.8</v>
      </c>
      <c r="Q4" s="85">
        <v>1.9</v>
      </c>
      <c r="R4" s="85">
        <v>0.4</v>
      </c>
      <c r="S4" s="86"/>
      <c r="T4" s="86"/>
      <c r="U4" s="86"/>
      <c r="V4" s="86"/>
      <c r="W4" s="85">
        <v>0.4</v>
      </c>
      <c r="X4" s="85">
        <v>1</v>
      </c>
      <c r="Y4" s="85">
        <v>0.8</v>
      </c>
      <c r="Z4" s="85">
        <v>0.7</v>
      </c>
      <c r="AA4" s="85"/>
      <c r="AB4" s="85"/>
      <c r="AC4" s="85"/>
      <c r="AD4" s="85">
        <v>3</v>
      </c>
      <c r="AE4" s="85">
        <v>2.9</v>
      </c>
      <c r="AF4" s="85">
        <v>2.1</v>
      </c>
      <c r="AG4" s="103">
        <f t="shared" ref="AG4:AG40" si="0">SUM(B4:AF4)</f>
        <v>30.099999999999998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87">
        <v>4</v>
      </c>
      <c r="C9" s="87">
        <v>3.5</v>
      </c>
      <c r="D9" s="87">
        <v>2.8</v>
      </c>
      <c r="E9" s="87">
        <v>2.5</v>
      </c>
      <c r="F9" s="87">
        <v>3</v>
      </c>
      <c r="G9" s="87">
        <v>3.2</v>
      </c>
      <c r="H9" s="87">
        <v>3.8</v>
      </c>
      <c r="I9" s="87">
        <v>4</v>
      </c>
      <c r="J9" s="87">
        <v>5</v>
      </c>
      <c r="K9" s="87">
        <v>3</v>
      </c>
      <c r="L9" s="87">
        <v>2.9</v>
      </c>
      <c r="M9" s="87">
        <v>5.5</v>
      </c>
      <c r="N9" s="87">
        <v>3.7</v>
      </c>
      <c r="O9" s="87">
        <v>3</v>
      </c>
      <c r="P9" s="87">
        <v>2.8</v>
      </c>
      <c r="Q9" s="87">
        <v>3</v>
      </c>
      <c r="R9" s="87">
        <v>5</v>
      </c>
      <c r="S9" s="87">
        <v>3.7</v>
      </c>
      <c r="T9" s="87">
        <v>2.9</v>
      </c>
      <c r="U9" s="87">
        <v>3.2</v>
      </c>
      <c r="V9" s="87">
        <v>4.3</v>
      </c>
      <c r="W9" s="87">
        <v>3.5</v>
      </c>
      <c r="X9" s="87">
        <v>3.2</v>
      </c>
      <c r="Y9" s="87">
        <v>2.8</v>
      </c>
      <c r="Z9" s="87">
        <v>4</v>
      </c>
      <c r="AA9" s="87">
        <v>3.5</v>
      </c>
      <c r="AB9" s="87">
        <v>2.6</v>
      </c>
      <c r="AC9" s="87">
        <v>2.8</v>
      </c>
      <c r="AD9" s="87">
        <v>4.3</v>
      </c>
      <c r="AE9" s="87">
        <v>3.6</v>
      </c>
      <c r="AF9" s="87">
        <v>2.9</v>
      </c>
      <c r="AG9" s="103">
        <f t="shared" si="0"/>
        <v>107.99999999999999</v>
      </c>
      <c r="AH9" s="48"/>
      <c r="AI9" s="48"/>
    </row>
    <row r="10" spans="1:35" s="44" customFormat="1" ht="18.75" customHeight="1" x14ac:dyDescent="0.35">
      <c r="A10" s="60" t="s">
        <v>66</v>
      </c>
      <c r="B10" s="87">
        <v>4.2</v>
      </c>
      <c r="C10" s="87">
        <v>3.1</v>
      </c>
      <c r="D10" s="87">
        <v>2.1</v>
      </c>
      <c r="E10" s="87">
        <v>5.2</v>
      </c>
      <c r="F10" s="87">
        <v>6.3</v>
      </c>
      <c r="G10" s="87">
        <v>4.0999999999999996</v>
      </c>
      <c r="H10" s="87">
        <v>3.1</v>
      </c>
      <c r="I10" s="87"/>
      <c r="J10" s="87">
        <v>2.1</v>
      </c>
      <c r="K10" s="87">
        <v>3.1</v>
      </c>
      <c r="L10" s="87">
        <v>4.2</v>
      </c>
      <c r="M10" s="87">
        <v>6.3</v>
      </c>
      <c r="N10" s="87">
        <v>8.4</v>
      </c>
      <c r="O10" s="87">
        <v>2.1</v>
      </c>
      <c r="P10" s="87">
        <v>4.2</v>
      </c>
      <c r="Q10" s="87">
        <v>3.1</v>
      </c>
      <c r="R10" s="87">
        <v>5.2</v>
      </c>
      <c r="S10" s="87">
        <v>3.1</v>
      </c>
      <c r="T10" s="87">
        <v>4.2</v>
      </c>
      <c r="U10" s="87">
        <v>6.3</v>
      </c>
      <c r="V10" s="87">
        <v>5.3</v>
      </c>
      <c r="W10" s="87">
        <v>4.2</v>
      </c>
      <c r="X10" s="87">
        <v>2.1</v>
      </c>
      <c r="Y10" s="87">
        <v>1.1000000000000001</v>
      </c>
      <c r="Z10" s="87">
        <v>8.3000000000000007</v>
      </c>
      <c r="AA10" s="87">
        <v>3.2</v>
      </c>
      <c r="AB10" s="87">
        <v>4.2</v>
      </c>
      <c r="AC10" s="87">
        <v>3.1</v>
      </c>
      <c r="AD10" s="87">
        <v>6.2</v>
      </c>
      <c r="AE10" s="87">
        <v>7.3</v>
      </c>
      <c r="AF10" s="87">
        <v>2.2000000000000002</v>
      </c>
      <c r="AG10" s="103">
        <f t="shared" si="0"/>
        <v>127.6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1.1000000000000001</v>
      </c>
      <c r="C11" s="87">
        <v>1.8</v>
      </c>
      <c r="D11" s="87">
        <v>1.8</v>
      </c>
      <c r="E11" s="87">
        <v>1.3</v>
      </c>
      <c r="F11" s="87">
        <v>1.1000000000000001</v>
      </c>
      <c r="G11" s="87">
        <v>1.1000000000000001</v>
      </c>
      <c r="H11" s="87">
        <v>1.9</v>
      </c>
      <c r="I11" s="87">
        <v>1.9</v>
      </c>
      <c r="J11" s="87">
        <v>1.1000000000000001</v>
      </c>
      <c r="K11" s="87">
        <v>1</v>
      </c>
      <c r="L11" s="87">
        <v>1.5</v>
      </c>
      <c r="M11" s="87">
        <v>2.2999999999999998</v>
      </c>
      <c r="N11" s="87">
        <v>1.7</v>
      </c>
      <c r="O11" s="87">
        <v>1.4</v>
      </c>
      <c r="P11" s="87">
        <v>1.1000000000000001</v>
      </c>
      <c r="Q11" s="87">
        <v>1</v>
      </c>
      <c r="R11" s="87">
        <v>1.3</v>
      </c>
      <c r="S11" s="87">
        <v>1</v>
      </c>
      <c r="T11" s="87">
        <v>1.2</v>
      </c>
      <c r="U11" s="87">
        <v>1.3</v>
      </c>
      <c r="V11" s="87">
        <v>1</v>
      </c>
      <c r="W11" s="87">
        <v>1.5</v>
      </c>
      <c r="X11" s="87">
        <v>1.4</v>
      </c>
      <c r="Y11" s="87">
        <v>1.1000000000000001</v>
      </c>
      <c r="Z11" s="87">
        <v>1.4</v>
      </c>
      <c r="AA11" s="87">
        <v>1.3</v>
      </c>
      <c r="AB11" s="87">
        <v>1</v>
      </c>
      <c r="AC11" s="87">
        <v>1.1000000000000001</v>
      </c>
      <c r="AD11" s="87">
        <v>0.9</v>
      </c>
      <c r="AE11" s="87">
        <v>0.8</v>
      </c>
      <c r="AF11" s="87">
        <v>0.9</v>
      </c>
      <c r="AG11" s="103">
        <f t="shared" si="0"/>
        <v>40.29999999999999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/>
      <c r="C16" s="87">
        <v>1.9</v>
      </c>
      <c r="D16" s="87"/>
      <c r="E16" s="87"/>
      <c r="F16" s="87"/>
      <c r="G16" s="87"/>
      <c r="H16" s="87"/>
      <c r="I16" s="87"/>
      <c r="J16" s="87"/>
      <c r="K16" s="87"/>
      <c r="L16" s="87">
        <v>0.9</v>
      </c>
      <c r="M16" s="87">
        <v>1.2</v>
      </c>
      <c r="N16" s="87">
        <v>2.5</v>
      </c>
      <c r="O16" s="87"/>
      <c r="P16" s="87"/>
      <c r="Q16" s="87">
        <v>3.1</v>
      </c>
      <c r="R16" s="87">
        <v>2.2999999999999998</v>
      </c>
      <c r="S16" s="87">
        <v>4.5</v>
      </c>
      <c r="T16" s="87">
        <v>3.5</v>
      </c>
      <c r="U16" s="87">
        <v>2.2999999999999998</v>
      </c>
      <c r="V16" s="87"/>
      <c r="W16" s="87">
        <v>4.0999999999999996</v>
      </c>
      <c r="X16" s="87"/>
      <c r="Y16" s="87">
        <v>3.5</v>
      </c>
      <c r="Z16" s="87"/>
      <c r="AA16" s="87">
        <v>2.9</v>
      </c>
      <c r="AB16" s="87">
        <v>2.2999999999999998</v>
      </c>
      <c r="AC16" s="87">
        <v>1.9</v>
      </c>
      <c r="AD16" s="87">
        <v>2.5</v>
      </c>
      <c r="AE16" s="87"/>
      <c r="AF16" s="87">
        <v>0.7</v>
      </c>
      <c r="AG16" s="103">
        <f t="shared" si="0"/>
        <v>40.099999999999994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>
        <v>3</v>
      </c>
      <c r="C19" s="66"/>
      <c r="D19" s="66">
        <v>4.5</v>
      </c>
      <c r="E19" s="66">
        <v>4.2</v>
      </c>
      <c r="F19" s="66"/>
      <c r="G19" s="66">
        <v>4</v>
      </c>
      <c r="H19" s="66"/>
      <c r="I19" s="66">
        <v>3.8</v>
      </c>
      <c r="J19" s="66"/>
      <c r="K19" s="66">
        <v>3.8</v>
      </c>
      <c r="L19" s="66">
        <v>3.3</v>
      </c>
      <c r="M19" s="66"/>
      <c r="N19" s="66">
        <v>4.7</v>
      </c>
      <c r="O19" s="66"/>
      <c r="P19" s="66">
        <v>4</v>
      </c>
      <c r="Q19" s="66"/>
      <c r="R19" s="66">
        <v>3.8</v>
      </c>
      <c r="S19" s="66"/>
      <c r="T19" s="66">
        <v>3.3</v>
      </c>
      <c r="U19" s="66">
        <v>4.9000000000000004</v>
      </c>
      <c r="V19" s="66">
        <v>2.1</v>
      </c>
      <c r="W19" s="66"/>
      <c r="X19" s="66">
        <v>3.5</v>
      </c>
      <c r="Y19" s="66"/>
      <c r="Z19" s="66">
        <v>4.4000000000000004</v>
      </c>
      <c r="AA19" s="66">
        <v>2.8</v>
      </c>
      <c r="AB19" s="66"/>
      <c r="AC19" s="66">
        <v>4.0999999999999996</v>
      </c>
      <c r="AD19" s="66"/>
      <c r="AE19" s="66">
        <v>3.9</v>
      </c>
      <c r="AF19" s="66">
        <v>4</v>
      </c>
      <c r="AG19" s="103">
        <f t="shared" si="0"/>
        <v>72.099999999999994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/>
      <c r="C23" s="87">
        <v>2</v>
      </c>
      <c r="D23" s="87"/>
      <c r="E23" s="87"/>
      <c r="F23" s="87"/>
      <c r="G23" s="87"/>
      <c r="H23" s="87"/>
      <c r="I23" s="87"/>
      <c r="J23" s="87">
        <v>1.7</v>
      </c>
      <c r="K23" s="87"/>
      <c r="L23" s="87"/>
      <c r="M23" s="87"/>
      <c r="N23" s="87"/>
      <c r="O23" s="87"/>
      <c r="P23" s="87"/>
      <c r="Q23" s="87">
        <v>1.8</v>
      </c>
      <c r="R23" s="87"/>
      <c r="S23" s="87"/>
      <c r="T23" s="87"/>
      <c r="U23" s="87"/>
      <c r="V23" s="87"/>
      <c r="W23" s="87"/>
      <c r="X23" s="87">
        <v>1.6</v>
      </c>
      <c r="Y23" s="88"/>
      <c r="Z23" s="88"/>
      <c r="AA23" s="88"/>
      <c r="AB23" s="88"/>
      <c r="AC23" s="88"/>
      <c r="AD23" s="88"/>
      <c r="AE23" s="88">
        <v>1.2</v>
      </c>
      <c r="AF23" s="88"/>
      <c r="AG23" s="103">
        <f t="shared" si="0"/>
        <v>8.2999999999999989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0.2</v>
      </c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>
        <v>0.3</v>
      </c>
      <c r="N24" s="87"/>
      <c r="O24" s="87"/>
      <c r="P24" s="87"/>
      <c r="Q24" s="87"/>
      <c r="R24" s="87"/>
      <c r="S24" s="87"/>
      <c r="T24" s="87"/>
      <c r="U24" s="87"/>
      <c r="V24" s="87"/>
      <c r="W24" s="87">
        <v>2.2999999999999998</v>
      </c>
      <c r="X24" s="87"/>
      <c r="Y24" s="87"/>
      <c r="Z24" s="87">
        <v>0.1</v>
      </c>
      <c r="AA24" s="87"/>
      <c r="AB24" s="87"/>
      <c r="AC24" s="87"/>
      <c r="AD24" s="87"/>
      <c r="AE24" s="87"/>
      <c r="AF24" s="87"/>
      <c r="AG24" s="103">
        <f t="shared" si="0"/>
        <v>2.9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/>
      <c r="C26" s="87"/>
      <c r="D26" s="87"/>
      <c r="E26" s="87"/>
      <c r="F26" s="87">
        <v>3</v>
      </c>
      <c r="G26" s="87"/>
      <c r="H26" s="87"/>
      <c r="I26" s="87"/>
      <c r="J26" s="87"/>
      <c r="K26" s="87"/>
      <c r="L26" s="87"/>
      <c r="M26" s="87">
        <v>4.5</v>
      </c>
      <c r="N26" s="87"/>
      <c r="O26" s="87"/>
      <c r="P26" s="87"/>
      <c r="Q26" s="87"/>
      <c r="R26" s="87"/>
      <c r="S26" s="87"/>
      <c r="T26" s="87">
        <v>2.2999999999999998</v>
      </c>
      <c r="U26" s="87"/>
      <c r="V26" s="87"/>
      <c r="W26" s="87"/>
      <c r="X26" s="87"/>
      <c r="Y26" s="87"/>
      <c r="Z26" s="87"/>
      <c r="AA26" s="87">
        <v>3</v>
      </c>
      <c r="AB26" s="87"/>
      <c r="AC26" s="87"/>
      <c r="AD26" s="87"/>
      <c r="AE26" s="87"/>
      <c r="AF26" s="87"/>
      <c r="AG26" s="103">
        <f t="shared" si="0"/>
        <v>12.8</v>
      </c>
      <c r="AH26" s="48"/>
      <c r="AI26" s="48"/>
    </row>
    <row r="27" spans="1:35" s="44" customFormat="1" ht="18.75" customHeight="1" x14ac:dyDescent="0.35">
      <c r="A27" s="60" t="s">
        <v>73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103">
        <f t="shared" si="0"/>
        <v>0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103">
        <f t="shared" si="0"/>
        <v>0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v>3.3</v>
      </c>
      <c r="C29" s="87">
        <v>2.2999999999999998</v>
      </c>
      <c r="D29" s="87">
        <v>1.3</v>
      </c>
      <c r="E29" s="87">
        <v>5.9</v>
      </c>
      <c r="F29" s="87">
        <v>3.9</v>
      </c>
      <c r="G29" s="87">
        <v>3.9</v>
      </c>
      <c r="H29" s="87">
        <v>2.9</v>
      </c>
      <c r="I29" s="87">
        <v>3.9</v>
      </c>
      <c r="J29" s="87">
        <v>3</v>
      </c>
      <c r="K29" s="87">
        <v>2.9</v>
      </c>
      <c r="L29" s="87">
        <v>2.1</v>
      </c>
      <c r="M29" s="87">
        <v>2.4</v>
      </c>
      <c r="N29" s="87">
        <v>1.6</v>
      </c>
      <c r="O29" s="87">
        <v>1.8</v>
      </c>
      <c r="P29" s="87">
        <v>2.5</v>
      </c>
      <c r="Q29" s="87">
        <v>2.6</v>
      </c>
      <c r="R29" s="87">
        <v>2.8</v>
      </c>
      <c r="S29" s="87">
        <v>2.7</v>
      </c>
      <c r="T29" s="87">
        <v>2.5</v>
      </c>
      <c r="U29" s="87">
        <v>1.9</v>
      </c>
      <c r="V29" s="87">
        <v>1.7</v>
      </c>
      <c r="W29" s="87">
        <v>1.7</v>
      </c>
      <c r="X29" s="87">
        <v>2.2000000000000002</v>
      </c>
      <c r="Y29" s="87">
        <v>2.4</v>
      </c>
      <c r="Z29" s="87">
        <v>2.6</v>
      </c>
      <c r="AA29" s="87">
        <v>3</v>
      </c>
      <c r="AB29" s="87">
        <v>3.1</v>
      </c>
      <c r="AC29" s="87">
        <v>2.1</v>
      </c>
      <c r="AD29" s="87">
        <v>2.2999999999999998</v>
      </c>
      <c r="AE29" s="87">
        <v>2.4</v>
      </c>
      <c r="AF29" s="87">
        <v>3</v>
      </c>
      <c r="AG29" s="103">
        <f t="shared" si="0"/>
        <v>82.699999999999989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/>
      <c r="C31" s="87"/>
      <c r="D31" s="87"/>
      <c r="E31" s="87">
        <v>4.8</v>
      </c>
      <c r="F31" s="87"/>
      <c r="G31" s="87"/>
      <c r="H31" s="87"/>
      <c r="I31" s="87"/>
      <c r="J31" s="87"/>
      <c r="K31" s="87"/>
      <c r="L31" s="87">
        <v>5</v>
      </c>
      <c r="M31" s="87"/>
      <c r="N31" s="87"/>
      <c r="O31" s="87"/>
      <c r="P31" s="87"/>
      <c r="Q31" s="87"/>
      <c r="R31" s="87"/>
      <c r="S31" s="87">
        <v>4.5</v>
      </c>
      <c r="T31" s="87"/>
      <c r="U31" s="87"/>
      <c r="V31" s="87"/>
      <c r="W31" s="87"/>
      <c r="X31" s="87"/>
      <c r="Y31" s="87"/>
      <c r="Z31" s="87">
        <v>4</v>
      </c>
      <c r="AA31" s="87"/>
      <c r="AB31" s="87"/>
      <c r="AC31" s="87"/>
      <c r="AD31" s="87"/>
      <c r="AE31" s="87"/>
      <c r="AF31" s="87">
        <v>3</v>
      </c>
      <c r="AG31" s="103">
        <f t="shared" si="0"/>
        <v>21.3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87">
        <v>5</v>
      </c>
      <c r="C33" s="87">
        <v>4</v>
      </c>
      <c r="D33" s="87">
        <v>3</v>
      </c>
      <c r="E33" s="87">
        <v>1</v>
      </c>
      <c r="F33" s="87">
        <v>1</v>
      </c>
      <c r="G33" s="87">
        <v>1.2</v>
      </c>
      <c r="H33" s="87">
        <v>1.4</v>
      </c>
      <c r="I33" s="87">
        <v>2</v>
      </c>
      <c r="J33" s="87">
        <v>2.2000000000000002</v>
      </c>
      <c r="K33" s="87">
        <v>2.2999999999999998</v>
      </c>
      <c r="L33" s="87">
        <v>1</v>
      </c>
      <c r="M33" s="87">
        <v>2.2999999999999998</v>
      </c>
      <c r="N33" s="87">
        <v>1</v>
      </c>
      <c r="O33" s="87">
        <v>1.2</v>
      </c>
      <c r="P33" s="87">
        <v>1.7</v>
      </c>
      <c r="Q33" s="87">
        <v>2</v>
      </c>
      <c r="R33" s="87">
        <v>1</v>
      </c>
      <c r="S33" s="87">
        <v>2</v>
      </c>
      <c r="T33" s="87">
        <v>1.7</v>
      </c>
      <c r="U33" s="87">
        <v>1.2</v>
      </c>
      <c r="V33" s="87">
        <v>1.7</v>
      </c>
      <c r="W33" s="87">
        <v>1.7</v>
      </c>
      <c r="X33" s="87">
        <v>1.7</v>
      </c>
      <c r="Y33" s="87">
        <v>2</v>
      </c>
      <c r="Z33" s="87">
        <v>2</v>
      </c>
      <c r="AA33" s="87">
        <v>1</v>
      </c>
      <c r="AB33" s="87">
        <v>1.2</v>
      </c>
      <c r="AC33" s="87">
        <v>1.7</v>
      </c>
      <c r="AD33" s="87">
        <v>2</v>
      </c>
      <c r="AE33" s="87">
        <v>1</v>
      </c>
      <c r="AF33" s="87">
        <v>1</v>
      </c>
      <c r="AG33" s="103">
        <f t="shared" si="0"/>
        <v>55.200000000000017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>
        <v>4.5</v>
      </c>
      <c r="C36" s="88">
        <v>3.7</v>
      </c>
      <c r="D36" s="88">
        <v>2.1</v>
      </c>
      <c r="E36" s="88">
        <v>5.2</v>
      </c>
      <c r="F36" s="88">
        <v>6.3</v>
      </c>
      <c r="G36" s="88">
        <v>4.0999999999999996</v>
      </c>
      <c r="H36" s="88">
        <v>3.1</v>
      </c>
      <c r="I36" s="88"/>
      <c r="J36" s="87">
        <v>2.1</v>
      </c>
      <c r="K36" s="87">
        <v>3.1</v>
      </c>
      <c r="L36" s="87">
        <v>4.2</v>
      </c>
      <c r="M36" s="87">
        <v>6.3</v>
      </c>
      <c r="N36" s="87">
        <v>8.4</v>
      </c>
      <c r="O36" s="87">
        <v>2.1</v>
      </c>
      <c r="P36" s="87">
        <v>4.2</v>
      </c>
      <c r="Q36" s="87">
        <v>3.1</v>
      </c>
      <c r="R36" s="87">
        <v>5.2</v>
      </c>
      <c r="S36" s="87">
        <v>3.1</v>
      </c>
      <c r="T36" s="87">
        <v>4.2</v>
      </c>
      <c r="U36" s="87">
        <v>6.3</v>
      </c>
      <c r="V36" s="87">
        <v>5.3</v>
      </c>
      <c r="W36" s="87">
        <v>4.2</v>
      </c>
      <c r="X36" s="87">
        <v>2.1</v>
      </c>
      <c r="Y36" s="87">
        <v>1.1000000000000001</v>
      </c>
      <c r="Z36" s="87">
        <v>8.3000000000000007</v>
      </c>
      <c r="AA36" s="87">
        <v>3.2</v>
      </c>
      <c r="AB36" s="87">
        <v>4.2</v>
      </c>
      <c r="AC36" s="87">
        <v>3.1</v>
      </c>
      <c r="AD36" s="87">
        <v>6.2</v>
      </c>
      <c r="AE36" s="87">
        <v>7.3</v>
      </c>
      <c r="AF36" s="87">
        <v>2.2000000000000002</v>
      </c>
      <c r="AG36" s="103">
        <f t="shared" si="0"/>
        <v>128.49999999999997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88"/>
      <c r="C38" s="88"/>
      <c r="D38" s="88">
        <v>2</v>
      </c>
      <c r="E38" s="88"/>
      <c r="F38" s="88"/>
      <c r="G38" s="88">
        <v>0.4</v>
      </c>
      <c r="H38" s="88"/>
      <c r="I38" s="88"/>
      <c r="J38" s="88"/>
      <c r="K38" s="88">
        <v>1</v>
      </c>
      <c r="L38" s="88"/>
      <c r="M38" s="88"/>
      <c r="N38" s="88">
        <v>0.6</v>
      </c>
      <c r="O38" s="88"/>
      <c r="P38" s="88"/>
      <c r="Q38" s="88">
        <v>1</v>
      </c>
      <c r="R38" s="88"/>
      <c r="S38" s="88"/>
      <c r="T38" s="88">
        <v>3.4</v>
      </c>
      <c r="U38" s="88"/>
      <c r="V38" s="88"/>
      <c r="W38" s="88"/>
      <c r="X38" s="88">
        <v>5.0999999999999996</v>
      </c>
      <c r="Y38" s="88"/>
      <c r="Z38" s="88"/>
      <c r="AA38" s="88"/>
      <c r="AB38" s="88">
        <v>3.2</v>
      </c>
      <c r="AC38" s="88"/>
      <c r="AD38" s="88"/>
      <c r="AE38" s="88">
        <v>3.1</v>
      </c>
      <c r="AF38" s="88">
        <v>2.1</v>
      </c>
      <c r="AG38" s="103">
        <f t="shared" si="0"/>
        <v>21.900000000000002</v>
      </c>
      <c r="AH38" s="48"/>
      <c r="AI38" s="48"/>
    </row>
    <row r="39" spans="1:35" s="44" customFormat="1" ht="18.75" customHeight="1" x14ac:dyDescent="0.35">
      <c r="A39" s="60" t="s">
        <v>86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103">
        <f t="shared" si="0"/>
        <v>0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0</v>
      </c>
      <c r="AH40" s="48"/>
      <c r="AI40" s="48"/>
    </row>
    <row r="41" spans="1:35" s="44" customFormat="1" ht="18.75" customHeight="1" x14ac:dyDescent="0.35">
      <c r="A41" s="60" t="s">
        <v>178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103"/>
      <c r="AH41" s="48"/>
      <c r="AI41" s="48"/>
    </row>
    <row r="42" spans="1:35" s="44" customFormat="1" ht="18.75" customHeight="1" x14ac:dyDescent="0.35">
      <c r="A42" s="59" t="s">
        <v>155</v>
      </c>
      <c r="B42" s="87">
        <f>SUM(B4:B41)</f>
        <v>27.299999999999997</v>
      </c>
      <c r="C42" s="87">
        <f t="shared" ref="C42:AF42" si="1">SUM(C4:C41)</f>
        <v>22.4</v>
      </c>
      <c r="D42" s="87">
        <f t="shared" si="1"/>
        <v>20.400000000000002</v>
      </c>
      <c r="E42" s="87">
        <f t="shared" si="1"/>
        <v>32.1</v>
      </c>
      <c r="F42" s="87">
        <f t="shared" si="1"/>
        <v>24.6</v>
      </c>
      <c r="G42" s="87">
        <f t="shared" si="1"/>
        <v>22</v>
      </c>
      <c r="H42" s="87">
        <f t="shared" si="1"/>
        <v>17.100000000000001</v>
      </c>
      <c r="I42" s="87">
        <f t="shared" si="1"/>
        <v>15.6</v>
      </c>
      <c r="J42" s="87">
        <f t="shared" si="1"/>
        <v>20</v>
      </c>
      <c r="K42" s="87">
        <f t="shared" si="1"/>
        <v>23.3</v>
      </c>
      <c r="L42" s="87">
        <f t="shared" si="1"/>
        <v>27.5</v>
      </c>
      <c r="M42" s="87">
        <f t="shared" si="1"/>
        <v>31.1</v>
      </c>
      <c r="N42" s="87">
        <f t="shared" si="1"/>
        <v>32.6</v>
      </c>
      <c r="O42" s="87">
        <f t="shared" si="1"/>
        <v>11.6</v>
      </c>
      <c r="P42" s="87">
        <f t="shared" si="1"/>
        <v>23.299999999999997</v>
      </c>
      <c r="Q42" s="87">
        <f t="shared" si="1"/>
        <v>22.6</v>
      </c>
      <c r="R42" s="87">
        <f t="shared" si="1"/>
        <v>27.000000000000004</v>
      </c>
      <c r="S42" s="87">
        <f t="shared" si="1"/>
        <v>24.6</v>
      </c>
      <c r="T42" s="87">
        <f t="shared" si="1"/>
        <v>29.199999999999996</v>
      </c>
      <c r="U42" s="87">
        <f t="shared" si="1"/>
        <v>27.4</v>
      </c>
      <c r="V42" s="87">
        <f t="shared" si="1"/>
        <v>21.4</v>
      </c>
      <c r="W42" s="87">
        <f t="shared" si="1"/>
        <v>23.599999999999998</v>
      </c>
      <c r="X42" s="87">
        <f t="shared" si="1"/>
        <v>23.9</v>
      </c>
      <c r="Y42" s="87">
        <f t="shared" si="1"/>
        <v>14.799999999999999</v>
      </c>
      <c r="Z42" s="87">
        <f t="shared" si="1"/>
        <v>35.800000000000004</v>
      </c>
      <c r="AA42" s="87">
        <f t="shared" si="1"/>
        <v>23.9</v>
      </c>
      <c r="AB42" s="87">
        <f t="shared" si="1"/>
        <v>21.8</v>
      </c>
      <c r="AC42" s="87">
        <f t="shared" si="1"/>
        <v>19.900000000000002</v>
      </c>
      <c r="AD42" s="87">
        <f t="shared" si="1"/>
        <v>27.4</v>
      </c>
      <c r="AE42" s="87">
        <f t="shared" si="1"/>
        <v>33.5</v>
      </c>
      <c r="AF42" s="87">
        <f t="shared" si="1"/>
        <v>24.099999999999998</v>
      </c>
      <c r="AG42" s="105">
        <f>SUM(B42:AF42)</f>
        <v>751.79999999999984</v>
      </c>
      <c r="AH42" s="57"/>
      <c r="AI42" s="57"/>
    </row>
    <row r="43" spans="1:35" s="2" customFormat="1" x14ac:dyDescent="0.25">
      <c r="AG43" s="24">
        <f>SUM(AG3:AG40)</f>
        <v>751.80000000000007</v>
      </c>
    </row>
    <row r="44" spans="1:35" s="2" customFormat="1" x14ac:dyDescent="0.25"/>
    <row r="45" spans="1:35" s="2" customFormat="1" x14ac:dyDescent="0.25"/>
    <row r="46" spans="1:35" s="2" customFormat="1" x14ac:dyDescent="0.25"/>
    <row r="47" spans="1:35" s="2" customFormat="1" x14ac:dyDescent="0.25"/>
    <row r="48" spans="1:35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</sheetData>
  <mergeCells count="1">
    <mergeCell ref="A1:AG1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sqref="A1:AG1"/>
    </sheetView>
  </sheetViews>
  <sheetFormatPr baseColWidth="10" defaultRowHeight="15" x14ac:dyDescent="0.25"/>
  <cols>
    <col min="1" max="1" width="55.140625" customWidth="1"/>
    <col min="2" max="32" width="6.710937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>
        <v>0.9</v>
      </c>
      <c r="C4" s="85"/>
      <c r="D4" s="85"/>
      <c r="E4" s="85"/>
      <c r="F4" s="85">
        <v>0.8</v>
      </c>
      <c r="G4" s="85">
        <v>2.2000000000000002</v>
      </c>
      <c r="H4" s="85">
        <v>3.1</v>
      </c>
      <c r="I4" s="86">
        <v>2.7</v>
      </c>
      <c r="J4" s="85"/>
      <c r="K4" s="86"/>
      <c r="L4" s="85"/>
      <c r="M4" s="86">
        <v>1.7</v>
      </c>
      <c r="N4" s="85">
        <v>2.1</v>
      </c>
      <c r="O4" s="85">
        <v>0</v>
      </c>
      <c r="P4" s="86">
        <v>2.7</v>
      </c>
      <c r="Q4" s="85"/>
      <c r="R4" s="85"/>
      <c r="S4" s="86">
        <v>1.9</v>
      </c>
      <c r="T4" s="86">
        <v>1</v>
      </c>
      <c r="U4" s="86">
        <v>0.9</v>
      </c>
      <c r="V4" s="86">
        <v>0.7</v>
      </c>
      <c r="W4" s="85">
        <v>0</v>
      </c>
      <c r="X4" s="85"/>
      <c r="Y4" s="85"/>
      <c r="Z4" s="85">
        <v>2.9</v>
      </c>
      <c r="AA4" s="85">
        <v>2</v>
      </c>
      <c r="AB4" s="85">
        <v>2.8</v>
      </c>
      <c r="AC4" s="85">
        <v>2.5</v>
      </c>
      <c r="AD4" s="85">
        <v>0.9</v>
      </c>
      <c r="AE4" s="85"/>
      <c r="AF4" s="85"/>
      <c r="AG4" s="103">
        <f t="shared" ref="AG4:AG41" si="0">SUM(B4:AF4)</f>
        <v>31.799999999999994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87">
        <v>4.3</v>
      </c>
      <c r="C9" s="87">
        <v>5.0999999999999996</v>
      </c>
      <c r="D9" s="87">
        <v>3.9</v>
      </c>
      <c r="E9" s="87">
        <v>4.7</v>
      </c>
      <c r="F9" s="87">
        <v>5.2</v>
      </c>
      <c r="G9" s="87">
        <v>2.6</v>
      </c>
      <c r="H9" s="87">
        <v>3.1</v>
      </c>
      <c r="I9" s="87">
        <v>3</v>
      </c>
      <c r="J9" s="87">
        <v>4.2</v>
      </c>
      <c r="K9" s="87">
        <v>2.7</v>
      </c>
      <c r="L9" s="87">
        <v>6.5</v>
      </c>
      <c r="M9" s="87">
        <v>3.6</v>
      </c>
      <c r="N9" s="87">
        <v>4.8</v>
      </c>
      <c r="O9" s="87">
        <v>3.7</v>
      </c>
      <c r="P9" s="87">
        <v>3.9</v>
      </c>
      <c r="Q9" s="87">
        <v>3.2</v>
      </c>
      <c r="R9" s="87">
        <v>3.2</v>
      </c>
      <c r="S9" s="87">
        <v>4</v>
      </c>
      <c r="T9" s="87">
        <v>5.2</v>
      </c>
      <c r="U9" s="87">
        <v>3.9</v>
      </c>
      <c r="V9" s="87">
        <v>2.8</v>
      </c>
      <c r="W9" s="87">
        <v>4.7</v>
      </c>
      <c r="X9" s="87">
        <v>4</v>
      </c>
      <c r="Y9" s="87">
        <v>3.7</v>
      </c>
      <c r="Z9" s="87">
        <v>1</v>
      </c>
      <c r="AA9" s="87">
        <v>2.9</v>
      </c>
      <c r="AB9" s="87">
        <v>3.6</v>
      </c>
      <c r="AC9" s="87">
        <v>4.9000000000000004</v>
      </c>
      <c r="AD9" s="87">
        <v>3.7</v>
      </c>
      <c r="AE9" s="87">
        <v>4.5</v>
      </c>
      <c r="AF9" s="87"/>
      <c r="AG9" s="103">
        <f t="shared" si="0"/>
        <v>116.60000000000002</v>
      </c>
      <c r="AH9" s="48"/>
      <c r="AI9" s="48"/>
    </row>
    <row r="10" spans="1:35" s="44" customFormat="1" ht="18.75" customHeight="1" x14ac:dyDescent="0.35">
      <c r="A10" s="60" t="s">
        <v>66</v>
      </c>
      <c r="B10" s="87">
        <v>6.3</v>
      </c>
      <c r="C10" s="87">
        <v>4.0999999999999996</v>
      </c>
      <c r="D10" s="87"/>
      <c r="E10" s="87"/>
      <c r="F10" s="87">
        <v>2.1</v>
      </c>
      <c r="G10" s="87">
        <v>6.2</v>
      </c>
      <c r="H10" s="87">
        <v>5.2</v>
      </c>
      <c r="I10" s="87">
        <v>3.1</v>
      </c>
      <c r="J10" s="87">
        <v>4.0999999999999996</v>
      </c>
      <c r="K10" s="87">
        <v>1.2</v>
      </c>
      <c r="L10" s="87">
        <v>7.4</v>
      </c>
      <c r="M10" s="87">
        <v>2.2000000000000002</v>
      </c>
      <c r="N10" s="87">
        <v>3.1</v>
      </c>
      <c r="O10" s="87">
        <v>2.5</v>
      </c>
      <c r="P10" s="87">
        <v>2</v>
      </c>
      <c r="Q10" s="87">
        <v>6.3</v>
      </c>
      <c r="R10" s="87"/>
      <c r="S10" s="87">
        <v>7.2</v>
      </c>
      <c r="T10" s="87">
        <v>2.1</v>
      </c>
      <c r="U10" s="87">
        <v>4.0999999999999996</v>
      </c>
      <c r="V10" s="87">
        <v>3.1</v>
      </c>
      <c r="W10" s="87">
        <v>6.2</v>
      </c>
      <c r="X10" s="87">
        <v>5.0999999999999996</v>
      </c>
      <c r="Y10" s="87"/>
      <c r="Z10" s="87">
        <v>1.1000000000000001</v>
      </c>
      <c r="AA10" s="87">
        <v>4.2</v>
      </c>
      <c r="AB10" s="87">
        <v>3.3</v>
      </c>
      <c r="AC10" s="87">
        <v>2.2000000000000002</v>
      </c>
      <c r="AD10" s="87">
        <v>3.1</v>
      </c>
      <c r="AE10" s="87">
        <v>6.2</v>
      </c>
      <c r="AF10" s="87"/>
      <c r="AG10" s="103">
        <f t="shared" si="0"/>
        <v>103.69999999999999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0.8</v>
      </c>
      <c r="C11" s="87">
        <v>0.8</v>
      </c>
      <c r="D11" s="87">
        <v>0.9</v>
      </c>
      <c r="E11" s="87">
        <v>1.1000000000000001</v>
      </c>
      <c r="F11" s="87">
        <v>1.1000000000000001</v>
      </c>
      <c r="G11" s="87">
        <v>1</v>
      </c>
      <c r="H11" s="87">
        <v>0.8</v>
      </c>
      <c r="I11" s="87">
        <v>0.9</v>
      </c>
      <c r="J11" s="87">
        <v>1.1000000000000001</v>
      </c>
      <c r="K11" s="87">
        <v>1.5</v>
      </c>
      <c r="L11" s="87">
        <v>2.1</v>
      </c>
      <c r="M11" s="87">
        <v>1.3</v>
      </c>
      <c r="N11" s="87">
        <v>1.1000000000000001</v>
      </c>
      <c r="O11" s="87">
        <v>1</v>
      </c>
      <c r="P11" s="87">
        <v>1.1000000000000001</v>
      </c>
      <c r="Q11" s="87">
        <v>0.9</v>
      </c>
      <c r="R11" s="87">
        <v>1.1000000000000001</v>
      </c>
      <c r="S11" s="87">
        <v>0.9</v>
      </c>
      <c r="T11" s="87">
        <v>0.9</v>
      </c>
      <c r="U11" s="87">
        <v>1.4</v>
      </c>
      <c r="V11" s="87">
        <v>1.3</v>
      </c>
      <c r="W11" s="87">
        <v>2.1</v>
      </c>
      <c r="X11" s="87">
        <v>0.8</v>
      </c>
      <c r="Y11" s="87">
        <v>1.1000000000000001</v>
      </c>
      <c r="Z11" s="87">
        <v>1.3</v>
      </c>
      <c r="AA11" s="87">
        <v>2.1</v>
      </c>
      <c r="AB11" s="87">
        <v>2.1</v>
      </c>
      <c r="AC11" s="87">
        <v>1.2</v>
      </c>
      <c r="AD11" s="87">
        <v>1.1000000000000001</v>
      </c>
      <c r="AE11" s="87">
        <v>0.9</v>
      </c>
      <c r="AF11" s="87"/>
      <c r="AG11" s="103">
        <f t="shared" si="0"/>
        <v>35.800000000000004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/>
      <c r="C16" s="87"/>
      <c r="D16" s="87"/>
      <c r="E16" s="87" t="s">
        <v>182</v>
      </c>
      <c r="F16" s="87"/>
      <c r="G16" s="87"/>
      <c r="H16" s="87"/>
      <c r="I16" s="87"/>
      <c r="J16" s="87"/>
      <c r="K16" s="87">
        <v>0.3</v>
      </c>
      <c r="L16" s="87"/>
      <c r="M16" s="87"/>
      <c r="N16" s="87"/>
      <c r="O16" s="87">
        <v>0.9</v>
      </c>
      <c r="P16" s="87"/>
      <c r="Q16" s="87"/>
      <c r="R16" s="87"/>
      <c r="S16" s="87">
        <v>0.5</v>
      </c>
      <c r="T16" s="87"/>
      <c r="U16" s="87"/>
      <c r="V16" s="87"/>
      <c r="W16" s="87"/>
      <c r="X16" s="87">
        <v>0.9</v>
      </c>
      <c r="Y16" s="87"/>
      <c r="Z16" s="87"/>
      <c r="AA16" s="87">
        <v>0.3</v>
      </c>
      <c r="AB16" s="87"/>
      <c r="AC16" s="87"/>
      <c r="AD16" s="87"/>
      <c r="AE16" s="87">
        <v>0.5</v>
      </c>
      <c r="AF16" s="87"/>
      <c r="AG16" s="103">
        <f t="shared" si="0"/>
        <v>3.4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/>
      <c r="C23" s="87">
        <v>2.2999999999999998</v>
      </c>
      <c r="D23" s="87"/>
      <c r="E23" s="87"/>
      <c r="F23" s="87"/>
      <c r="G23" s="87"/>
      <c r="H23" s="87"/>
      <c r="I23" s="87"/>
      <c r="J23" s="87">
        <v>3</v>
      </c>
      <c r="K23" s="87"/>
      <c r="L23" s="87"/>
      <c r="M23" s="87"/>
      <c r="N23" s="87"/>
      <c r="O23" s="87"/>
      <c r="P23" s="87"/>
      <c r="Q23" s="87">
        <v>1.7</v>
      </c>
      <c r="R23" s="87"/>
      <c r="S23" s="87"/>
      <c r="T23" s="87"/>
      <c r="U23" s="87"/>
      <c r="V23" s="87"/>
      <c r="W23" s="87"/>
      <c r="X23" s="87"/>
      <c r="Y23" s="88"/>
      <c r="Z23" s="88"/>
      <c r="AA23" s="88">
        <v>2.6</v>
      </c>
      <c r="AB23" s="88"/>
      <c r="AC23" s="88"/>
      <c r="AD23" s="88"/>
      <c r="AE23" s="88">
        <v>2.9</v>
      </c>
      <c r="AF23" s="88"/>
      <c r="AG23" s="103">
        <f t="shared" si="0"/>
        <v>12.5</v>
      </c>
      <c r="AH23" s="48"/>
      <c r="AI23" s="48"/>
    </row>
    <row r="24" spans="1:35" s="44" customFormat="1" ht="18.75" customHeight="1" x14ac:dyDescent="0.35">
      <c r="A24" s="60" t="s">
        <v>72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103">
        <f t="shared" si="0"/>
        <v>0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/>
      <c r="C26" s="87"/>
      <c r="D26" s="87">
        <v>2.9</v>
      </c>
      <c r="E26" s="87"/>
      <c r="F26" s="87">
        <v>3</v>
      </c>
      <c r="G26" s="87"/>
      <c r="H26" s="87"/>
      <c r="I26" s="87"/>
      <c r="J26" s="87">
        <v>3</v>
      </c>
      <c r="K26" s="87"/>
      <c r="L26" s="87"/>
      <c r="M26" s="87">
        <v>4</v>
      </c>
      <c r="N26" s="87"/>
      <c r="O26" s="87"/>
      <c r="P26" s="87"/>
      <c r="Q26" s="87">
        <v>6</v>
      </c>
      <c r="R26" s="87"/>
      <c r="S26" s="87"/>
      <c r="T26" s="87">
        <v>1.9</v>
      </c>
      <c r="U26" s="87"/>
      <c r="V26" s="87">
        <v>2.4</v>
      </c>
      <c r="W26" s="87"/>
      <c r="X26" s="87">
        <v>5</v>
      </c>
      <c r="Y26" s="87"/>
      <c r="Z26" s="87"/>
      <c r="AA26" s="87">
        <v>3.2</v>
      </c>
      <c r="AB26" s="87"/>
      <c r="AC26" s="87"/>
      <c r="AD26" s="87"/>
      <c r="AE26" s="87">
        <v>4.7</v>
      </c>
      <c r="AF26" s="87"/>
      <c r="AG26" s="103">
        <f t="shared" si="0"/>
        <v>36.099999999999994</v>
      </c>
      <c r="AH26" s="48"/>
      <c r="AI26" s="48"/>
    </row>
    <row r="27" spans="1:35" s="44" customFormat="1" ht="18.75" customHeight="1" x14ac:dyDescent="0.35">
      <c r="A27" s="60" t="s">
        <v>73</v>
      </c>
      <c r="B27" s="87">
        <f>2.2/2</f>
        <v>1.1000000000000001</v>
      </c>
      <c r="C27" s="87"/>
      <c r="D27" s="87"/>
      <c r="E27" s="87"/>
      <c r="F27" s="87">
        <f>1.5/2</f>
        <v>0.75</v>
      </c>
      <c r="G27" s="87">
        <f>2.3/2</f>
        <v>1.1499999999999999</v>
      </c>
      <c r="H27" s="87">
        <f>4.2/2</f>
        <v>2.1</v>
      </c>
      <c r="I27" s="87">
        <v>0.5</v>
      </c>
      <c r="J27" s="87"/>
      <c r="K27" s="87"/>
      <c r="L27" s="87"/>
      <c r="M27" s="87">
        <f>1.5/2</f>
        <v>0.75</v>
      </c>
      <c r="N27" s="87">
        <v>1</v>
      </c>
      <c r="O27" s="87">
        <v>2</v>
      </c>
      <c r="P27" s="87">
        <f>2.3/2</f>
        <v>1.1499999999999999</v>
      </c>
      <c r="Q27" s="87"/>
      <c r="R27" s="87"/>
      <c r="S27" s="87">
        <f>1.6/2</f>
        <v>0.8</v>
      </c>
      <c r="T27" s="87">
        <v>0.5</v>
      </c>
      <c r="U27" s="87">
        <f>1.1/2</f>
        <v>0.55000000000000004</v>
      </c>
      <c r="V27" s="87">
        <f>1.3/2</f>
        <v>0.65</v>
      </c>
      <c r="W27" s="87">
        <v>1</v>
      </c>
      <c r="X27" s="87"/>
      <c r="Y27" s="87"/>
      <c r="Z27" s="87">
        <f>2.2/2</f>
        <v>1.1000000000000001</v>
      </c>
      <c r="AA27" s="87">
        <f>1.5/2</f>
        <v>0.75</v>
      </c>
      <c r="AB27" s="87">
        <f>1.6/2</f>
        <v>0.8</v>
      </c>
      <c r="AC27" s="87">
        <v>1</v>
      </c>
      <c r="AD27" s="87">
        <f>1.4/2</f>
        <v>0.7</v>
      </c>
      <c r="AE27" s="87">
        <f>2.5/2</f>
        <v>1.25</v>
      </c>
      <c r="AF27" s="87"/>
      <c r="AG27" s="103">
        <f t="shared" si="0"/>
        <v>19.600000000000001</v>
      </c>
      <c r="AH27" s="48"/>
      <c r="AI27" s="48"/>
    </row>
    <row r="28" spans="1:35" s="44" customFormat="1" ht="18.75" customHeight="1" x14ac:dyDescent="0.35">
      <c r="A28" s="60" t="s">
        <v>92</v>
      </c>
      <c r="B28" s="87">
        <f>2.2/2</f>
        <v>1.1000000000000001</v>
      </c>
      <c r="C28" s="87"/>
      <c r="D28" s="87"/>
      <c r="E28" s="87"/>
      <c r="F28" s="87">
        <f>1.5/2</f>
        <v>0.75</v>
      </c>
      <c r="G28" s="87">
        <f>2.3/2</f>
        <v>1.1499999999999999</v>
      </c>
      <c r="H28" s="87">
        <f>4.2/2</f>
        <v>2.1</v>
      </c>
      <c r="I28" s="87">
        <v>0.5</v>
      </c>
      <c r="J28" s="87"/>
      <c r="K28" s="87"/>
      <c r="L28" s="87"/>
      <c r="M28" s="87">
        <f>1.5/2</f>
        <v>0.75</v>
      </c>
      <c r="N28" s="87">
        <v>1</v>
      </c>
      <c r="O28" s="87">
        <v>2</v>
      </c>
      <c r="P28" s="87">
        <f>2.3/2</f>
        <v>1.1499999999999999</v>
      </c>
      <c r="Q28" s="87"/>
      <c r="R28" s="87"/>
      <c r="S28" s="87">
        <f>1.6/2</f>
        <v>0.8</v>
      </c>
      <c r="T28" s="87">
        <v>0.5</v>
      </c>
      <c r="U28" s="87">
        <f>1.1/2</f>
        <v>0.55000000000000004</v>
      </c>
      <c r="V28" s="87">
        <f>1.3/2</f>
        <v>0.65</v>
      </c>
      <c r="W28" s="87">
        <v>1</v>
      </c>
      <c r="X28" s="87"/>
      <c r="Y28" s="87"/>
      <c r="Z28" s="87">
        <f>2.2/2</f>
        <v>1.1000000000000001</v>
      </c>
      <c r="AA28" s="87">
        <f>1.5/2</f>
        <v>0.75</v>
      </c>
      <c r="AB28" s="87">
        <f>1.6/2</f>
        <v>0.8</v>
      </c>
      <c r="AC28" s="87">
        <v>1</v>
      </c>
      <c r="AD28" s="87">
        <f>1.4/2</f>
        <v>0.7</v>
      </c>
      <c r="AE28" s="87">
        <f>2.5/2</f>
        <v>1.25</v>
      </c>
      <c r="AF28" s="87"/>
      <c r="AG28" s="103">
        <f t="shared" si="0"/>
        <v>19.600000000000001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v>2.2000000000000002</v>
      </c>
      <c r="C29" s="87" t="s">
        <v>183</v>
      </c>
      <c r="D29" s="87">
        <v>3.2</v>
      </c>
      <c r="E29" s="87">
        <v>2.4</v>
      </c>
      <c r="F29" s="87">
        <v>3.2</v>
      </c>
      <c r="G29" s="87">
        <v>3</v>
      </c>
      <c r="H29" s="87">
        <v>2.2000000000000002</v>
      </c>
      <c r="I29" s="87">
        <v>3.1</v>
      </c>
      <c r="J29" s="87">
        <v>3</v>
      </c>
      <c r="K29" s="87">
        <v>2.2000000000000002</v>
      </c>
      <c r="L29" s="87">
        <v>3.1</v>
      </c>
      <c r="M29" s="87">
        <v>2.2999999999999998</v>
      </c>
      <c r="N29" s="87">
        <v>3.2</v>
      </c>
      <c r="O29" s="87">
        <v>4.0999999999999996</v>
      </c>
      <c r="P29" s="87">
        <v>2.2000000000000002</v>
      </c>
      <c r="Q29" s="87">
        <v>2.1</v>
      </c>
      <c r="R29" s="87">
        <v>1.8</v>
      </c>
      <c r="S29" s="87">
        <v>2.2000000000000002</v>
      </c>
      <c r="T29" s="87">
        <v>1.3</v>
      </c>
      <c r="U29" s="87">
        <v>1.4</v>
      </c>
      <c r="V29" s="87">
        <v>4</v>
      </c>
      <c r="W29" s="87">
        <v>2.1</v>
      </c>
      <c r="X29" s="87">
        <v>3.3</v>
      </c>
      <c r="Y29" s="87">
        <v>2.2000000000000002</v>
      </c>
      <c r="Z29" s="87">
        <v>1.3</v>
      </c>
      <c r="AA29" s="87">
        <v>1.1000000000000001</v>
      </c>
      <c r="AB29" s="87">
        <v>1.4</v>
      </c>
      <c r="AC29" s="87">
        <v>3</v>
      </c>
      <c r="AD29" s="87">
        <v>2.2000000000000002</v>
      </c>
      <c r="AE29" s="87">
        <v>2</v>
      </c>
      <c r="AF29" s="87"/>
      <c r="AG29" s="103">
        <f t="shared" si="0"/>
        <v>70.8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/>
      <c r="C31" s="87">
        <v>3.4</v>
      </c>
      <c r="D31" s="87"/>
      <c r="E31" s="87"/>
      <c r="F31" s="87"/>
      <c r="G31" s="87"/>
      <c r="H31" s="87"/>
      <c r="I31" s="87"/>
      <c r="J31" s="87">
        <v>3</v>
      </c>
      <c r="K31" s="87"/>
      <c r="L31" s="87"/>
      <c r="M31" s="87"/>
      <c r="N31" s="87">
        <v>1.8</v>
      </c>
      <c r="O31" s="87"/>
      <c r="P31" s="87"/>
      <c r="Q31" s="87">
        <v>5</v>
      </c>
      <c r="R31" s="87"/>
      <c r="S31" s="87">
        <v>2.7</v>
      </c>
      <c r="T31" s="87"/>
      <c r="U31" s="87">
        <v>3.9</v>
      </c>
      <c r="V31" s="87"/>
      <c r="W31" s="87"/>
      <c r="X31" s="87">
        <v>4.5</v>
      </c>
      <c r="Y31" s="87"/>
      <c r="Z31" s="87"/>
      <c r="AA31" s="87"/>
      <c r="AB31" s="87"/>
      <c r="AC31" s="87"/>
      <c r="AD31" s="87"/>
      <c r="AE31" s="87"/>
      <c r="AF31" s="87"/>
      <c r="AG31" s="103">
        <f t="shared" si="0"/>
        <v>24.3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87">
        <v>1</v>
      </c>
      <c r="C33" s="87">
        <v>1</v>
      </c>
      <c r="D33" s="87">
        <v>2.5</v>
      </c>
      <c r="E33" s="87">
        <v>1</v>
      </c>
      <c r="F33" s="87">
        <v>1</v>
      </c>
      <c r="G33" s="87">
        <v>1</v>
      </c>
      <c r="H33" s="87">
        <v>1</v>
      </c>
      <c r="I33" s="87">
        <v>2</v>
      </c>
      <c r="J33" s="87">
        <v>2</v>
      </c>
      <c r="K33" s="87">
        <v>2</v>
      </c>
      <c r="L33" s="87">
        <v>1.5</v>
      </c>
      <c r="M33" s="87">
        <v>1.2</v>
      </c>
      <c r="N33" s="87">
        <v>1.3</v>
      </c>
      <c r="O33" s="87">
        <v>1.2</v>
      </c>
      <c r="P33" s="87">
        <v>1.5</v>
      </c>
      <c r="Q33" s="87">
        <v>1.7</v>
      </c>
      <c r="R33" s="87">
        <v>1.8</v>
      </c>
      <c r="S33" s="87">
        <v>1</v>
      </c>
      <c r="T33" s="87">
        <v>1.3</v>
      </c>
      <c r="U33" s="87">
        <v>1.2</v>
      </c>
      <c r="V33" s="87">
        <v>1.3</v>
      </c>
      <c r="W33" s="87">
        <v>1.5</v>
      </c>
      <c r="X33" s="87">
        <v>1.6</v>
      </c>
      <c r="Y33" s="87">
        <v>1.7</v>
      </c>
      <c r="Z33" s="87">
        <v>2</v>
      </c>
      <c r="AA33" s="87">
        <v>1.7</v>
      </c>
      <c r="AB33" s="87">
        <v>1.9</v>
      </c>
      <c r="AC33" s="87">
        <v>2.1</v>
      </c>
      <c r="AD33" s="87">
        <v>1.3</v>
      </c>
      <c r="AE33" s="87">
        <v>1.6</v>
      </c>
      <c r="AF33" s="87"/>
      <c r="AG33" s="103">
        <f t="shared" si="0"/>
        <v>44.900000000000006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>
        <v>6.3</v>
      </c>
      <c r="C36" s="88">
        <v>4.0999999999999996</v>
      </c>
      <c r="D36" s="88"/>
      <c r="E36" s="88"/>
      <c r="F36" s="88">
        <v>2.1</v>
      </c>
      <c r="G36" s="88">
        <v>6.2</v>
      </c>
      <c r="H36" s="88">
        <v>5.2</v>
      </c>
      <c r="I36" s="88">
        <v>3.2</v>
      </c>
      <c r="J36" s="87">
        <v>4.0999999999999996</v>
      </c>
      <c r="K36" s="87">
        <v>1.2</v>
      </c>
      <c r="L36" s="87">
        <v>7.4</v>
      </c>
      <c r="M36" s="87">
        <v>2.2000000000000002</v>
      </c>
      <c r="N36" s="87">
        <v>3.1</v>
      </c>
      <c r="O36" s="87">
        <v>2.5</v>
      </c>
      <c r="P36" s="87">
        <v>3.2</v>
      </c>
      <c r="Q36" s="87">
        <v>6.3</v>
      </c>
      <c r="R36" s="87"/>
      <c r="S36" s="87">
        <v>7.2</v>
      </c>
      <c r="T36" s="87">
        <v>2.1</v>
      </c>
      <c r="U36" s="87">
        <v>4.0999999999999996</v>
      </c>
      <c r="V36" s="87">
        <v>3.2</v>
      </c>
      <c r="W36" s="87">
        <v>6.2</v>
      </c>
      <c r="X36" s="87">
        <v>5.0999999999999996</v>
      </c>
      <c r="Y36" s="87"/>
      <c r="Z36" s="87">
        <v>1.1000000000000001</v>
      </c>
      <c r="AA36" s="87">
        <v>4.2</v>
      </c>
      <c r="AB36" s="87">
        <v>3.3</v>
      </c>
      <c r="AC36" s="87">
        <v>2.2000000000000002</v>
      </c>
      <c r="AD36" s="87">
        <v>3.1</v>
      </c>
      <c r="AE36" s="87">
        <v>6.2</v>
      </c>
      <c r="AF36" s="87"/>
      <c r="AG36" s="103">
        <f t="shared" si="0"/>
        <v>105.09999999999998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106">
        <v>1</v>
      </c>
      <c r="C38" s="106">
        <v>1</v>
      </c>
      <c r="D38" s="88">
        <v>0.3</v>
      </c>
      <c r="E38" s="88">
        <v>0.3</v>
      </c>
      <c r="F38" s="88">
        <v>0.2</v>
      </c>
      <c r="G38" s="106">
        <v>1</v>
      </c>
      <c r="H38" s="88">
        <v>0.3</v>
      </c>
      <c r="I38" s="106">
        <v>1</v>
      </c>
      <c r="J38" s="88">
        <v>0.3</v>
      </c>
      <c r="K38" s="106">
        <v>1</v>
      </c>
      <c r="L38" s="88">
        <v>0.5</v>
      </c>
      <c r="M38" s="88">
        <v>0.6</v>
      </c>
      <c r="N38" s="88">
        <v>0.7</v>
      </c>
      <c r="O38" s="88">
        <v>0.3</v>
      </c>
      <c r="P38" s="106">
        <v>1</v>
      </c>
      <c r="Q38" s="106">
        <v>2</v>
      </c>
      <c r="R38" s="88">
        <v>0.3</v>
      </c>
      <c r="S38" s="88">
        <v>0.4</v>
      </c>
      <c r="T38" s="88">
        <v>0.5</v>
      </c>
      <c r="U38" s="106">
        <v>1</v>
      </c>
      <c r="V38" s="106">
        <v>2</v>
      </c>
      <c r="W38" s="106">
        <v>1</v>
      </c>
      <c r="X38" s="106">
        <v>2</v>
      </c>
      <c r="Y38" s="88">
        <v>0.3</v>
      </c>
      <c r="Z38" s="106">
        <v>1</v>
      </c>
      <c r="AA38" s="106">
        <v>2</v>
      </c>
      <c r="AB38" s="106">
        <v>1</v>
      </c>
      <c r="AC38" s="106">
        <v>1</v>
      </c>
      <c r="AD38" s="106">
        <v>1</v>
      </c>
      <c r="AE38" s="106">
        <v>1</v>
      </c>
      <c r="AF38" s="88"/>
      <c r="AG38" s="103">
        <f t="shared" si="0"/>
        <v>26.000000000000004</v>
      </c>
      <c r="AH38" s="48"/>
      <c r="AI38" s="48"/>
    </row>
    <row r="39" spans="1:35" s="44" customFormat="1" ht="18.75" customHeight="1" x14ac:dyDescent="0.35">
      <c r="A39" s="60" t="s">
        <v>86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103">
        <f t="shared" si="0"/>
        <v>0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103">
        <f t="shared" si="0"/>
        <v>0</v>
      </c>
      <c r="AH40" s="48"/>
      <c r="AI40" s="48"/>
    </row>
    <row r="41" spans="1:35" s="44" customFormat="1" ht="18.75" customHeight="1" x14ac:dyDescent="0.35">
      <c r="A41" s="60" t="s">
        <v>178</v>
      </c>
      <c r="B41" s="88"/>
      <c r="C41" s="88">
        <v>2</v>
      </c>
      <c r="D41" s="88"/>
      <c r="E41" s="88">
        <v>2</v>
      </c>
      <c r="F41" s="88"/>
      <c r="G41" s="88"/>
      <c r="H41" s="88">
        <v>1.2</v>
      </c>
      <c r="I41" s="88">
        <v>0.8</v>
      </c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>
        <v>3.1</v>
      </c>
      <c r="W41" s="88"/>
      <c r="X41" s="88"/>
      <c r="Y41" s="88"/>
      <c r="Z41" s="88"/>
      <c r="AA41" s="88"/>
      <c r="AB41" s="88">
        <v>3.1</v>
      </c>
      <c r="AC41" s="88"/>
      <c r="AD41" s="88"/>
      <c r="AE41" s="88">
        <v>2.1</v>
      </c>
      <c r="AF41" s="88"/>
      <c r="AG41" s="103">
        <f t="shared" si="0"/>
        <v>14.299999999999999</v>
      </c>
      <c r="AH41" s="57"/>
      <c r="AI41" s="57"/>
    </row>
    <row r="42" spans="1:35" s="2" customFormat="1" ht="19.5" x14ac:dyDescent="0.35">
      <c r="A42" s="59" t="s">
        <v>155</v>
      </c>
      <c r="B42" s="87">
        <f>SUM(B4:B41)</f>
        <v>25</v>
      </c>
      <c r="C42" s="87">
        <f t="shared" ref="C42:AF42" si="1">SUM(C4:C41)</f>
        <v>23.800000000000004</v>
      </c>
      <c r="D42" s="87">
        <f t="shared" si="1"/>
        <v>13.7</v>
      </c>
      <c r="E42" s="87">
        <f t="shared" si="1"/>
        <v>11.500000000000002</v>
      </c>
      <c r="F42" s="87">
        <f t="shared" si="1"/>
        <v>20.2</v>
      </c>
      <c r="G42" s="87">
        <f t="shared" si="1"/>
        <v>25.5</v>
      </c>
      <c r="H42" s="87">
        <f t="shared" si="1"/>
        <v>26.3</v>
      </c>
      <c r="I42" s="87">
        <f t="shared" si="1"/>
        <v>20.8</v>
      </c>
      <c r="J42" s="87">
        <f t="shared" si="1"/>
        <v>27.8</v>
      </c>
      <c r="K42" s="87">
        <f t="shared" si="1"/>
        <v>12.1</v>
      </c>
      <c r="L42" s="87">
        <f t="shared" si="1"/>
        <v>28.5</v>
      </c>
      <c r="M42" s="87">
        <f t="shared" si="1"/>
        <v>20.6</v>
      </c>
      <c r="N42" s="87">
        <f t="shared" si="1"/>
        <v>23.200000000000003</v>
      </c>
      <c r="O42" s="87">
        <f t="shared" si="1"/>
        <v>20.2</v>
      </c>
      <c r="P42" s="87">
        <f t="shared" si="1"/>
        <v>19.899999999999999</v>
      </c>
      <c r="Q42" s="87">
        <f t="shared" si="1"/>
        <v>35.200000000000003</v>
      </c>
      <c r="R42" s="87">
        <f t="shared" si="1"/>
        <v>8.2000000000000011</v>
      </c>
      <c r="S42" s="87">
        <f t="shared" si="1"/>
        <v>29.599999999999998</v>
      </c>
      <c r="T42" s="87">
        <f t="shared" si="1"/>
        <v>17.300000000000004</v>
      </c>
      <c r="U42" s="87">
        <f t="shared" si="1"/>
        <v>23</v>
      </c>
      <c r="V42" s="87">
        <f t="shared" si="1"/>
        <v>25.2</v>
      </c>
      <c r="W42" s="87">
        <f t="shared" si="1"/>
        <v>25.8</v>
      </c>
      <c r="X42" s="87">
        <f t="shared" si="1"/>
        <v>32.300000000000004</v>
      </c>
      <c r="Y42" s="87">
        <f t="shared" si="1"/>
        <v>9.0000000000000018</v>
      </c>
      <c r="Z42" s="87">
        <f t="shared" si="1"/>
        <v>13.9</v>
      </c>
      <c r="AA42" s="87">
        <f t="shared" si="1"/>
        <v>27.8</v>
      </c>
      <c r="AB42" s="87">
        <f t="shared" si="1"/>
        <v>24.1</v>
      </c>
      <c r="AC42" s="87">
        <f t="shared" si="1"/>
        <v>21.1</v>
      </c>
      <c r="AD42" s="87">
        <f t="shared" si="1"/>
        <v>17.8</v>
      </c>
      <c r="AE42" s="87">
        <f t="shared" si="1"/>
        <v>35.1</v>
      </c>
      <c r="AF42" s="87">
        <f t="shared" si="1"/>
        <v>0</v>
      </c>
      <c r="AG42" s="105">
        <f>SUM(B42:AF42)</f>
        <v>664.49999999999989</v>
      </c>
    </row>
    <row r="43" spans="1:35" s="2" customFormat="1" x14ac:dyDescent="0.25">
      <c r="AG43" s="24">
        <f>SUM(AG4:AG41)</f>
        <v>664.5</v>
      </c>
    </row>
    <row r="44" spans="1:35" s="2" customFormat="1" x14ac:dyDescent="0.25"/>
    <row r="45" spans="1:35" s="2" customFormat="1" x14ac:dyDescent="0.25"/>
    <row r="46" spans="1:35" s="2" customFormat="1" x14ac:dyDescent="0.25"/>
    <row r="47" spans="1:35" s="2" customFormat="1" x14ac:dyDescent="0.25"/>
    <row r="48" spans="1:35" s="2" customFormat="1" x14ac:dyDescent="0.25"/>
    <row r="49" s="2" customFormat="1" x14ac:dyDescent="0.25"/>
    <row r="50" s="2" customFormat="1" x14ac:dyDescent="0.25"/>
    <row r="51" s="2" customFormat="1" x14ac:dyDescent="0.25"/>
  </sheetData>
  <mergeCells count="1">
    <mergeCell ref="A1:AG1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4.140625" customWidth="1"/>
    <col min="2" max="32" width="7.85546875" customWidth="1"/>
    <col min="33" max="33" width="11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192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 t="shared" ref="AG3:AG32" si="0">SUM(B3:AF3)</f>
        <v>0</v>
      </c>
      <c r="AH3" s="47"/>
      <c r="AI3" s="48"/>
    </row>
    <row r="4" spans="1:35" s="44" customFormat="1" ht="18.75" customHeight="1" x14ac:dyDescent="0.35">
      <c r="A4" s="60" t="s">
        <v>193</v>
      </c>
      <c r="B4" s="49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si="0"/>
        <v>0</v>
      </c>
      <c r="AH4" s="48"/>
      <c r="AI4" s="48"/>
    </row>
    <row r="5" spans="1:35" s="44" customFormat="1" ht="18.75" customHeight="1" x14ac:dyDescent="0.35">
      <c r="A5" s="60" t="s">
        <v>83</v>
      </c>
      <c r="B5" s="49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49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49"/>
      <c r="C7" s="51"/>
      <c r="D7" s="51"/>
      <c r="E7" s="51"/>
      <c r="F7" s="51"/>
      <c r="G7" s="51"/>
      <c r="H7" s="51"/>
      <c r="I7" s="51"/>
      <c r="J7" s="51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1"/>
      <c r="AG7" s="46">
        <f>SUM(B7:AF7)</f>
        <v>0</v>
      </c>
      <c r="AH7" s="48"/>
      <c r="AI7" s="48"/>
    </row>
    <row r="8" spans="1:35" s="44" customFormat="1" ht="18.75" customHeight="1" x14ac:dyDescent="0.35">
      <c r="A8" s="60" t="s">
        <v>65</v>
      </c>
      <c r="B8" s="49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49"/>
      <c r="C9" s="51"/>
      <c r="D9" s="51"/>
      <c r="E9" s="51"/>
      <c r="F9" s="51"/>
      <c r="G9" s="51"/>
      <c r="H9" s="51"/>
      <c r="I9" s="51"/>
      <c r="J9" s="51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E10" s="51"/>
      <c r="AF10" s="51"/>
      <c r="AG10" s="46">
        <f>SUM(B10:AF10)</f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49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49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  <c r="AH12" s="48"/>
      <c r="AI12" s="48"/>
    </row>
    <row r="13" spans="1:35" s="44" customFormat="1" ht="18.75" customHeight="1" x14ac:dyDescent="0.35">
      <c r="A13" s="60" t="s">
        <v>69</v>
      </c>
      <c r="B13" s="49"/>
      <c r="C13" s="51"/>
      <c r="D13" s="51"/>
      <c r="E13" s="51"/>
      <c r="F13" s="51"/>
      <c r="G13" s="51"/>
      <c r="H13" s="51"/>
      <c r="I13" s="51"/>
      <c r="J13" s="51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49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49"/>
      <c r="C15" s="51"/>
      <c r="D15" s="51"/>
      <c r="E15" s="51"/>
      <c r="F15" s="51"/>
      <c r="G15" s="51"/>
      <c r="H15" s="51"/>
      <c r="I15" s="51"/>
      <c r="J15" s="51"/>
      <c r="K15" s="51"/>
      <c r="L15" s="51"/>
      <c r="M15" s="51"/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46">
        <f t="shared" si="0"/>
        <v>0</v>
      </c>
      <c r="AH15" s="48"/>
      <c r="AI15" s="48"/>
    </row>
    <row r="16" spans="1:35" s="44" customFormat="1" ht="18.75" customHeight="1" x14ac:dyDescent="0.35">
      <c r="A16" s="60" t="s">
        <v>85</v>
      </c>
      <c r="B16" s="49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49"/>
      <c r="C17" s="51"/>
      <c r="D17" s="51"/>
      <c r="E17" s="51"/>
      <c r="F17" s="51"/>
      <c r="G17" s="51"/>
      <c r="H17" s="51"/>
      <c r="I17" s="51"/>
      <c r="J17" s="51"/>
      <c r="K17" s="52"/>
      <c r="L17" s="52"/>
      <c r="M17" s="52"/>
      <c r="N17" s="52"/>
      <c r="O17" s="52"/>
      <c r="P17" s="52"/>
      <c r="Q17" s="52"/>
      <c r="R17" s="52"/>
      <c r="S17" s="114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46">
        <f t="shared" si="0"/>
        <v>0</v>
      </c>
      <c r="AH17" s="48"/>
      <c r="AI17" s="48"/>
    </row>
    <row r="18" spans="1:35" s="44" customFormat="1" ht="18.75" customHeight="1" x14ac:dyDescent="0.35">
      <c r="A18" s="60" t="s">
        <v>73</v>
      </c>
      <c r="B18" s="49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49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49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49"/>
      <c r="C21" s="51"/>
      <c r="D21" s="51"/>
      <c r="E21" s="51"/>
      <c r="F21" s="51"/>
      <c r="G21" s="51"/>
      <c r="H21" s="51"/>
      <c r="I21" s="51"/>
      <c r="J21" s="51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  <c r="AF21" s="52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49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>SUM(B22:AF22)</f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49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49"/>
      <c r="C24" s="51"/>
      <c r="D24" s="51"/>
      <c r="E24" s="51"/>
      <c r="F24" s="51"/>
      <c r="G24" s="51"/>
      <c r="H24" s="51"/>
      <c r="I24" s="51"/>
      <c r="J24" s="51"/>
      <c r="K24" s="51"/>
      <c r="L24" s="51"/>
      <c r="M24" s="51"/>
      <c r="N24" s="51"/>
      <c r="O24" s="51"/>
      <c r="P24" s="51"/>
      <c r="Q24" s="51"/>
      <c r="R24" s="51"/>
      <c r="S24" s="51"/>
      <c r="T24" s="51"/>
      <c r="U24" s="51"/>
      <c r="V24" s="51"/>
      <c r="W24" s="51"/>
      <c r="X24" s="51"/>
      <c r="Y24" s="51"/>
      <c r="Z24" s="51"/>
      <c r="AA24" s="51"/>
      <c r="AB24" s="51"/>
      <c r="AC24" s="51"/>
      <c r="AD24" s="51"/>
      <c r="AE24" s="51"/>
      <c r="AF24" s="51"/>
      <c r="AG24" s="46">
        <f t="shared" si="0"/>
        <v>0</v>
      </c>
      <c r="AH24" s="48"/>
      <c r="AI24" s="48"/>
    </row>
    <row r="25" spans="1:35" s="44" customFormat="1" ht="18.75" customHeight="1" x14ac:dyDescent="0.35">
      <c r="A25" s="60" t="s">
        <v>79</v>
      </c>
      <c r="B25" s="49"/>
      <c r="C25" s="51"/>
      <c r="D25" s="51"/>
      <c r="E25" s="51"/>
      <c r="F25" s="51"/>
      <c r="G25" s="51"/>
      <c r="H25" s="51"/>
      <c r="I25" s="51"/>
      <c r="J25" s="51"/>
      <c r="K25" s="52"/>
      <c r="L25" s="52"/>
      <c r="M25" s="52"/>
      <c r="N25" s="52"/>
      <c r="O25" s="52"/>
      <c r="P25" s="52"/>
      <c r="Q25" s="52"/>
      <c r="R25" s="52"/>
      <c r="S25" s="52"/>
      <c r="T25" s="52"/>
      <c r="U25" s="52"/>
      <c r="V25" s="52"/>
      <c r="W25" s="52"/>
      <c r="X25" s="52"/>
      <c r="Y25" s="52"/>
      <c r="Z25" s="52"/>
      <c r="AA25" s="52"/>
      <c r="AB25" s="52"/>
      <c r="AC25" s="52"/>
      <c r="AD25" s="52"/>
      <c r="AE25" s="52"/>
      <c r="AF25" s="52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49"/>
      <c r="C26" s="51"/>
      <c r="D26" s="51"/>
      <c r="E26" s="51"/>
      <c r="F26" s="51"/>
      <c r="G26" s="51"/>
      <c r="H26" s="51"/>
      <c r="I26" s="51"/>
      <c r="J26" s="51"/>
      <c r="K26" s="51"/>
      <c r="L26" s="51"/>
      <c r="M26" s="51"/>
      <c r="N26" s="51"/>
      <c r="P26" s="51"/>
      <c r="Q26" s="51"/>
      <c r="R26" s="51"/>
      <c r="S26" s="51"/>
      <c r="T26" s="51"/>
      <c r="U26" s="51"/>
      <c r="V26" s="51"/>
      <c r="W26" s="51"/>
      <c r="X26" s="51"/>
      <c r="Y26" s="51"/>
      <c r="Z26" s="51"/>
      <c r="AA26" s="51"/>
      <c r="AB26" s="51"/>
      <c r="AC26" s="51"/>
      <c r="AE26" s="51"/>
      <c r="AF26" s="51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1"/>
      <c r="C27" s="51"/>
      <c r="D27" s="51"/>
      <c r="E27" s="51"/>
      <c r="F27" s="51"/>
      <c r="G27" s="51"/>
      <c r="H27" s="51"/>
      <c r="J27" s="51"/>
      <c r="K27" s="51"/>
      <c r="L27" s="51"/>
      <c r="M27" s="51"/>
      <c r="N27" s="51"/>
      <c r="O27" s="51"/>
      <c r="P27" s="51"/>
      <c r="Q27" s="51"/>
      <c r="R27" s="51"/>
      <c r="S27" s="51"/>
      <c r="T27" s="51"/>
      <c r="U27" s="51"/>
      <c r="V27" s="51"/>
      <c r="W27" s="51"/>
      <c r="X27" s="51"/>
      <c r="Y27" s="51"/>
      <c r="Z27" s="51"/>
      <c r="AA27" s="51"/>
      <c r="AB27" s="51"/>
      <c r="AC27" s="51"/>
      <c r="AD27" s="51"/>
      <c r="AE27" s="51"/>
      <c r="AG27" s="46">
        <f>SUM(B27:AE27)</f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49"/>
      <c r="C28" s="51"/>
      <c r="D28" s="51"/>
      <c r="E28" s="51"/>
      <c r="F28" s="51"/>
      <c r="G28" s="51"/>
      <c r="H28" s="51"/>
      <c r="I28" s="51"/>
      <c r="J28" s="51"/>
      <c r="K28" s="51"/>
      <c r="L28" s="51"/>
      <c r="M28" s="51"/>
      <c r="N28" s="51"/>
      <c r="O28" s="51"/>
      <c r="P28" s="51"/>
      <c r="Q28" s="51"/>
      <c r="R28" s="51"/>
      <c r="S28" s="51"/>
      <c r="T28" s="51"/>
      <c r="U28" s="51"/>
      <c r="V28" s="51"/>
      <c r="W28" s="51"/>
      <c r="X28" s="51"/>
      <c r="Y28" s="51"/>
      <c r="Z28" s="51"/>
      <c r="AA28" s="51"/>
      <c r="AB28" s="51"/>
      <c r="AC28" s="51"/>
      <c r="AD28" s="51"/>
      <c r="AE28" s="51"/>
      <c r="AF28" s="51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49"/>
      <c r="C29" s="51"/>
      <c r="D29" s="51"/>
      <c r="E29" s="51"/>
      <c r="F29" s="51"/>
      <c r="G29" s="51"/>
      <c r="H29" s="51"/>
      <c r="I29" s="51"/>
      <c r="J29" s="51"/>
      <c r="K29" s="52"/>
      <c r="L29" s="52"/>
      <c r="M29" s="52"/>
      <c r="N29" s="52"/>
      <c r="O29" s="51"/>
      <c r="P29" s="51"/>
      <c r="Q29" s="51"/>
      <c r="R29" s="52"/>
      <c r="S29" s="52"/>
      <c r="T29" s="114"/>
      <c r="U29" s="52"/>
      <c r="V29" s="114"/>
      <c r="W29" s="52"/>
      <c r="X29" s="52"/>
      <c r="Y29" s="114"/>
      <c r="Z29" s="52"/>
      <c r="AA29" s="52"/>
      <c r="AB29" s="52"/>
      <c r="AC29" s="52"/>
      <c r="AD29" s="52"/>
      <c r="AE29" s="52"/>
      <c r="AF29" s="52"/>
      <c r="AG29" s="46">
        <f t="shared" si="0"/>
        <v>0</v>
      </c>
      <c r="AH29" s="48"/>
      <c r="AI29" s="48"/>
    </row>
    <row r="30" spans="1:35" s="44" customFormat="1" ht="18.75" customHeight="1" x14ac:dyDescent="0.35">
      <c r="A30" s="60" t="s">
        <v>86</v>
      </c>
      <c r="B30" s="49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R30" s="51"/>
      <c r="S30" s="51"/>
      <c r="T30" s="51"/>
      <c r="U30" s="51"/>
      <c r="V30" s="51"/>
      <c r="W30" s="51"/>
      <c r="X30" s="51"/>
      <c r="Y30" s="51"/>
      <c r="Z30" s="51"/>
      <c r="AA30" s="51"/>
      <c r="AB30" s="51"/>
      <c r="AC30" s="51"/>
      <c r="AD30" s="51"/>
      <c r="AE30" s="51"/>
      <c r="AF30" s="51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49"/>
      <c r="C31" s="51"/>
      <c r="D31" s="51"/>
      <c r="E31" s="51"/>
      <c r="F31" s="51"/>
      <c r="G31" s="51"/>
      <c r="H31" s="51"/>
      <c r="I31" s="51"/>
      <c r="J31" s="51"/>
      <c r="K31" s="51"/>
      <c r="L31" s="51"/>
      <c r="M31" s="51"/>
      <c r="N31" s="51"/>
      <c r="O31" s="51"/>
      <c r="P31" s="51"/>
      <c r="Q31" s="51"/>
      <c r="R31" s="51"/>
      <c r="S31" s="51"/>
      <c r="T31" s="51"/>
      <c r="U31" s="51"/>
      <c r="V31" s="51"/>
      <c r="W31" s="51"/>
      <c r="X31" s="51"/>
      <c r="Y31" s="51"/>
      <c r="Z31" s="51"/>
      <c r="AA31" s="51"/>
      <c r="AB31" s="51"/>
      <c r="AC31" s="51"/>
      <c r="AD31" s="51"/>
      <c r="AE31" s="51"/>
      <c r="AF31" s="51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49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 t="shared" ref="B33:AF33" si="1">SUM(B3:B32)</f>
        <v>0</v>
      </c>
      <c r="C33" s="51">
        <f t="shared" si="1"/>
        <v>0</v>
      </c>
      <c r="D33" s="51">
        <f t="shared" si="1"/>
        <v>0</v>
      </c>
      <c r="E33" s="51">
        <f t="shared" si="1"/>
        <v>0</v>
      </c>
      <c r="F33" s="51">
        <f t="shared" si="1"/>
        <v>0</v>
      </c>
      <c r="G33" s="51">
        <f t="shared" si="1"/>
        <v>0</v>
      </c>
      <c r="H33" s="51">
        <f t="shared" si="1"/>
        <v>0</v>
      </c>
      <c r="I33" s="51">
        <f t="shared" si="1"/>
        <v>0</v>
      </c>
      <c r="J33" s="51">
        <f t="shared" si="1"/>
        <v>0</v>
      </c>
      <c r="K33" s="51">
        <f t="shared" si="1"/>
        <v>0</v>
      </c>
      <c r="L33" s="51">
        <f t="shared" si="1"/>
        <v>0</v>
      </c>
      <c r="M33" s="51">
        <f t="shared" si="1"/>
        <v>0</v>
      </c>
      <c r="N33" s="51">
        <f t="shared" si="1"/>
        <v>0</v>
      </c>
      <c r="O33" s="51">
        <f t="shared" si="1"/>
        <v>0</v>
      </c>
      <c r="P33" s="51">
        <f t="shared" si="1"/>
        <v>0</v>
      </c>
      <c r="Q33" s="51">
        <f t="shared" si="1"/>
        <v>0</v>
      </c>
      <c r="R33" s="51">
        <f t="shared" si="1"/>
        <v>0</v>
      </c>
      <c r="S33" s="51">
        <f t="shared" si="1"/>
        <v>0</v>
      </c>
      <c r="T33" s="51">
        <f t="shared" si="1"/>
        <v>0</v>
      </c>
      <c r="U33" s="51">
        <f t="shared" si="1"/>
        <v>0</v>
      </c>
      <c r="V33" s="51">
        <f t="shared" si="1"/>
        <v>0</v>
      </c>
      <c r="W33" s="51">
        <f t="shared" si="1"/>
        <v>0</v>
      </c>
      <c r="X33" s="51">
        <f t="shared" si="1"/>
        <v>0</v>
      </c>
      <c r="Y33" s="51">
        <f t="shared" si="1"/>
        <v>0</v>
      </c>
      <c r="Z33" s="51">
        <f t="shared" si="1"/>
        <v>0</v>
      </c>
      <c r="AA33" s="51">
        <f t="shared" si="1"/>
        <v>0</v>
      </c>
      <c r="AB33" s="51">
        <f t="shared" si="1"/>
        <v>0</v>
      </c>
      <c r="AC33" s="51">
        <f t="shared" si="1"/>
        <v>0</v>
      </c>
      <c r="AD33" s="51">
        <f t="shared" si="1"/>
        <v>0</v>
      </c>
      <c r="AE33" s="51">
        <f t="shared" si="1"/>
        <v>0</v>
      </c>
      <c r="AF33" s="51">
        <f t="shared" si="1"/>
        <v>0</v>
      </c>
      <c r="AG33" s="151">
        <f>SUM(B33:AF33)</f>
        <v>0</v>
      </c>
      <c r="AH33" s="57"/>
      <c r="AI33" s="57"/>
    </row>
    <row r="34" spans="1:35" s="2" customFormat="1" ht="21" x14ac:dyDescent="0.35">
      <c r="AG34" s="42">
        <f>SUM(AG3:AG32)</f>
        <v>0</v>
      </c>
    </row>
    <row r="35" spans="1:35" s="2" customFormat="1" x14ac:dyDescent="0.25">
      <c r="AG35" s="148"/>
    </row>
    <row r="36" spans="1:35" s="2" customFormat="1" x14ac:dyDescent="0.25"/>
    <row r="37" spans="1:35" s="2" customFormat="1" x14ac:dyDescent="0.25"/>
    <row r="38" spans="1:35" s="2" customFormat="1" x14ac:dyDescent="0.25"/>
    <row r="39" spans="1:35" s="2" customFormat="1" x14ac:dyDescent="0.25"/>
    <row r="40" spans="1:35" s="2" customFormat="1" x14ac:dyDescent="0.25"/>
    <row r="41" spans="1:35" s="2" customFormat="1" x14ac:dyDescent="0.25"/>
    <row r="42" spans="1:35" s="2" customFormat="1" x14ac:dyDescent="0.25"/>
    <row r="43" spans="1:35" s="2" customFormat="1" x14ac:dyDescent="0.25"/>
  </sheetData>
  <mergeCells count="1">
    <mergeCell ref="A1:AG1"/>
  </mergeCells>
  <pageMargins left="0.7" right="0.7" top="0.75" bottom="0.75" header="0.3" footer="0.3"/>
  <pageSetup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1"/>
  <sheetViews>
    <sheetView workbookViewId="0">
      <selection sqref="A1:AG1"/>
    </sheetView>
  </sheetViews>
  <sheetFormatPr baseColWidth="10" defaultRowHeight="15" x14ac:dyDescent="0.25"/>
  <cols>
    <col min="1" max="1" width="58.7109375" customWidth="1"/>
    <col min="2" max="32" width="6.42578125" customWidth="1"/>
  </cols>
  <sheetData>
    <row r="1" spans="1:35" s="44" customFormat="1" ht="21" x14ac:dyDescent="0.35">
      <c r="A1" s="217" t="s">
        <v>101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/>
      <c r="C4" s="85">
        <v>2.7</v>
      </c>
      <c r="D4" s="85">
        <v>3.1</v>
      </c>
      <c r="E4" s="85">
        <v>2.8</v>
      </c>
      <c r="F4" s="85">
        <v>0.9</v>
      </c>
      <c r="G4" s="85">
        <v>3.2</v>
      </c>
      <c r="H4" s="85"/>
      <c r="I4" s="86"/>
      <c r="J4" s="85">
        <v>0.7</v>
      </c>
      <c r="K4" s="86">
        <v>0.8</v>
      </c>
      <c r="L4" s="85">
        <v>2.1</v>
      </c>
      <c r="M4" s="86">
        <v>3.7</v>
      </c>
      <c r="N4" s="85">
        <v>2.9</v>
      </c>
      <c r="O4" s="85"/>
      <c r="P4" s="86">
        <v>2</v>
      </c>
      <c r="Q4" s="85">
        <v>2.2000000000000002</v>
      </c>
      <c r="R4" s="85">
        <v>0.9</v>
      </c>
      <c r="S4" s="86">
        <v>0.8</v>
      </c>
      <c r="T4" s="86">
        <v>2.1</v>
      </c>
      <c r="U4" s="86"/>
      <c r="V4" s="86"/>
      <c r="W4" s="85"/>
      <c r="X4" s="85"/>
      <c r="Y4" s="85"/>
      <c r="Z4" s="85"/>
      <c r="AA4" s="85">
        <v>1.8</v>
      </c>
      <c r="AB4" s="85">
        <v>2.2000000000000002</v>
      </c>
      <c r="AC4" s="85"/>
      <c r="AD4" s="85"/>
      <c r="AE4" s="85"/>
      <c r="AF4" s="85"/>
      <c r="AG4" s="103">
        <f t="shared" ref="AG4:AG41" si="0">SUM(B4:AF4)</f>
        <v>34.900000000000006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87">
        <v>3.6</v>
      </c>
      <c r="C9" s="87">
        <v>2.9</v>
      </c>
      <c r="D9" s="87">
        <v>41.1</v>
      </c>
      <c r="E9" s="87">
        <v>2.7</v>
      </c>
      <c r="F9" s="87">
        <v>1.4</v>
      </c>
      <c r="G9" s="87">
        <v>3.9</v>
      </c>
      <c r="H9" s="87">
        <v>6.9</v>
      </c>
      <c r="I9" s="87">
        <v>3.1</v>
      </c>
      <c r="J9" s="87">
        <v>2.9</v>
      </c>
      <c r="K9" s="87">
        <v>3.6</v>
      </c>
      <c r="L9" s="87">
        <v>2.5</v>
      </c>
      <c r="M9" s="87">
        <v>3.1</v>
      </c>
      <c r="N9" s="87">
        <v>3.5</v>
      </c>
      <c r="O9" s="87">
        <v>2.9</v>
      </c>
      <c r="P9" s="87">
        <v>3</v>
      </c>
      <c r="Q9" s="87">
        <v>2.6</v>
      </c>
      <c r="R9" s="87">
        <v>2.5</v>
      </c>
      <c r="S9" s="87">
        <v>1.7</v>
      </c>
      <c r="T9" s="87">
        <v>2</v>
      </c>
      <c r="U9" s="87">
        <v>1.9</v>
      </c>
      <c r="V9" s="87">
        <v>3</v>
      </c>
      <c r="W9" s="87">
        <v>2.9</v>
      </c>
      <c r="X9" s="87">
        <v>2.6</v>
      </c>
      <c r="Y9" s="87">
        <v>1.4</v>
      </c>
      <c r="Z9" s="87">
        <v>3.7</v>
      </c>
      <c r="AA9" s="87">
        <v>2</v>
      </c>
      <c r="AB9" s="87">
        <v>3.1</v>
      </c>
      <c r="AC9" s="87">
        <v>2.7</v>
      </c>
      <c r="AD9" s="87">
        <v>2</v>
      </c>
      <c r="AE9" s="87">
        <v>1.9</v>
      </c>
      <c r="AF9" s="87">
        <v>2</v>
      </c>
      <c r="AG9" s="103">
        <f t="shared" si="0"/>
        <v>125.10000000000001</v>
      </c>
      <c r="AH9" s="48"/>
      <c r="AI9" s="48"/>
    </row>
    <row r="10" spans="1:35" s="44" customFormat="1" ht="18.75" customHeight="1" x14ac:dyDescent="0.35">
      <c r="A10" s="60" t="s">
        <v>66</v>
      </c>
      <c r="B10" s="87">
        <v>1.6</v>
      </c>
      <c r="C10" s="87">
        <v>7.4</v>
      </c>
      <c r="D10" s="87">
        <v>8.1999999999999993</v>
      </c>
      <c r="E10" s="87">
        <v>1.1000000000000001</v>
      </c>
      <c r="F10" s="87">
        <v>6.2</v>
      </c>
      <c r="G10" s="87">
        <v>4.0999999999999996</v>
      </c>
      <c r="H10" s="87">
        <v>5.2</v>
      </c>
      <c r="I10" s="87"/>
      <c r="J10" s="87">
        <v>2.2000000000000002</v>
      </c>
      <c r="K10" s="87">
        <v>9.1999999999999993</v>
      </c>
      <c r="L10" s="87">
        <v>7.3</v>
      </c>
      <c r="M10" s="87">
        <v>6.4</v>
      </c>
      <c r="N10" s="87">
        <v>4.0999999999999996</v>
      </c>
      <c r="O10" s="87">
        <v>5.2</v>
      </c>
      <c r="P10" s="87">
        <v>4.0999999999999996</v>
      </c>
      <c r="Q10" s="87">
        <v>1.1000000000000001</v>
      </c>
      <c r="R10" s="87">
        <v>8.3000000000000007</v>
      </c>
      <c r="S10" s="87">
        <v>2.2000000000000002</v>
      </c>
      <c r="T10" s="87">
        <v>5.2</v>
      </c>
      <c r="U10" s="87">
        <v>4.0999999999999996</v>
      </c>
      <c r="V10" s="87">
        <v>9.1</v>
      </c>
      <c r="W10" s="87">
        <v>9.3000000000000007</v>
      </c>
      <c r="X10" s="87">
        <v>7.2</v>
      </c>
      <c r="Y10" s="87">
        <v>6.1</v>
      </c>
      <c r="Z10" s="87">
        <v>1.3</v>
      </c>
      <c r="AA10" s="87">
        <v>6.1</v>
      </c>
      <c r="AB10" s="87">
        <v>7.2</v>
      </c>
      <c r="AC10" s="87">
        <v>8.1</v>
      </c>
      <c r="AD10" s="87">
        <v>9.1999999999999993</v>
      </c>
      <c r="AE10" s="87">
        <v>4.2</v>
      </c>
      <c r="AF10" s="87">
        <v>3.2</v>
      </c>
      <c r="AG10" s="103">
        <f t="shared" si="0"/>
        <v>164.19999999999993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0.1</v>
      </c>
      <c r="C11" s="87">
        <v>1.8</v>
      </c>
      <c r="D11" s="87">
        <v>1</v>
      </c>
      <c r="E11" s="87">
        <v>1.3</v>
      </c>
      <c r="F11" s="87">
        <v>2</v>
      </c>
      <c r="G11" s="87">
        <v>1.9</v>
      </c>
      <c r="H11" s="87">
        <v>1.9</v>
      </c>
      <c r="I11" s="87">
        <v>2.2999999999999998</v>
      </c>
      <c r="J11" s="87">
        <v>2.4</v>
      </c>
      <c r="K11" s="87">
        <v>2</v>
      </c>
      <c r="L11" s="87">
        <v>2.2999999999999998</v>
      </c>
      <c r="M11" s="87">
        <v>2.1</v>
      </c>
      <c r="N11" s="87">
        <v>2</v>
      </c>
      <c r="O11" s="87">
        <v>2.4</v>
      </c>
      <c r="P11" s="87">
        <v>4</v>
      </c>
      <c r="Q11" s="87">
        <v>2</v>
      </c>
      <c r="R11" s="87">
        <v>2.9</v>
      </c>
      <c r="S11" s="87">
        <v>2.2999999999999998</v>
      </c>
      <c r="T11" s="87">
        <v>2</v>
      </c>
      <c r="U11" s="87">
        <v>2</v>
      </c>
      <c r="V11" s="87">
        <v>2.2999999999999998</v>
      </c>
      <c r="W11" s="87">
        <v>2</v>
      </c>
      <c r="X11" s="87">
        <v>2</v>
      </c>
      <c r="Y11" s="87">
        <v>2</v>
      </c>
      <c r="Z11" s="87">
        <v>2.2999999999999998</v>
      </c>
      <c r="AA11" s="87">
        <v>2</v>
      </c>
      <c r="AB11" s="87">
        <v>2</v>
      </c>
      <c r="AC11" s="87">
        <v>2.2999999999999998</v>
      </c>
      <c r="AD11" s="87">
        <v>2.4</v>
      </c>
      <c r="AE11" s="87">
        <v>2.2999999999999998</v>
      </c>
      <c r="AF11" s="87">
        <v>2.4</v>
      </c>
      <c r="AG11" s="103">
        <f t="shared" si="0"/>
        <v>64.699999999999989</v>
      </c>
      <c r="AH11" s="48"/>
      <c r="AI11" s="48"/>
    </row>
    <row r="12" spans="1:35" s="44" customFormat="1" ht="30.7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/>
      <c r="C16" s="87"/>
      <c r="D16" s="87">
        <v>0.3</v>
      </c>
      <c r="E16" s="87"/>
      <c r="F16" s="87"/>
      <c r="G16" s="87">
        <v>0.5</v>
      </c>
      <c r="H16" s="87">
        <v>0.2</v>
      </c>
      <c r="I16" s="87">
        <v>4</v>
      </c>
      <c r="J16" s="87">
        <v>0.2</v>
      </c>
      <c r="K16" s="87">
        <v>1.3</v>
      </c>
      <c r="L16" s="87">
        <v>1.5</v>
      </c>
      <c r="M16" s="87">
        <v>0.5</v>
      </c>
      <c r="N16" s="87">
        <v>0.2</v>
      </c>
      <c r="O16" s="87">
        <v>5</v>
      </c>
      <c r="P16" s="87"/>
      <c r="Q16" s="87"/>
      <c r="R16" s="87">
        <v>0.3</v>
      </c>
      <c r="S16" s="87"/>
      <c r="T16" s="87"/>
      <c r="U16" s="87">
        <v>0.3</v>
      </c>
      <c r="V16" s="87"/>
      <c r="W16" s="87"/>
      <c r="X16" s="87">
        <v>4</v>
      </c>
      <c r="Y16" s="87">
        <v>0.2</v>
      </c>
      <c r="Z16" s="87">
        <v>0.2</v>
      </c>
      <c r="AA16" s="87">
        <v>1.5</v>
      </c>
      <c r="AB16" s="87">
        <v>1.5</v>
      </c>
      <c r="AC16" s="87">
        <v>0.5</v>
      </c>
      <c r="AD16" s="87">
        <v>1.5</v>
      </c>
      <c r="AE16" s="87">
        <v>0.3</v>
      </c>
      <c r="AF16" s="87">
        <v>1.5</v>
      </c>
      <c r="AG16" s="103">
        <f t="shared" si="0"/>
        <v>25.5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8"/>
      <c r="Z23" s="88"/>
      <c r="AA23" s="88"/>
      <c r="AB23" s="88"/>
      <c r="AC23" s="88"/>
      <c r="AD23" s="88"/>
      <c r="AE23" s="88"/>
      <c r="AF23" s="88"/>
      <c r="AG23" s="103">
        <f t="shared" si="0"/>
        <v>0</v>
      </c>
      <c r="AH23" s="48"/>
      <c r="AI23" s="48"/>
    </row>
    <row r="24" spans="1:35" s="44" customFormat="1" ht="18.75" customHeight="1" x14ac:dyDescent="0.35">
      <c r="A24" s="60" t="s">
        <v>72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103">
        <f t="shared" si="0"/>
        <v>0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>
        <v>0.9</v>
      </c>
      <c r="C26" s="87"/>
      <c r="D26" s="87">
        <v>3.3</v>
      </c>
      <c r="E26" s="87"/>
      <c r="F26" s="87">
        <v>4.7</v>
      </c>
      <c r="G26" s="87"/>
      <c r="H26" s="87">
        <v>2.6</v>
      </c>
      <c r="I26" s="87">
        <v>1.9</v>
      </c>
      <c r="J26" s="87">
        <v>4.5</v>
      </c>
      <c r="K26" s="87"/>
      <c r="L26" s="87">
        <v>3.2</v>
      </c>
      <c r="M26" s="87"/>
      <c r="N26" s="87">
        <v>1.7</v>
      </c>
      <c r="O26" s="87">
        <v>2.2999999999999998</v>
      </c>
      <c r="P26" s="87"/>
      <c r="Q26" s="87">
        <v>1.2</v>
      </c>
      <c r="R26" s="87">
        <v>0.3</v>
      </c>
      <c r="S26" s="87">
        <v>0.4</v>
      </c>
      <c r="T26" s="87">
        <v>1.5</v>
      </c>
      <c r="U26" s="87">
        <v>2</v>
      </c>
      <c r="V26" s="87">
        <v>1.3</v>
      </c>
      <c r="W26" s="87"/>
      <c r="X26" s="87"/>
      <c r="Y26" s="87"/>
      <c r="Z26" s="87">
        <v>4.0999999999999996</v>
      </c>
      <c r="AA26" s="87">
        <v>2.8</v>
      </c>
      <c r="AB26" s="87">
        <v>3.9</v>
      </c>
      <c r="AC26" s="87">
        <f>2.6+1.9</f>
        <v>4.5</v>
      </c>
      <c r="AD26" s="87"/>
      <c r="AE26" s="87"/>
      <c r="AF26" s="87"/>
      <c r="AG26" s="103">
        <f t="shared" si="0"/>
        <v>47.099999999999994</v>
      </c>
      <c r="AH26" s="48"/>
      <c r="AI26" s="48"/>
    </row>
    <row r="27" spans="1:35" s="44" customFormat="1" ht="18.75" customHeight="1" x14ac:dyDescent="0.35">
      <c r="A27" s="60" t="s">
        <v>73</v>
      </c>
      <c r="B27" s="87"/>
      <c r="C27" s="87"/>
      <c r="D27" s="87">
        <f>1.5/2</f>
        <v>0.75</v>
      </c>
      <c r="E27" s="87">
        <f>3.2/2</f>
        <v>1.6</v>
      </c>
      <c r="F27" s="87">
        <v>0.5</v>
      </c>
      <c r="G27" s="87">
        <f>1.6/2</f>
        <v>0.8</v>
      </c>
      <c r="H27" s="87">
        <v>2</v>
      </c>
      <c r="I27" s="87"/>
      <c r="J27" s="87">
        <f>1.6/2</f>
        <v>0.8</v>
      </c>
      <c r="K27" s="87">
        <f>2.4/2</f>
        <v>1.2</v>
      </c>
      <c r="L27" s="87"/>
      <c r="M27" s="87">
        <f>1.6/2</f>
        <v>0.8</v>
      </c>
      <c r="N27" s="87"/>
      <c r="O27" s="87">
        <f>3.2/2</f>
        <v>1.6</v>
      </c>
      <c r="P27" s="87"/>
      <c r="Q27" s="87"/>
      <c r="R27" s="87">
        <f>1.5/2</f>
        <v>0.75</v>
      </c>
      <c r="S27" s="87"/>
      <c r="T27" s="87">
        <v>0.5</v>
      </c>
      <c r="U27" s="87"/>
      <c r="V27" s="87">
        <f>2.8/2</f>
        <v>1.4</v>
      </c>
      <c r="W27" s="87"/>
      <c r="X27" s="87">
        <f>1.5/2</f>
        <v>0.75</v>
      </c>
      <c r="Y27" s="87">
        <f>1.3/2</f>
        <v>0.65</v>
      </c>
      <c r="Z27" s="87"/>
      <c r="AA27" s="87">
        <f>1.6/2</f>
        <v>0.8</v>
      </c>
      <c r="AB27" s="87">
        <f>4.1/2</f>
        <v>2.0499999999999998</v>
      </c>
      <c r="AC27" s="87">
        <v>3</v>
      </c>
      <c r="AD27" s="87"/>
      <c r="AE27" s="87">
        <f>1.3/2</f>
        <v>0.65</v>
      </c>
      <c r="AF27" s="87"/>
      <c r="AG27" s="103">
        <f t="shared" si="0"/>
        <v>20.6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87"/>
      <c r="D28" s="87">
        <f>1.5/2</f>
        <v>0.75</v>
      </c>
      <c r="E28" s="87">
        <f>3.2/2</f>
        <v>1.6</v>
      </c>
      <c r="F28" s="87">
        <v>0.5</v>
      </c>
      <c r="G28" s="87">
        <f>1.6/2</f>
        <v>0.8</v>
      </c>
      <c r="H28" s="87">
        <v>2</v>
      </c>
      <c r="I28" s="87"/>
      <c r="J28" s="87">
        <f>1.6/2</f>
        <v>0.8</v>
      </c>
      <c r="K28" s="87">
        <f>2.4/2</f>
        <v>1.2</v>
      </c>
      <c r="L28" s="87"/>
      <c r="M28" s="87">
        <f>1.6/2</f>
        <v>0.8</v>
      </c>
      <c r="N28" s="87"/>
      <c r="O28" s="87">
        <f>3.2/2</f>
        <v>1.6</v>
      </c>
      <c r="P28" s="87"/>
      <c r="Q28" s="87"/>
      <c r="R28" s="87">
        <f>1.5/2</f>
        <v>0.75</v>
      </c>
      <c r="S28" s="87"/>
      <c r="T28" s="87">
        <v>0.5</v>
      </c>
      <c r="U28" s="87"/>
      <c r="V28" s="87">
        <f>2.8/2</f>
        <v>1.4</v>
      </c>
      <c r="W28" s="87"/>
      <c r="X28" s="87">
        <f>1.5/2</f>
        <v>0.75</v>
      </c>
      <c r="Y28" s="87">
        <f>1.3/2</f>
        <v>0.65</v>
      </c>
      <c r="Z28" s="87"/>
      <c r="AA28" s="87">
        <f>1.6/2</f>
        <v>0.8</v>
      </c>
      <c r="AB28" s="87">
        <f>4.1/2</f>
        <v>2.0499999999999998</v>
      </c>
      <c r="AC28" s="87">
        <v>3</v>
      </c>
      <c r="AD28" s="87"/>
      <c r="AE28" s="87">
        <f>1.3/2</f>
        <v>0.65</v>
      </c>
      <c r="AF28" s="87"/>
      <c r="AG28" s="103">
        <f t="shared" si="0"/>
        <v>20.6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v>2.1</v>
      </c>
      <c r="C29" s="87">
        <v>3.1</v>
      </c>
      <c r="D29" s="87">
        <v>2.2000000000000002</v>
      </c>
      <c r="E29" s="87">
        <v>3</v>
      </c>
      <c r="F29" s="87">
        <v>2.2000000000000002</v>
      </c>
      <c r="G29" s="87">
        <v>2.1</v>
      </c>
      <c r="H29" s="87">
        <v>3.1</v>
      </c>
      <c r="I29" s="87">
        <v>2</v>
      </c>
      <c r="J29" s="87">
        <v>1.1000000000000001</v>
      </c>
      <c r="K29" s="87">
        <v>2.1</v>
      </c>
      <c r="L29" s="87">
        <v>3.1</v>
      </c>
      <c r="M29" s="87">
        <v>2.1</v>
      </c>
      <c r="N29" s="87">
        <v>2</v>
      </c>
      <c r="O29" s="87">
        <v>3</v>
      </c>
      <c r="P29" s="87">
        <v>3.3</v>
      </c>
      <c r="Q29" s="87">
        <v>2.4</v>
      </c>
      <c r="R29" s="87">
        <v>2.2999999999999998</v>
      </c>
      <c r="S29" s="87">
        <v>3</v>
      </c>
      <c r="T29" s="87">
        <v>2.1</v>
      </c>
      <c r="U29" s="87">
        <v>2</v>
      </c>
      <c r="V29" s="87">
        <v>2.2000000000000002</v>
      </c>
      <c r="W29" s="87">
        <v>3.5</v>
      </c>
      <c r="X29" s="87">
        <v>3.6</v>
      </c>
      <c r="Y29" s="87">
        <v>2</v>
      </c>
      <c r="Z29" s="87">
        <v>3.5</v>
      </c>
      <c r="AA29" s="87">
        <v>2.5</v>
      </c>
      <c r="AB29" s="87">
        <v>3.1</v>
      </c>
      <c r="AC29" s="87">
        <v>1.1000000000000001</v>
      </c>
      <c r="AD29" s="87">
        <v>2</v>
      </c>
      <c r="AE29" s="87">
        <v>3.7</v>
      </c>
      <c r="AF29" s="87">
        <v>2.2000000000000002</v>
      </c>
      <c r="AG29" s="103">
        <f t="shared" si="0"/>
        <v>77.699999999999989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>
        <v>2.2999999999999998</v>
      </c>
      <c r="C31" s="87"/>
      <c r="D31" s="87"/>
      <c r="E31" s="87">
        <v>4.0999999999999996</v>
      </c>
      <c r="F31" s="87"/>
      <c r="G31" s="87">
        <v>2</v>
      </c>
      <c r="H31" s="87"/>
      <c r="I31" s="87"/>
      <c r="J31" s="87">
        <v>3</v>
      </c>
      <c r="K31" s="87"/>
      <c r="L31" s="87"/>
      <c r="M31" s="87"/>
      <c r="N31" s="87">
        <v>4</v>
      </c>
      <c r="O31" s="87"/>
      <c r="P31" s="87"/>
      <c r="Q31" s="87">
        <v>1.5</v>
      </c>
      <c r="R31" s="87"/>
      <c r="S31" s="87"/>
      <c r="T31" s="87">
        <v>3</v>
      </c>
      <c r="U31" s="87"/>
      <c r="V31" s="87">
        <v>5.6</v>
      </c>
      <c r="W31" s="87"/>
      <c r="X31" s="87"/>
      <c r="Y31" s="87"/>
      <c r="Z31" s="87"/>
      <c r="AA31" s="87"/>
      <c r="AB31" s="87"/>
      <c r="AC31" s="87">
        <v>2.9</v>
      </c>
      <c r="AD31" s="87"/>
      <c r="AE31" s="87"/>
      <c r="AF31" s="87"/>
      <c r="AG31" s="103">
        <f t="shared" si="0"/>
        <v>28.4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103">
        <f t="shared" si="0"/>
        <v>0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>
        <v>1.6</v>
      </c>
      <c r="C36" s="88">
        <v>7.4</v>
      </c>
      <c r="D36" s="88">
        <v>8.5</v>
      </c>
      <c r="E36" s="88">
        <v>1.1000000000000001</v>
      </c>
      <c r="F36" s="88">
        <v>6.2</v>
      </c>
      <c r="G36" s="88">
        <v>4.0999999999999996</v>
      </c>
      <c r="H36" s="88">
        <v>3.4</v>
      </c>
      <c r="I36" s="88">
        <v>4.3</v>
      </c>
      <c r="J36" s="87">
        <v>2.2000000000000002</v>
      </c>
      <c r="K36" s="87">
        <v>4.2</v>
      </c>
      <c r="L36" s="87">
        <v>7.3</v>
      </c>
      <c r="M36" s="87">
        <v>6.6</v>
      </c>
      <c r="N36" s="87">
        <v>4.0999999999999996</v>
      </c>
      <c r="O36" s="87">
        <v>5.6</v>
      </c>
      <c r="P36" s="87">
        <v>4.0999999999999996</v>
      </c>
      <c r="Q36" s="87">
        <v>1.1000000000000001</v>
      </c>
      <c r="R36" s="87">
        <v>8.3000000000000007</v>
      </c>
      <c r="S36" s="87">
        <v>2.2000000000000002</v>
      </c>
      <c r="T36" s="87">
        <v>5.2</v>
      </c>
      <c r="U36" s="87">
        <v>4.0999999999999996</v>
      </c>
      <c r="V36" s="87">
        <v>3.1</v>
      </c>
      <c r="W36" s="87">
        <v>4.3</v>
      </c>
      <c r="X36" s="87">
        <v>7.2</v>
      </c>
      <c r="Y36" s="87">
        <v>6.1</v>
      </c>
      <c r="Z36" s="87">
        <v>1.3</v>
      </c>
      <c r="AA36" s="87">
        <v>6.1</v>
      </c>
      <c r="AB36" s="87">
        <v>7.2</v>
      </c>
      <c r="AC36" s="87">
        <v>8.1</v>
      </c>
      <c r="AD36" s="87">
        <v>4.2</v>
      </c>
      <c r="AE36" s="87">
        <v>4.2</v>
      </c>
      <c r="AF36" s="87">
        <v>3.1</v>
      </c>
      <c r="AG36" s="103">
        <f t="shared" si="0"/>
        <v>146.49999999999994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106">
        <v>0.2</v>
      </c>
      <c r="C38" s="106">
        <v>0.1</v>
      </c>
      <c r="D38" s="88"/>
      <c r="E38" s="88">
        <v>0.2</v>
      </c>
      <c r="F38" s="88"/>
      <c r="G38" s="106"/>
      <c r="H38" s="88">
        <v>0.1</v>
      </c>
      <c r="I38" s="106">
        <v>0.2</v>
      </c>
      <c r="J38" s="88">
        <v>0.1</v>
      </c>
      <c r="K38" s="106"/>
      <c r="L38" s="88"/>
      <c r="M38" s="88"/>
      <c r="N38" s="88">
        <v>0.2</v>
      </c>
      <c r="O38" s="88">
        <v>2.1</v>
      </c>
      <c r="P38" s="106">
        <v>0.1</v>
      </c>
      <c r="Q38" s="106"/>
      <c r="R38" s="88">
        <v>0.2</v>
      </c>
      <c r="S38" s="88"/>
      <c r="T38" s="88"/>
      <c r="U38" s="106">
        <v>0.1</v>
      </c>
      <c r="V38" s="106"/>
      <c r="W38" s="106">
        <v>0.2</v>
      </c>
      <c r="X38" s="106"/>
      <c r="Y38" s="88">
        <v>0.1</v>
      </c>
      <c r="Z38" s="106">
        <v>0.1</v>
      </c>
      <c r="AA38" s="106">
        <v>0.2</v>
      </c>
      <c r="AB38" s="106"/>
      <c r="AC38" s="106">
        <v>0.1</v>
      </c>
      <c r="AD38" s="106"/>
      <c r="AE38" s="106"/>
      <c r="AF38" s="88">
        <v>0.1</v>
      </c>
      <c r="AG38" s="103">
        <f t="shared" si="0"/>
        <v>4.4000000000000004</v>
      </c>
      <c r="AH38" s="48"/>
      <c r="AI38" s="48"/>
    </row>
    <row r="39" spans="1:35" s="44" customFormat="1" ht="18.75" customHeight="1" x14ac:dyDescent="0.35">
      <c r="A39" s="60" t="s">
        <v>86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103">
        <f t="shared" si="0"/>
        <v>0</v>
      </c>
      <c r="AH39" s="48"/>
      <c r="AI39" s="48"/>
    </row>
    <row r="40" spans="1:35" s="44" customFormat="1" ht="18.75" customHeight="1" x14ac:dyDescent="0.35">
      <c r="A40" s="60" t="s">
        <v>82</v>
      </c>
      <c r="B40" s="88">
        <v>2.1</v>
      </c>
      <c r="C40" s="88">
        <v>3.1</v>
      </c>
      <c r="D40" s="88">
        <v>2.5</v>
      </c>
      <c r="E40" s="88">
        <v>1</v>
      </c>
      <c r="F40" s="88">
        <v>3.1</v>
      </c>
      <c r="G40" s="88">
        <v>2</v>
      </c>
      <c r="H40" s="88">
        <v>1</v>
      </c>
      <c r="I40" s="88">
        <v>2</v>
      </c>
      <c r="J40" s="88">
        <v>1.5</v>
      </c>
      <c r="K40" s="88">
        <v>2</v>
      </c>
      <c r="L40" s="88">
        <v>2</v>
      </c>
      <c r="M40" s="88">
        <v>1.5</v>
      </c>
      <c r="N40" s="88">
        <v>1.8</v>
      </c>
      <c r="O40" s="88">
        <v>1.5</v>
      </c>
      <c r="P40" s="88">
        <v>1.7</v>
      </c>
      <c r="Q40" s="88">
        <v>2</v>
      </c>
      <c r="R40" s="88">
        <v>1</v>
      </c>
      <c r="S40" s="88">
        <v>2</v>
      </c>
      <c r="T40" s="88">
        <v>1.8</v>
      </c>
      <c r="U40" s="88">
        <v>2.2000000000000002</v>
      </c>
      <c r="V40" s="88">
        <v>1.5</v>
      </c>
      <c r="W40" s="88">
        <v>1</v>
      </c>
      <c r="X40" s="88">
        <v>2</v>
      </c>
      <c r="Y40" s="88">
        <v>2.5</v>
      </c>
      <c r="Z40" s="88">
        <v>1</v>
      </c>
      <c r="AA40" s="88">
        <v>1</v>
      </c>
      <c r="AB40" s="88">
        <v>2.5</v>
      </c>
      <c r="AC40" s="88">
        <v>1.5</v>
      </c>
      <c r="AD40" s="88">
        <v>2</v>
      </c>
      <c r="AE40" s="88">
        <v>1.5</v>
      </c>
      <c r="AF40" s="88">
        <v>2</v>
      </c>
      <c r="AG40" s="103">
        <f t="shared" si="0"/>
        <v>56.3</v>
      </c>
      <c r="AH40" s="48"/>
      <c r="AI40" s="48"/>
    </row>
    <row r="41" spans="1:35" s="44" customFormat="1" ht="18.75" customHeight="1" x14ac:dyDescent="0.35">
      <c r="A41" s="60" t="s">
        <v>178</v>
      </c>
      <c r="B41" s="88"/>
      <c r="C41" s="88"/>
      <c r="D41" s="88">
        <v>2.1</v>
      </c>
      <c r="E41" s="88"/>
      <c r="F41" s="88"/>
      <c r="G41" s="88">
        <v>2</v>
      </c>
      <c r="H41" s="88"/>
      <c r="I41" s="88"/>
      <c r="J41" s="88"/>
      <c r="K41" s="88"/>
      <c r="L41" s="88">
        <v>1.2</v>
      </c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103">
        <f t="shared" si="0"/>
        <v>5.3</v>
      </c>
      <c r="AH41" s="57"/>
      <c r="AI41" s="57"/>
    </row>
    <row r="42" spans="1:35" s="2" customFormat="1" ht="19.5" x14ac:dyDescent="0.35">
      <c r="A42" s="59" t="s">
        <v>155</v>
      </c>
      <c r="B42" s="87">
        <f>SUM(B4:B41)</f>
        <v>14.5</v>
      </c>
      <c r="C42" s="87">
        <f t="shared" ref="C42:AF42" si="1">SUM(C4:C41)</f>
        <v>28.500000000000007</v>
      </c>
      <c r="D42" s="87">
        <f t="shared" si="1"/>
        <v>73.8</v>
      </c>
      <c r="E42" s="87">
        <f t="shared" si="1"/>
        <v>20.5</v>
      </c>
      <c r="F42" s="87">
        <f t="shared" si="1"/>
        <v>27.7</v>
      </c>
      <c r="G42" s="87">
        <f t="shared" si="1"/>
        <v>27.4</v>
      </c>
      <c r="H42" s="87">
        <f t="shared" si="1"/>
        <v>28.400000000000002</v>
      </c>
      <c r="I42" s="87">
        <f t="shared" si="1"/>
        <v>19.8</v>
      </c>
      <c r="J42" s="87">
        <f t="shared" si="1"/>
        <v>22.400000000000002</v>
      </c>
      <c r="K42" s="87">
        <f t="shared" si="1"/>
        <v>27.599999999999998</v>
      </c>
      <c r="L42" s="87">
        <f t="shared" si="1"/>
        <v>32.5</v>
      </c>
      <c r="M42" s="87">
        <f t="shared" si="1"/>
        <v>27.6</v>
      </c>
      <c r="N42" s="87">
        <f t="shared" si="1"/>
        <v>26.5</v>
      </c>
      <c r="O42" s="87">
        <f t="shared" si="1"/>
        <v>33.200000000000003</v>
      </c>
      <c r="P42" s="87">
        <f t="shared" si="1"/>
        <v>22.3</v>
      </c>
      <c r="Q42" s="87">
        <f t="shared" si="1"/>
        <v>16.100000000000001</v>
      </c>
      <c r="R42" s="87">
        <f t="shared" si="1"/>
        <v>28.500000000000004</v>
      </c>
      <c r="S42" s="87">
        <f t="shared" si="1"/>
        <v>14.600000000000001</v>
      </c>
      <c r="T42" s="87">
        <f t="shared" si="1"/>
        <v>25.9</v>
      </c>
      <c r="U42" s="87">
        <f t="shared" si="1"/>
        <v>18.7</v>
      </c>
      <c r="V42" s="87">
        <f t="shared" si="1"/>
        <v>30.9</v>
      </c>
      <c r="W42" s="87">
        <f t="shared" si="1"/>
        <v>23.200000000000003</v>
      </c>
      <c r="X42" s="87">
        <f t="shared" si="1"/>
        <v>30.1</v>
      </c>
      <c r="Y42" s="87">
        <f t="shared" si="1"/>
        <v>21.700000000000003</v>
      </c>
      <c r="Z42" s="87">
        <f t="shared" si="1"/>
        <v>17.5</v>
      </c>
      <c r="AA42" s="87">
        <f t="shared" si="1"/>
        <v>27.599999999999998</v>
      </c>
      <c r="AB42" s="87">
        <f t="shared" si="1"/>
        <v>36.800000000000004</v>
      </c>
      <c r="AC42" s="87">
        <f t="shared" si="1"/>
        <v>37.800000000000004</v>
      </c>
      <c r="AD42" s="87">
        <f t="shared" si="1"/>
        <v>23.3</v>
      </c>
      <c r="AE42" s="87">
        <f t="shared" si="1"/>
        <v>19.399999999999999</v>
      </c>
      <c r="AF42" s="87">
        <f t="shared" si="1"/>
        <v>16.5</v>
      </c>
      <c r="AG42" s="105">
        <f>SUM(B42:AF42)</f>
        <v>821.30000000000007</v>
      </c>
    </row>
    <row r="43" spans="1:35" s="2" customFormat="1" x14ac:dyDescent="0.25">
      <c r="AG43" s="24">
        <f>SUM(AG4:AG41)</f>
        <v>821.29999999999961</v>
      </c>
    </row>
    <row r="44" spans="1:35" s="2" customFormat="1" x14ac:dyDescent="0.25"/>
    <row r="45" spans="1:35" s="2" customFormat="1" x14ac:dyDescent="0.25"/>
    <row r="46" spans="1:35" s="2" customFormat="1" x14ac:dyDescent="0.25"/>
    <row r="47" spans="1:35" s="2" customFormat="1" x14ac:dyDescent="0.25"/>
    <row r="48" spans="1:35" s="2" customFormat="1" x14ac:dyDescent="0.25"/>
    <row r="49" s="2" customFormat="1" x14ac:dyDescent="0.25"/>
    <row r="50" s="2" customFormat="1" x14ac:dyDescent="0.25"/>
    <row r="51" s="2" customFormat="1" x14ac:dyDescent="0.25"/>
  </sheetData>
  <mergeCells count="1">
    <mergeCell ref="A1:AG1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6"/>
  <sheetViews>
    <sheetView workbookViewId="0">
      <selection sqref="A1:AG1"/>
    </sheetView>
  </sheetViews>
  <sheetFormatPr baseColWidth="10" defaultRowHeight="15" x14ac:dyDescent="0.25"/>
  <cols>
    <col min="1" max="1" width="58" customWidth="1"/>
    <col min="2" max="32" width="8.140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30.75" customHeight="1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18.75" customHeight="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8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>
        <v>2.9</v>
      </c>
      <c r="C8" s="51">
        <v>4.0999999999999996</v>
      </c>
      <c r="D8" s="51">
        <v>3.6</v>
      </c>
      <c r="E8" s="51">
        <v>2.5</v>
      </c>
      <c r="F8" s="51">
        <v>4.4000000000000004</v>
      </c>
      <c r="G8" s="51">
        <v>3.7</v>
      </c>
      <c r="H8" s="51">
        <v>5.0999999999999996</v>
      </c>
      <c r="I8" s="51">
        <v>4.3</v>
      </c>
      <c r="J8" s="51">
        <v>3.1</v>
      </c>
      <c r="K8" s="51">
        <v>3.3</v>
      </c>
      <c r="L8" s="51">
        <v>3.6</v>
      </c>
      <c r="M8" s="51">
        <v>4</v>
      </c>
      <c r="N8" s="51">
        <v>3.8</v>
      </c>
      <c r="O8" s="51">
        <v>2.9</v>
      </c>
      <c r="P8" s="51">
        <v>3.5</v>
      </c>
      <c r="Q8" s="51">
        <v>3.3</v>
      </c>
      <c r="R8" s="51">
        <v>5</v>
      </c>
      <c r="S8" s="51">
        <v>4.4000000000000004</v>
      </c>
      <c r="T8" s="51">
        <v>3.7</v>
      </c>
      <c r="U8" s="51">
        <v>3.3</v>
      </c>
      <c r="V8" s="51">
        <v>3.8</v>
      </c>
      <c r="W8" s="51">
        <v>2.7</v>
      </c>
      <c r="X8" s="51">
        <v>3.5</v>
      </c>
      <c r="Y8" s="51">
        <v>4</v>
      </c>
      <c r="Z8" s="51">
        <v>3.3</v>
      </c>
      <c r="AA8" s="51">
        <v>2.9</v>
      </c>
      <c r="AB8" s="51">
        <v>3.5</v>
      </c>
      <c r="AC8" s="51">
        <v>4</v>
      </c>
      <c r="AD8" s="51">
        <v>3.1</v>
      </c>
      <c r="AE8" s="51"/>
      <c r="AF8" s="51"/>
      <c r="AG8" s="46">
        <f t="shared" si="0"/>
        <v>105.29999999999998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3.3</v>
      </c>
      <c r="C10" s="51">
        <v>4</v>
      </c>
      <c r="D10" s="51">
        <v>2.9</v>
      </c>
      <c r="E10" s="51">
        <v>3</v>
      </c>
      <c r="F10" s="51">
        <v>4.3</v>
      </c>
      <c r="G10" s="51">
        <v>2.5</v>
      </c>
      <c r="H10" s="51">
        <v>2.8</v>
      </c>
      <c r="I10" s="51">
        <v>2.5</v>
      </c>
      <c r="J10" s="51">
        <v>4.0999999999999996</v>
      </c>
      <c r="K10" s="51">
        <v>3.3</v>
      </c>
      <c r="L10" s="51">
        <v>3.4</v>
      </c>
      <c r="M10" s="51">
        <v>3</v>
      </c>
      <c r="N10" s="51">
        <v>2.9</v>
      </c>
      <c r="O10" s="51">
        <v>3.2</v>
      </c>
      <c r="P10" s="51">
        <v>3.6</v>
      </c>
      <c r="Q10" s="51">
        <v>3.3</v>
      </c>
      <c r="R10" s="51">
        <v>4.5</v>
      </c>
      <c r="S10" s="51">
        <v>5</v>
      </c>
      <c r="T10" s="51">
        <v>3.2</v>
      </c>
      <c r="U10" s="51">
        <v>5.3</v>
      </c>
      <c r="V10" s="51">
        <v>5.6</v>
      </c>
      <c r="W10" s="51">
        <v>6</v>
      </c>
      <c r="X10" s="51">
        <v>3.4</v>
      </c>
      <c r="Y10" s="51">
        <v>4.4000000000000004</v>
      </c>
      <c r="Z10" s="51">
        <v>4.5999999999999996</v>
      </c>
      <c r="AA10" s="51">
        <v>4.0999999999999996</v>
      </c>
      <c r="AB10" s="51">
        <v>3.9</v>
      </c>
      <c r="AC10" s="51">
        <v>3.1</v>
      </c>
      <c r="AD10" s="51">
        <v>4.4000000000000004</v>
      </c>
      <c r="AE10" s="51"/>
      <c r="AF10" s="51"/>
      <c r="AG10" s="46">
        <f t="shared" si="0"/>
        <v>109.6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18.75" customHeight="1" x14ac:dyDescent="0.35">
      <c r="A12" s="60" t="s">
        <v>91</v>
      </c>
      <c r="B12" s="51">
        <v>1.3</v>
      </c>
      <c r="C12" s="51">
        <v>1.1000000000000001</v>
      </c>
      <c r="D12" s="51">
        <v>1.3</v>
      </c>
      <c r="E12" s="51">
        <v>0.7</v>
      </c>
      <c r="F12" s="51">
        <v>1.4</v>
      </c>
      <c r="G12" s="51">
        <v>1.3</v>
      </c>
      <c r="H12" s="51">
        <v>1.1000000000000001</v>
      </c>
      <c r="I12" s="51">
        <v>1.4</v>
      </c>
      <c r="J12" s="51">
        <v>1.3</v>
      </c>
      <c r="K12" s="51">
        <v>1.1000000000000001</v>
      </c>
      <c r="L12" s="51">
        <v>1.4</v>
      </c>
      <c r="M12" s="51">
        <v>1.3</v>
      </c>
      <c r="N12" s="51">
        <v>1.1000000000000001</v>
      </c>
      <c r="O12" s="51">
        <v>0.9</v>
      </c>
      <c r="P12" s="51">
        <v>1.1000000000000001</v>
      </c>
      <c r="Q12" s="51">
        <v>0.7</v>
      </c>
      <c r="R12" s="51">
        <v>1.4</v>
      </c>
      <c r="S12" s="51">
        <v>0.9</v>
      </c>
      <c r="T12" s="51">
        <v>1.1000000000000001</v>
      </c>
      <c r="U12" s="51">
        <v>1.3</v>
      </c>
      <c r="V12" s="51">
        <v>1.1000000000000001</v>
      </c>
      <c r="W12" s="51">
        <v>1.4</v>
      </c>
      <c r="X12" s="51">
        <v>0.8</v>
      </c>
      <c r="Y12" s="51">
        <v>1.3</v>
      </c>
      <c r="Z12" s="51">
        <v>0.9</v>
      </c>
      <c r="AA12" s="51">
        <v>0.5</v>
      </c>
      <c r="AB12" s="51">
        <v>0.3</v>
      </c>
      <c r="AC12" s="51">
        <v>0.7</v>
      </c>
      <c r="AD12" s="51">
        <v>0.9</v>
      </c>
      <c r="AE12" s="51"/>
      <c r="AF12" s="51"/>
      <c r="AG12" s="46">
        <f t="shared" si="0"/>
        <v>31.1</v>
      </c>
      <c r="AH12" s="48"/>
      <c r="AI12" s="48"/>
    </row>
    <row r="13" spans="1:35" s="44" customFormat="1" ht="18.75" customHeight="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2.1</v>
      </c>
      <c r="C14" s="51">
        <v>1.1000000000000001</v>
      </c>
      <c r="D14" s="51">
        <v>2</v>
      </c>
      <c r="E14" s="51">
        <v>3.1</v>
      </c>
      <c r="F14" s="51">
        <v>4.2</v>
      </c>
      <c r="G14" s="51">
        <v>5.3</v>
      </c>
      <c r="H14" s="51">
        <v>3.1</v>
      </c>
      <c r="I14" s="51">
        <v>6.3</v>
      </c>
      <c r="J14" s="51">
        <v>5.0999999999999996</v>
      </c>
      <c r="K14" s="51">
        <v>4.2</v>
      </c>
      <c r="L14" s="51">
        <v>8.3000000000000007</v>
      </c>
      <c r="M14" s="51">
        <v>7.4</v>
      </c>
      <c r="N14" s="51">
        <v>9.4</v>
      </c>
      <c r="O14" s="51">
        <v>6.3</v>
      </c>
      <c r="P14" s="51">
        <v>5.2</v>
      </c>
      <c r="Q14" s="51">
        <v>8.3000000000000007</v>
      </c>
      <c r="R14" s="51">
        <v>5.2</v>
      </c>
      <c r="S14" s="51">
        <v>4.2</v>
      </c>
      <c r="T14" s="51">
        <v>6.3</v>
      </c>
      <c r="U14" s="51">
        <v>6.4</v>
      </c>
      <c r="V14" s="51">
        <v>7.4</v>
      </c>
      <c r="W14" s="51">
        <v>3.2</v>
      </c>
      <c r="X14" s="51">
        <v>9.4</v>
      </c>
      <c r="Y14" s="52">
        <v>7.4</v>
      </c>
      <c r="Z14" s="52">
        <v>5.2</v>
      </c>
      <c r="AA14" s="52">
        <v>4.2</v>
      </c>
      <c r="AB14" s="52">
        <v>6.3</v>
      </c>
      <c r="AC14" s="52">
        <v>7.4</v>
      </c>
      <c r="AD14" s="52">
        <v>8.3000000000000007</v>
      </c>
      <c r="AE14" s="52"/>
      <c r="AF14" s="52"/>
      <c r="AG14" s="46">
        <f t="shared" si="0"/>
        <v>162.30000000000004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2.8</v>
      </c>
      <c r="C15" s="51">
        <v>1.9</v>
      </c>
      <c r="D15" s="51">
        <v>3.5</v>
      </c>
      <c r="E15" s="51">
        <v>4</v>
      </c>
      <c r="F15" s="51">
        <v>4.3</v>
      </c>
      <c r="G15" s="51">
        <v>3.8</v>
      </c>
      <c r="H15" s="51">
        <v>3.1</v>
      </c>
      <c r="I15" s="51">
        <v>3.3</v>
      </c>
      <c r="J15" s="51">
        <v>4.0999999999999996</v>
      </c>
      <c r="K15" s="51">
        <v>3.5</v>
      </c>
      <c r="L15" s="51">
        <v>3.5</v>
      </c>
      <c r="M15" s="51">
        <v>2.8</v>
      </c>
      <c r="N15" s="51">
        <v>1.8</v>
      </c>
      <c r="O15" s="51">
        <v>0.1</v>
      </c>
      <c r="P15" s="51">
        <v>0.2</v>
      </c>
      <c r="Q15" s="51">
        <v>0.2</v>
      </c>
      <c r="R15" s="51">
        <v>1.5</v>
      </c>
      <c r="S15" s="51">
        <v>4</v>
      </c>
      <c r="T15" s="51">
        <v>2.5</v>
      </c>
      <c r="U15" s="51">
        <v>2.9</v>
      </c>
      <c r="V15" s="51">
        <v>2.1</v>
      </c>
      <c r="W15" s="51">
        <v>2.9</v>
      </c>
      <c r="X15" s="51">
        <v>1.2</v>
      </c>
      <c r="Y15" s="51">
        <v>2.1</v>
      </c>
      <c r="Z15" s="51">
        <v>2</v>
      </c>
      <c r="AA15" s="51">
        <v>2.2999999999999998</v>
      </c>
      <c r="AB15" s="51">
        <v>2.4</v>
      </c>
      <c r="AC15" s="51">
        <v>2.5</v>
      </c>
      <c r="AD15" s="51">
        <v>1.1000000000000001</v>
      </c>
      <c r="AE15" s="51"/>
      <c r="AF15" s="51"/>
      <c r="AG15" s="46">
        <f t="shared" si="0"/>
        <v>72.400000000000006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>
        <v>1</v>
      </c>
      <c r="F17" s="51"/>
      <c r="G17" s="51">
        <v>0.4</v>
      </c>
      <c r="H17" s="51"/>
      <c r="I17" s="51">
        <v>0.3</v>
      </c>
      <c r="J17" s="51"/>
      <c r="K17" s="51">
        <v>0.4</v>
      </c>
      <c r="L17" s="51"/>
      <c r="M17" s="51"/>
      <c r="N17" s="51"/>
      <c r="O17" s="51"/>
      <c r="P17" s="51">
        <v>1</v>
      </c>
      <c r="Q17" s="51"/>
      <c r="R17" s="51"/>
      <c r="S17" s="51"/>
      <c r="T17" s="51"/>
      <c r="U17" s="51"/>
      <c r="V17" s="51"/>
      <c r="W17" s="51">
        <v>0.4</v>
      </c>
      <c r="X17" s="51"/>
      <c r="Y17" s="51"/>
      <c r="Z17" s="51"/>
      <c r="AA17" s="51"/>
      <c r="AB17" s="51"/>
      <c r="AC17" s="51"/>
      <c r="AD17" s="51">
        <v>0.4</v>
      </c>
      <c r="AE17" s="51"/>
      <c r="AF17" s="51"/>
      <c r="AG17" s="46">
        <f t="shared" si="0"/>
        <v>3.9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v>2.5</v>
      </c>
      <c r="C20" s="51">
        <v>2.9</v>
      </c>
      <c r="D20" s="51">
        <v>3.3</v>
      </c>
      <c r="E20" s="51">
        <v>3</v>
      </c>
      <c r="F20" s="51">
        <v>4</v>
      </c>
      <c r="G20" s="51">
        <v>3.2</v>
      </c>
      <c r="H20" s="51">
        <v>3.2</v>
      </c>
      <c r="I20" s="51">
        <v>3</v>
      </c>
      <c r="J20" s="51">
        <v>3.1</v>
      </c>
      <c r="K20" s="51">
        <v>3.3</v>
      </c>
      <c r="L20" s="51">
        <v>3.5</v>
      </c>
      <c r="M20" s="51">
        <v>3.9</v>
      </c>
      <c r="N20" s="51">
        <v>4</v>
      </c>
      <c r="O20" s="51">
        <v>4.2</v>
      </c>
      <c r="P20" s="51">
        <v>4.4000000000000004</v>
      </c>
      <c r="Q20" s="51">
        <v>4.7</v>
      </c>
      <c r="R20" s="51">
        <v>3</v>
      </c>
      <c r="S20" s="51">
        <v>3.4</v>
      </c>
      <c r="T20" s="51">
        <v>3</v>
      </c>
      <c r="U20" s="51">
        <v>3.7</v>
      </c>
      <c r="V20" s="51">
        <v>3.6</v>
      </c>
      <c r="W20" s="51">
        <v>3</v>
      </c>
      <c r="X20" s="51">
        <v>3.2</v>
      </c>
      <c r="Y20" s="51">
        <v>3.1</v>
      </c>
      <c r="Z20" s="51">
        <v>4.7</v>
      </c>
      <c r="AA20" s="51">
        <v>4.3</v>
      </c>
      <c r="AB20" s="51">
        <v>3.9</v>
      </c>
      <c r="AC20" s="51">
        <v>3.5</v>
      </c>
      <c r="AD20" s="51">
        <v>4</v>
      </c>
      <c r="AE20" s="51"/>
      <c r="AF20" s="51"/>
      <c r="AG20" s="46">
        <f t="shared" si="0"/>
        <v>102.6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3</v>
      </c>
      <c r="C24" s="51">
        <v>3</v>
      </c>
      <c r="D24" s="51">
        <v>4</v>
      </c>
      <c r="E24" s="51">
        <v>5</v>
      </c>
      <c r="F24" s="51">
        <v>4</v>
      </c>
      <c r="G24" s="51">
        <v>3</v>
      </c>
      <c r="H24" s="51">
        <v>2</v>
      </c>
      <c r="I24" s="51">
        <v>3</v>
      </c>
      <c r="J24" s="51">
        <v>3</v>
      </c>
      <c r="K24" s="51">
        <v>5</v>
      </c>
      <c r="L24" s="51">
        <v>3.1</v>
      </c>
      <c r="M24" s="51">
        <v>4</v>
      </c>
      <c r="N24" s="51">
        <v>5</v>
      </c>
      <c r="O24" s="51">
        <v>5</v>
      </c>
      <c r="P24" s="51">
        <v>7</v>
      </c>
      <c r="Q24" s="51">
        <v>6</v>
      </c>
      <c r="R24" s="51">
        <v>4</v>
      </c>
      <c r="S24" s="51">
        <v>6</v>
      </c>
      <c r="T24" s="51">
        <v>7</v>
      </c>
      <c r="U24" s="51">
        <v>4</v>
      </c>
      <c r="V24" s="51">
        <v>3</v>
      </c>
      <c r="W24" s="51">
        <v>5</v>
      </c>
      <c r="X24" s="51">
        <v>6</v>
      </c>
      <c r="Y24" s="51">
        <v>6</v>
      </c>
      <c r="Z24" s="51">
        <v>6</v>
      </c>
      <c r="AA24" s="51">
        <v>7</v>
      </c>
      <c r="AB24" s="51">
        <v>6</v>
      </c>
      <c r="AC24" s="51">
        <v>7</v>
      </c>
      <c r="AD24" s="51">
        <v>6</v>
      </c>
      <c r="AE24" s="51"/>
      <c r="AF24" s="51"/>
      <c r="AG24" s="46">
        <f t="shared" si="0"/>
        <v>138.1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52">
        <f>3.6+2.5+3.3</f>
        <v>9.3999999999999986</v>
      </c>
      <c r="C29" s="52">
        <f>4.1+2.8+3.6</f>
        <v>10.5</v>
      </c>
      <c r="D29" s="52">
        <f>5.3+2.9+4.5</f>
        <v>12.7</v>
      </c>
      <c r="E29" s="52">
        <f>3+2.5+1.9</f>
        <v>7.4</v>
      </c>
      <c r="F29" s="52">
        <f>3.5+1.5+2</f>
        <v>7</v>
      </c>
      <c r="G29" s="52">
        <f>2.5+1.2+2</f>
        <v>5.7</v>
      </c>
      <c r="H29" s="52">
        <v>2.5</v>
      </c>
      <c r="I29" s="52">
        <f>2.5+2+0.9</f>
        <v>5.4</v>
      </c>
      <c r="J29" s="52">
        <f>2.5+1.9</f>
        <v>4.4000000000000004</v>
      </c>
      <c r="K29" s="52">
        <f>3.1+2.5+1.9</f>
        <v>7.5</v>
      </c>
      <c r="L29" s="52">
        <f>5.9+2.1+0.9</f>
        <v>8.9</v>
      </c>
      <c r="M29" s="52">
        <f>3.5+3.1+1.5</f>
        <v>8.1</v>
      </c>
      <c r="N29" s="52">
        <f>4.5+1.9+2.1</f>
        <v>8.5</v>
      </c>
      <c r="O29" s="52">
        <f>3.2+1.9+0.9</f>
        <v>6</v>
      </c>
      <c r="P29" s="52">
        <f>2.5+1.1+2.1</f>
        <v>5.7</v>
      </c>
      <c r="Q29" s="52">
        <f>3.5+1.2+1.1</f>
        <v>5.8000000000000007</v>
      </c>
      <c r="R29" s="52">
        <f>3.5+2+1.1</f>
        <v>6.6</v>
      </c>
      <c r="S29" s="52">
        <f>2.5+0.9+1</f>
        <v>4.4000000000000004</v>
      </c>
      <c r="T29" s="52">
        <f>3.5+0.9+2</f>
        <v>6.4</v>
      </c>
      <c r="U29" s="52">
        <f>2.5+1.5+1</f>
        <v>5</v>
      </c>
      <c r="V29" s="52">
        <f>3.5+3+1.1</f>
        <v>7.6</v>
      </c>
      <c r="W29" s="52">
        <f>3+0.1+1.1</f>
        <v>4.2</v>
      </c>
      <c r="X29" s="52">
        <f>2.5+1.5+1.2</f>
        <v>5.2</v>
      </c>
      <c r="Y29" s="52">
        <f>3.5+1.1+2.2</f>
        <v>6.8</v>
      </c>
      <c r="Z29" s="52">
        <f>2.5+2.2+1.1</f>
        <v>5.8000000000000007</v>
      </c>
      <c r="AA29" s="52">
        <f>1.7+1.9+2.1</f>
        <v>5.6999999999999993</v>
      </c>
      <c r="AB29" s="52">
        <f>1.8+1.9+2.3</f>
        <v>6</v>
      </c>
      <c r="AC29" s="52">
        <f>2.3+1.9+2.5</f>
        <v>6.6999999999999993</v>
      </c>
      <c r="AD29" s="52">
        <f>1.8+1.3+2.3</f>
        <v>5.4</v>
      </c>
      <c r="AE29" s="52"/>
      <c r="AF29" s="52"/>
      <c r="AG29" s="46">
        <f t="shared" si="0"/>
        <v>191.29999999999998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>
        <f>6.5+5.9</f>
        <v>12.4</v>
      </c>
      <c r="C31" s="52">
        <f>7.4+9.1</f>
        <v>16.5</v>
      </c>
      <c r="D31" s="52">
        <f>8.3+7.6</f>
        <v>15.9</v>
      </c>
      <c r="E31" s="52">
        <f>9.9+8.3</f>
        <v>18.200000000000003</v>
      </c>
      <c r="F31" s="52">
        <f>9.9+8.3</f>
        <v>18.200000000000003</v>
      </c>
      <c r="G31" s="52">
        <f>5.9+6.5</f>
        <v>12.4</v>
      </c>
      <c r="H31" s="52">
        <f>6+7.2</f>
        <v>13.2</v>
      </c>
      <c r="I31" s="52">
        <f>7.2+6.1</f>
        <v>13.3</v>
      </c>
      <c r="J31" s="52">
        <f>6.2+5.9</f>
        <v>12.100000000000001</v>
      </c>
      <c r="K31" s="52">
        <f>8.4+9.1</f>
        <v>17.5</v>
      </c>
      <c r="L31" s="52">
        <f>7.2+9.4</f>
        <v>16.600000000000001</v>
      </c>
      <c r="M31" s="52">
        <f>5.2+6.3</f>
        <v>11.5</v>
      </c>
      <c r="N31" s="52">
        <f>6.4+8.1</f>
        <v>14.5</v>
      </c>
      <c r="O31" s="52">
        <f>7.3+8.2</f>
        <v>15.5</v>
      </c>
      <c r="P31" s="52">
        <f>7.2+5.9</f>
        <v>13.100000000000001</v>
      </c>
      <c r="Q31" s="52">
        <f>8.4+6.2</f>
        <v>14.600000000000001</v>
      </c>
      <c r="R31" s="52">
        <f>7.5+9.1</f>
        <v>16.600000000000001</v>
      </c>
      <c r="S31" s="52">
        <f>6.4+7.2</f>
        <v>13.600000000000001</v>
      </c>
      <c r="T31" s="52">
        <f>7.4+6.5</f>
        <v>13.9</v>
      </c>
      <c r="U31" s="52">
        <f>7.3+6.4</f>
        <v>13.7</v>
      </c>
      <c r="V31" s="52">
        <f>9.1+8.4</f>
        <v>17.5</v>
      </c>
      <c r="W31" s="52">
        <f>4.9+9.3</f>
        <v>14.200000000000001</v>
      </c>
      <c r="X31" s="52">
        <f>8.4+5.8</f>
        <v>14.2</v>
      </c>
      <c r="Y31" s="52">
        <f>6.2+7.4</f>
        <v>13.600000000000001</v>
      </c>
      <c r="Z31" s="52">
        <f>8.3+9.1</f>
        <v>17.399999999999999</v>
      </c>
      <c r="AA31" s="52">
        <f>7.3+6.4</f>
        <v>13.7</v>
      </c>
      <c r="AB31" s="52">
        <f>8.1+8.6</f>
        <v>16.7</v>
      </c>
      <c r="AC31" s="52">
        <f>6.4+7.4</f>
        <v>13.8</v>
      </c>
      <c r="AD31" s="52">
        <f>5.9+6.1</f>
        <v>12</v>
      </c>
      <c r="AE31" s="52"/>
      <c r="AF31" s="52"/>
      <c r="AG31" s="46">
        <f t="shared" si="0"/>
        <v>426.39999999999992</v>
      </c>
      <c r="AH31" s="48"/>
      <c r="AI31" s="48"/>
    </row>
    <row r="32" spans="1:35" s="44" customFormat="1" ht="18.75" customHeight="1" x14ac:dyDescent="0.35">
      <c r="A32" s="60" t="s">
        <v>178</v>
      </c>
      <c r="B32" s="52"/>
      <c r="C32" s="52"/>
      <c r="D32" s="52"/>
      <c r="E32" s="52"/>
      <c r="F32" s="52"/>
      <c r="G32" s="52"/>
      <c r="H32" s="52"/>
      <c r="I32" s="52"/>
      <c r="J32" s="52"/>
      <c r="K32" s="52"/>
      <c r="L32" s="52"/>
      <c r="M32" s="52"/>
      <c r="N32" s="52"/>
      <c r="O32" s="52"/>
      <c r="P32" s="52"/>
      <c r="Q32" s="52"/>
      <c r="R32" s="52"/>
      <c r="S32" s="52"/>
      <c r="T32" s="52"/>
      <c r="U32" s="52"/>
      <c r="V32" s="52"/>
      <c r="W32" s="52"/>
      <c r="X32" s="52"/>
      <c r="Y32" s="52"/>
      <c r="Z32" s="52"/>
      <c r="AA32" s="52"/>
      <c r="AB32" s="52"/>
      <c r="AC32" s="52"/>
      <c r="AD32" s="52"/>
      <c r="AE32" s="52"/>
      <c r="AF32" s="52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39.699999999999996</v>
      </c>
      <c r="C33" s="51">
        <f t="shared" ref="C33:AF33" si="1">SUM(C3:C32)</f>
        <v>45.1</v>
      </c>
      <c r="D33" s="51">
        <f t="shared" si="1"/>
        <v>49.199999999999996</v>
      </c>
      <c r="E33" s="51">
        <f t="shared" si="1"/>
        <v>47.900000000000006</v>
      </c>
      <c r="F33" s="51">
        <f t="shared" si="1"/>
        <v>51.800000000000004</v>
      </c>
      <c r="G33" s="51">
        <f t="shared" si="1"/>
        <v>41.3</v>
      </c>
      <c r="H33" s="51">
        <f t="shared" si="1"/>
        <v>36.099999999999994</v>
      </c>
      <c r="I33" s="51">
        <f t="shared" si="1"/>
        <v>42.8</v>
      </c>
      <c r="J33" s="51">
        <f t="shared" si="1"/>
        <v>40.300000000000004</v>
      </c>
      <c r="K33" s="51">
        <f t="shared" si="1"/>
        <v>49.099999999999994</v>
      </c>
      <c r="L33" s="51">
        <f t="shared" si="1"/>
        <v>52.300000000000004</v>
      </c>
      <c r="M33" s="51">
        <f t="shared" si="1"/>
        <v>46</v>
      </c>
      <c r="N33" s="51">
        <f t="shared" si="1"/>
        <v>51</v>
      </c>
      <c r="O33" s="51">
        <f t="shared" si="1"/>
        <v>44.1</v>
      </c>
      <c r="P33" s="51">
        <f t="shared" si="1"/>
        <v>44.8</v>
      </c>
      <c r="Q33" s="51">
        <f t="shared" si="1"/>
        <v>46.9</v>
      </c>
      <c r="R33" s="51">
        <f t="shared" si="1"/>
        <v>47.800000000000004</v>
      </c>
      <c r="S33" s="51">
        <f t="shared" si="1"/>
        <v>45.9</v>
      </c>
      <c r="T33" s="51">
        <f t="shared" si="1"/>
        <v>47.1</v>
      </c>
      <c r="U33" s="51">
        <f t="shared" si="1"/>
        <v>45.599999999999994</v>
      </c>
      <c r="V33" s="51">
        <f t="shared" si="1"/>
        <v>51.7</v>
      </c>
      <c r="W33" s="51">
        <f t="shared" si="1"/>
        <v>43</v>
      </c>
      <c r="X33" s="51">
        <f t="shared" si="1"/>
        <v>46.900000000000006</v>
      </c>
      <c r="Y33" s="51">
        <f t="shared" si="1"/>
        <v>48.7</v>
      </c>
      <c r="Z33" s="51">
        <f t="shared" si="1"/>
        <v>49.9</v>
      </c>
      <c r="AA33" s="51">
        <f t="shared" si="1"/>
        <v>44.7</v>
      </c>
      <c r="AB33" s="51">
        <f t="shared" si="1"/>
        <v>49</v>
      </c>
      <c r="AC33" s="51">
        <f t="shared" si="1"/>
        <v>48.7</v>
      </c>
      <c r="AD33" s="51">
        <f t="shared" si="1"/>
        <v>45.6</v>
      </c>
      <c r="AE33" s="51">
        <f t="shared" si="1"/>
        <v>0</v>
      </c>
      <c r="AF33" s="51">
        <f t="shared" si="1"/>
        <v>0</v>
      </c>
      <c r="AG33" s="56">
        <f>SUM(B33:AF33)</f>
        <v>1343.0000000000002</v>
      </c>
      <c r="AH33" s="57"/>
      <c r="AI33" s="57"/>
    </row>
    <row r="34" spans="1:35" s="2" customFormat="1" x14ac:dyDescent="0.25">
      <c r="AG34" s="24">
        <f>SUM(AG3:AG32)</f>
        <v>1343</v>
      </c>
    </row>
    <row r="35" spans="1:35" s="2" customFormat="1" x14ac:dyDescent="0.25"/>
    <row r="36" spans="1:35" s="2" customFormat="1" x14ac:dyDescent="0.25"/>
  </sheetData>
  <mergeCells count="1">
    <mergeCell ref="A1:AG1"/>
  </mergeCells>
  <conditionalFormatting sqref="AG33">
    <cfRule type="cellIs" dxfId="67" priority="2" operator="equal">
      <formula>$AG$34</formula>
    </cfRule>
  </conditionalFormatting>
  <conditionalFormatting sqref="AG34">
    <cfRule type="cellIs" dxfId="66" priority="1" operator="equal">
      <formula>$AG$33</formula>
    </cfRule>
  </conditionalFormatting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53.7109375" customWidth="1"/>
    <col min="2" max="32" width="6.710937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2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7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>
        <v>3.6</v>
      </c>
      <c r="C8" s="51">
        <v>4.0999999999999996</v>
      </c>
      <c r="D8" s="51">
        <v>3.3</v>
      </c>
      <c r="E8" s="51">
        <v>3</v>
      </c>
      <c r="F8" s="51">
        <v>4.2</v>
      </c>
      <c r="G8" s="51">
        <v>2.9</v>
      </c>
      <c r="H8" s="51">
        <v>3.6</v>
      </c>
      <c r="I8" s="51">
        <v>3.1</v>
      </c>
      <c r="J8" s="51">
        <v>4</v>
      </c>
      <c r="K8" s="51">
        <v>3.7</v>
      </c>
      <c r="L8" s="51">
        <v>2.8</v>
      </c>
      <c r="M8" s="51">
        <v>4.7</v>
      </c>
      <c r="N8" s="51">
        <v>3.6</v>
      </c>
      <c r="O8" s="51">
        <v>3.5</v>
      </c>
      <c r="P8" s="51">
        <v>3</v>
      </c>
      <c r="Q8" s="51">
        <v>2.6</v>
      </c>
      <c r="R8" s="51">
        <v>4.9000000000000004</v>
      </c>
      <c r="S8" s="51">
        <v>4.5</v>
      </c>
      <c r="T8" s="51">
        <v>3.6</v>
      </c>
      <c r="U8" s="51">
        <v>3.3</v>
      </c>
      <c r="V8" s="51">
        <v>3.7</v>
      </c>
      <c r="W8" s="51">
        <v>4.0999999999999996</v>
      </c>
      <c r="X8" s="51">
        <v>4.3</v>
      </c>
      <c r="Y8" s="51">
        <v>3.3</v>
      </c>
      <c r="Z8" s="51">
        <v>3.7</v>
      </c>
      <c r="AA8" s="51">
        <v>4.5</v>
      </c>
      <c r="AB8" s="51">
        <v>3.6</v>
      </c>
      <c r="AC8" s="51">
        <v>3.3</v>
      </c>
      <c r="AD8" s="51">
        <v>3.7</v>
      </c>
      <c r="AE8" s="51">
        <v>3</v>
      </c>
      <c r="AF8" s="51">
        <v>2</v>
      </c>
      <c r="AG8" s="46">
        <f t="shared" si="0"/>
        <v>111.19999999999997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>
        <v>4.3</v>
      </c>
      <c r="C10" s="51">
        <v>3.9</v>
      </c>
      <c r="D10" s="51">
        <v>3.5</v>
      </c>
      <c r="E10" s="51">
        <v>3.8</v>
      </c>
      <c r="F10" s="51">
        <v>3.9</v>
      </c>
      <c r="G10" s="51">
        <v>3.8</v>
      </c>
      <c r="H10" s="51">
        <v>3.2</v>
      </c>
      <c r="I10" s="51">
        <v>1.4</v>
      </c>
      <c r="J10" s="51">
        <v>4.3</v>
      </c>
      <c r="K10" s="51">
        <v>4.0999999999999996</v>
      </c>
      <c r="L10" s="51">
        <v>3.9</v>
      </c>
      <c r="M10" s="51">
        <v>4.2</v>
      </c>
      <c r="N10" s="51">
        <v>4</v>
      </c>
      <c r="O10" s="51">
        <v>3.9</v>
      </c>
      <c r="P10" s="51">
        <v>3.2</v>
      </c>
      <c r="Q10" s="51">
        <v>1.5</v>
      </c>
      <c r="R10" s="51">
        <v>4.0999999999999996</v>
      </c>
      <c r="S10" s="51">
        <v>3.8</v>
      </c>
      <c r="T10" s="51">
        <v>3.5</v>
      </c>
      <c r="U10" s="51">
        <v>3.4</v>
      </c>
      <c r="V10" s="51">
        <v>4.0999999999999996</v>
      </c>
      <c r="W10" s="51">
        <v>3.9</v>
      </c>
      <c r="X10" s="51">
        <v>4</v>
      </c>
      <c r="Y10" s="51">
        <v>4.2</v>
      </c>
      <c r="Z10" s="51">
        <v>3.9</v>
      </c>
      <c r="AA10" s="51">
        <v>3.1</v>
      </c>
      <c r="AB10" s="51">
        <v>2.8</v>
      </c>
      <c r="AC10" s="51">
        <v>3.5</v>
      </c>
      <c r="AD10" s="51">
        <v>3.2</v>
      </c>
      <c r="AE10" s="51">
        <v>3.1</v>
      </c>
      <c r="AF10" s="51">
        <v>3</v>
      </c>
      <c r="AG10" s="46">
        <f t="shared" si="0"/>
        <v>110.5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51">
        <v>0.9</v>
      </c>
      <c r="C12" s="51">
        <v>3.2</v>
      </c>
      <c r="D12" s="51">
        <v>0.5</v>
      </c>
      <c r="E12" s="51">
        <v>1.8</v>
      </c>
      <c r="F12" s="51">
        <v>1.1000000000000001</v>
      </c>
      <c r="G12" s="51">
        <v>1.3</v>
      </c>
      <c r="H12" s="51">
        <v>1.6</v>
      </c>
      <c r="I12" s="51">
        <v>1.4</v>
      </c>
      <c r="J12" s="51">
        <v>0.8</v>
      </c>
      <c r="K12" s="51">
        <v>3.2</v>
      </c>
      <c r="L12" s="51">
        <v>4.0999999999999996</v>
      </c>
      <c r="M12" s="51">
        <v>1.7</v>
      </c>
      <c r="N12" s="51">
        <v>3.4</v>
      </c>
      <c r="O12" s="51">
        <v>0.8</v>
      </c>
      <c r="P12" s="51">
        <v>1.5</v>
      </c>
      <c r="Q12" s="51">
        <v>1.8</v>
      </c>
      <c r="R12" s="51">
        <v>3.2</v>
      </c>
      <c r="S12" s="51">
        <v>4.5</v>
      </c>
      <c r="T12" s="51">
        <v>4.2</v>
      </c>
      <c r="U12" s="51">
        <v>3.4</v>
      </c>
      <c r="V12" s="51">
        <v>1.3</v>
      </c>
      <c r="W12" s="51">
        <v>0.5</v>
      </c>
      <c r="X12" s="51">
        <v>3.5</v>
      </c>
      <c r="Y12" s="51">
        <v>4.9000000000000004</v>
      </c>
      <c r="Z12" s="51">
        <v>1.3</v>
      </c>
      <c r="AA12" s="51">
        <v>4.7</v>
      </c>
      <c r="AB12" s="51">
        <v>3.4</v>
      </c>
      <c r="AC12" s="51">
        <v>1.1000000000000001</v>
      </c>
      <c r="AD12" s="51">
        <v>3.4</v>
      </c>
      <c r="AE12" s="51">
        <v>4.9000000000000004</v>
      </c>
      <c r="AF12" s="51">
        <v>3.7</v>
      </c>
      <c r="AG12" s="46">
        <f t="shared" si="0"/>
        <v>77.100000000000009</v>
      </c>
    </row>
    <row r="13" spans="1:35" s="44" customFormat="1" ht="2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>
        <v>6.1</v>
      </c>
      <c r="C14" s="51">
        <v>5.2</v>
      </c>
      <c r="D14" s="51">
        <v>4.0999999999999996</v>
      </c>
      <c r="E14" s="51">
        <v>2.2000000000000002</v>
      </c>
      <c r="F14" s="51">
        <v>3.3</v>
      </c>
      <c r="G14" s="51">
        <v>1.1000000000000001</v>
      </c>
      <c r="H14" s="51">
        <v>4.2</v>
      </c>
      <c r="I14" s="51">
        <v>6.3</v>
      </c>
      <c r="J14" s="51">
        <v>4.0999999999999996</v>
      </c>
      <c r="K14" s="51">
        <v>5.2</v>
      </c>
      <c r="L14" s="51">
        <v>7.3</v>
      </c>
      <c r="M14" s="51">
        <v>2.2000000000000002</v>
      </c>
      <c r="N14" s="51">
        <v>1.1000000000000001</v>
      </c>
      <c r="O14" s="51">
        <v>3</v>
      </c>
      <c r="P14" s="51">
        <v>2.1</v>
      </c>
      <c r="Q14" s="51">
        <v>4.0999999999999996</v>
      </c>
      <c r="R14" s="51">
        <v>5.3</v>
      </c>
      <c r="S14" s="51">
        <v>2.2000000000000002</v>
      </c>
      <c r="T14" s="51">
        <v>3.1</v>
      </c>
      <c r="U14" s="51">
        <v>4.2</v>
      </c>
      <c r="V14" s="51">
        <v>5.2</v>
      </c>
      <c r="W14" s="51">
        <v>3.2</v>
      </c>
      <c r="X14" s="51">
        <v>1.1000000000000001</v>
      </c>
      <c r="Y14" s="52">
        <v>3.2</v>
      </c>
      <c r="Z14" s="52">
        <v>4.0999999999999996</v>
      </c>
      <c r="AA14" s="52">
        <v>4.3</v>
      </c>
      <c r="AB14" s="52">
        <v>3.9</v>
      </c>
      <c r="AC14" s="52">
        <v>3.4</v>
      </c>
      <c r="AD14" s="52">
        <v>2.9</v>
      </c>
      <c r="AE14" s="52">
        <v>1.9</v>
      </c>
      <c r="AF14" s="52">
        <v>2.8</v>
      </c>
      <c r="AG14" s="46">
        <f t="shared" si="0"/>
        <v>112.40000000000002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0.2</v>
      </c>
      <c r="C15" s="51">
        <v>2.1</v>
      </c>
      <c r="D15" s="51">
        <v>4</v>
      </c>
      <c r="E15" s="51">
        <v>3.1</v>
      </c>
      <c r="F15" s="51">
        <v>2.1</v>
      </c>
      <c r="G15" s="51">
        <v>2.2000000000000002</v>
      </c>
      <c r="H15" s="51">
        <v>2.5</v>
      </c>
      <c r="I15" s="51">
        <v>2.1</v>
      </c>
      <c r="J15" s="51">
        <v>2.1</v>
      </c>
      <c r="K15" s="51">
        <v>2</v>
      </c>
      <c r="L15" s="51">
        <v>2.7</v>
      </c>
      <c r="M15" s="51">
        <v>2.5</v>
      </c>
      <c r="N15" s="51" t="s">
        <v>200</v>
      </c>
      <c r="O15" s="51">
        <v>2.5</v>
      </c>
      <c r="P15" s="51">
        <v>0</v>
      </c>
      <c r="Q15" s="51">
        <v>2</v>
      </c>
      <c r="R15" s="51">
        <v>2.9</v>
      </c>
      <c r="S15" s="51">
        <v>2.8</v>
      </c>
      <c r="T15" s="51">
        <v>2.5</v>
      </c>
      <c r="U15" s="51">
        <v>2.4</v>
      </c>
      <c r="V15" s="51">
        <v>1.5</v>
      </c>
      <c r="W15" s="51">
        <v>1</v>
      </c>
      <c r="X15" s="51">
        <v>0.2</v>
      </c>
      <c r="Y15" s="51">
        <v>2.5</v>
      </c>
      <c r="Z15" s="51">
        <v>0.5</v>
      </c>
      <c r="AA15" s="51">
        <v>1</v>
      </c>
      <c r="AB15" s="51">
        <v>1.3</v>
      </c>
      <c r="AC15" s="51">
        <v>0</v>
      </c>
      <c r="AD15" s="51">
        <v>0</v>
      </c>
      <c r="AE15" s="51">
        <v>1</v>
      </c>
      <c r="AF15" s="51">
        <v>2.5</v>
      </c>
      <c r="AG15" s="46">
        <f t="shared" si="0"/>
        <v>54.199999999999996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>
        <v>0.9</v>
      </c>
      <c r="I17" s="51"/>
      <c r="J17" s="51"/>
      <c r="K17" s="51"/>
      <c r="L17" s="51"/>
      <c r="M17" s="51"/>
      <c r="N17" s="51"/>
      <c r="O17" s="51"/>
      <c r="P17" s="51"/>
      <c r="Q17" s="51"/>
      <c r="R17" s="51"/>
      <c r="S17" s="51"/>
      <c r="T17" s="51">
        <v>2</v>
      </c>
      <c r="U17" s="51"/>
      <c r="V17" s="51"/>
      <c r="W17" s="51">
        <v>1.3</v>
      </c>
      <c r="X17" s="51"/>
      <c r="Y17" s="51">
        <v>1</v>
      </c>
      <c r="Z17" s="51"/>
      <c r="AA17" s="51"/>
      <c r="AB17" s="51">
        <v>1.5</v>
      </c>
      <c r="AC17" s="51"/>
      <c r="AD17" s="51"/>
      <c r="AE17" s="51">
        <v>1.7</v>
      </c>
      <c r="AF17" s="51"/>
      <c r="AG17" s="46">
        <f t="shared" si="0"/>
        <v>8.4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>
        <v>2.6</v>
      </c>
      <c r="C20" s="51">
        <v>2.8</v>
      </c>
      <c r="D20" s="51">
        <v>3</v>
      </c>
      <c r="E20" s="51">
        <v>3.4</v>
      </c>
      <c r="F20" s="51">
        <v>3.5</v>
      </c>
      <c r="G20" s="51">
        <v>3.9</v>
      </c>
      <c r="H20" s="51">
        <v>2</v>
      </c>
      <c r="I20" s="51">
        <v>2.2000000000000002</v>
      </c>
      <c r="J20" s="51">
        <v>3.3</v>
      </c>
      <c r="K20" s="51">
        <v>2.9</v>
      </c>
      <c r="L20" s="51">
        <v>2.8</v>
      </c>
      <c r="M20" s="51">
        <v>3.7</v>
      </c>
      <c r="N20" s="51">
        <v>3.1</v>
      </c>
      <c r="O20" s="51">
        <v>3</v>
      </c>
      <c r="P20" s="51">
        <v>3.4</v>
      </c>
      <c r="Q20" s="51">
        <v>3.6</v>
      </c>
      <c r="R20" s="51">
        <v>4</v>
      </c>
      <c r="S20" s="51">
        <v>2.9</v>
      </c>
      <c r="T20" s="51">
        <v>2.8</v>
      </c>
      <c r="U20" s="51">
        <v>2.9</v>
      </c>
      <c r="V20" s="51">
        <v>4</v>
      </c>
      <c r="W20" s="51">
        <v>3.7</v>
      </c>
      <c r="X20" s="51">
        <v>3.5</v>
      </c>
      <c r="Y20" s="51">
        <v>3.6</v>
      </c>
      <c r="Z20" s="51">
        <v>4.8</v>
      </c>
      <c r="AA20" s="51">
        <v>4</v>
      </c>
      <c r="AB20" s="51">
        <v>2.5</v>
      </c>
      <c r="AC20" s="51">
        <v>2</v>
      </c>
      <c r="AD20" s="51">
        <v>2.5</v>
      </c>
      <c r="AE20" s="51">
        <v>2.1</v>
      </c>
      <c r="AF20" s="51">
        <v>2.2999999999999998</v>
      </c>
      <c r="AG20" s="46">
        <f t="shared" si="0"/>
        <v>96.799999999999983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2</v>
      </c>
      <c r="C24" s="51">
        <v>3</v>
      </c>
      <c r="D24" s="51">
        <v>2</v>
      </c>
      <c r="E24" s="51">
        <v>3</v>
      </c>
      <c r="F24" s="51">
        <v>1</v>
      </c>
      <c r="G24" s="51">
        <v>2</v>
      </c>
      <c r="H24" s="51">
        <v>2</v>
      </c>
      <c r="I24" s="51">
        <v>3</v>
      </c>
      <c r="J24" s="51">
        <v>1</v>
      </c>
      <c r="K24" s="51">
        <v>2</v>
      </c>
      <c r="L24" s="51">
        <v>3</v>
      </c>
      <c r="M24" s="51">
        <v>2</v>
      </c>
      <c r="N24" s="51">
        <v>3</v>
      </c>
      <c r="O24" s="51">
        <v>4</v>
      </c>
      <c r="P24" s="51">
        <v>3</v>
      </c>
      <c r="Q24" s="51">
        <v>2</v>
      </c>
      <c r="R24" s="51">
        <v>3</v>
      </c>
      <c r="S24" s="51">
        <v>2</v>
      </c>
      <c r="T24" s="51">
        <v>3</v>
      </c>
      <c r="U24" s="51">
        <v>3</v>
      </c>
      <c r="V24" s="51">
        <v>2</v>
      </c>
      <c r="W24" s="51">
        <v>4</v>
      </c>
      <c r="X24" s="51">
        <v>3</v>
      </c>
      <c r="Y24" s="51">
        <v>2</v>
      </c>
      <c r="Z24" s="51">
        <v>3</v>
      </c>
      <c r="AA24" s="51">
        <v>2</v>
      </c>
      <c r="AB24" s="51">
        <v>3</v>
      </c>
      <c r="AC24" s="51">
        <v>2</v>
      </c>
      <c r="AD24" s="51">
        <v>2</v>
      </c>
      <c r="AE24" s="51">
        <v>1</v>
      </c>
      <c r="AF24" s="51">
        <v>2</v>
      </c>
      <c r="AG24" s="46">
        <f t="shared" si="0"/>
        <v>75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6">
        <f>1.9+2.1+1.9</f>
        <v>5.9</v>
      </c>
      <c r="C29" s="76">
        <f>3.1+2.1+1.9</f>
        <v>7.1</v>
      </c>
      <c r="D29" s="76">
        <f>0.8+0.9+3.1</f>
        <v>4.8000000000000007</v>
      </c>
      <c r="E29" s="76">
        <f>4.1+2.1+3.1</f>
        <v>9.2999999999999989</v>
      </c>
      <c r="F29" s="76">
        <f>2.5+3.1+2.8</f>
        <v>8.3999999999999986</v>
      </c>
      <c r="G29" s="76">
        <f>3.1+3.1+1.9</f>
        <v>8.1</v>
      </c>
      <c r="H29" s="76">
        <f>3.1+2.3+2.4</f>
        <v>7.8000000000000007</v>
      </c>
      <c r="I29" s="76">
        <f>3+1+2.3+1.9</f>
        <v>8.1999999999999993</v>
      </c>
      <c r="J29" s="76">
        <v>3.1</v>
      </c>
      <c r="K29" s="76">
        <f>3+2.1+3.1</f>
        <v>8.1999999999999993</v>
      </c>
      <c r="L29" s="76">
        <f>0.8+0.2+3.2</f>
        <v>4.2</v>
      </c>
      <c r="M29" s="76">
        <v>5.2</v>
      </c>
      <c r="N29" s="76">
        <v>5.2</v>
      </c>
      <c r="O29" s="76">
        <v>3.7</v>
      </c>
      <c r="P29" s="76">
        <v>6.2</v>
      </c>
      <c r="Q29" s="76">
        <f>2+1.5+1.2</f>
        <v>4.7</v>
      </c>
      <c r="R29" s="76">
        <f>4.2+2.1+1.9</f>
        <v>8.2000000000000011</v>
      </c>
      <c r="S29" s="76">
        <f>4.1+1.7+2.1</f>
        <v>7.9</v>
      </c>
      <c r="T29" s="76">
        <f>3.1+2.9+1.8</f>
        <v>7.8</v>
      </c>
      <c r="U29" s="76">
        <f>2.2+1.9+2.8</f>
        <v>6.8999999999999995</v>
      </c>
      <c r="V29" s="76">
        <f>2.5+1.5+2</f>
        <v>6</v>
      </c>
      <c r="W29" s="76">
        <f>2.1+2+1.8</f>
        <v>5.8999999999999995</v>
      </c>
      <c r="X29" s="76">
        <f>2.1+2.5+1.5</f>
        <v>6.1</v>
      </c>
      <c r="Y29" s="76">
        <f>2.9+2.1+2</f>
        <v>7</v>
      </c>
      <c r="Z29" s="76">
        <f>3.1+3+2.4</f>
        <v>8.5</v>
      </c>
      <c r="AA29" s="76">
        <f>2.1+4+3.1</f>
        <v>9.1999999999999993</v>
      </c>
      <c r="AB29" s="76">
        <f>3.1+2.4+3</f>
        <v>8.5</v>
      </c>
      <c r="AC29" s="76">
        <f>4.1+2.3+3.3</f>
        <v>9.6999999999999993</v>
      </c>
      <c r="AD29" s="76">
        <f>1.9+2.5+1.5</f>
        <v>5.9</v>
      </c>
      <c r="AE29" s="76">
        <f>2.1+1.5+1.5</f>
        <v>5.0999999999999996</v>
      </c>
      <c r="AF29" s="76">
        <v>5.9</v>
      </c>
      <c r="AG29" s="46">
        <f t="shared" si="0"/>
        <v>208.70000000000002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76">
        <f>11+3+10.8+5.3</f>
        <v>30.1</v>
      </c>
      <c r="C32" s="76">
        <f>9.7+7.3+6</f>
        <v>23</v>
      </c>
      <c r="D32" s="76">
        <f>8.6+9.4+6.6</f>
        <v>24.6</v>
      </c>
      <c r="E32" s="76">
        <f>8+9.2+7.4</f>
        <v>24.6</v>
      </c>
      <c r="F32" s="76">
        <f>7.7+6.9+10.5</f>
        <v>25.1</v>
      </c>
      <c r="G32" s="76">
        <f>7.6+8.9+9.6</f>
        <v>26.1</v>
      </c>
      <c r="H32" s="76">
        <f>8.6+9.6+7.6</f>
        <v>25.799999999999997</v>
      </c>
      <c r="I32" s="76">
        <f>6.9+7.6+9.6</f>
        <v>24.1</v>
      </c>
      <c r="J32" s="76">
        <f>8.9+18+9.4</f>
        <v>36.299999999999997</v>
      </c>
      <c r="K32" s="76">
        <f>9.6+7.6+8.6</f>
        <v>25.799999999999997</v>
      </c>
      <c r="L32" s="76">
        <f>9.2+7.8+6.8</f>
        <v>23.8</v>
      </c>
      <c r="M32" s="76">
        <f>7.6+7.8+9.6</f>
        <v>25</v>
      </c>
      <c r="N32" s="76">
        <f>9.6+8+7.6</f>
        <v>25.200000000000003</v>
      </c>
      <c r="O32" s="76">
        <f>9.6+7.8+8.9</f>
        <v>26.299999999999997</v>
      </c>
      <c r="P32" s="76">
        <f>8.6+7.6+9.9</f>
        <v>26.1</v>
      </c>
      <c r="Q32" s="76">
        <f>10+7.6+4.6</f>
        <v>22.200000000000003</v>
      </c>
      <c r="R32" s="76">
        <f>5.8+6.6+7.6</f>
        <v>20</v>
      </c>
      <c r="S32" s="76">
        <f>9.6+7.8+9.6</f>
        <v>27</v>
      </c>
      <c r="T32" s="76">
        <f>10+7.8+8.6</f>
        <v>26.4</v>
      </c>
      <c r="U32" s="76">
        <f>8.6+9+7.6</f>
        <v>25.200000000000003</v>
      </c>
      <c r="V32" s="76">
        <f>7.6+8.9+9.6</f>
        <v>26.1</v>
      </c>
      <c r="W32" s="76">
        <f>8.8+9.8+9.6</f>
        <v>28.200000000000003</v>
      </c>
      <c r="X32" s="76">
        <f>9.6+7.6+8.2</f>
        <v>25.4</v>
      </c>
      <c r="Y32" s="76">
        <f>11+0.1</f>
        <v>11.1</v>
      </c>
      <c r="Z32" s="76">
        <f>8.6+10.8+5.3</f>
        <v>24.7</v>
      </c>
      <c r="AA32" s="76">
        <f>8.6+9.4+7.4</f>
        <v>25.4</v>
      </c>
      <c r="AB32" s="76">
        <f>8+7.7+10.5</f>
        <v>26.2</v>
      </c>
      <c r="AC32" s="76">
        <f>9.6+7.6+8.9</f>
        <v>26.1</v>
      </c>
      <c r="AD32" s="76">
        <f>9.6+7.8+6.8</f>
        <v>24.2</v>
      </c>
      <c r="AE32" s="76">
        <f>10.8+7.5+4.7</f>
        <v>23</v>
      </c>
      <c r="AF32" s="76">
        <f>8.3+6.1+5.7</f>
        <v>20.100000000000001</v>
      </c>
      <c r="AG32" s="46">
        <f t="shared" si="0"/>
        <v>773.20000000000027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55.7</v>
      </c>
      <c r="C33" s="51">
        <f t="shared" ref="C33:AF33" si="1">SUM(C3:C32)</f>
        <v>54.4</v>
      </c>
      <c r="D33" s="51">
        <f t="shared" si="1"/>
        <v>49.8</v>
      </c>
      <c r="E33" s="51">
        <f t="shared" si="1"/>
        <v>54.2</v>
      </c>
      <c r="F33" s="51">
        <f t="shared" si="1"/>
        <v>52.6</v>
      </c>
      <c r="G33" s="51">
        <f t="shared" si="1"/>
        <v>51.400000000000006</v>
      </c>
      <c r="H33" s="51">
        <f t="shared" si="1"/>
        <v>53.599999999999994</v>
      </c>
      <c r="I33" s="51">
        <f t="shared" si="1"/>
        <v>51.8</v>
      </c>
      <c r="J33" s="51">
        <f t="shared" si="1"/>
        <v>59</v>
      </c>
      <c r="K33" s="51">
        <f t="shared" si="1"/>
        <v>57.099999999999994</v>
      </c>
      <c r="L33" s="51">
        <f t="shared" si="1"/>
        <v>54.599999999999994</v>
      </c>
      <c r="M33" s="51">
        <f t="shared" si="1"/>
        <v>51.2</v>
      </c>
      <c r="N33" s="51">
        <f t="shared" si="1"/>
        <v>48.6</v>
      </c>
      <c r="O33" s="51">
        <f t="shared" si="1"/>
        <v>50.7</v>
      </c>
      <c r="P33" s="51">
        <f t="shared" si="1"/>
        <v>48.5</v>
      </c>
      <c r="Q33" s="51">
        <f t="shared" si="1"/>
        <v>44.5</v>
      </c>
      <c r="R33" s="51">
        <f t="shared" si="1"/>
        <v>55.6</v>
      </c>
      <c r="S33" s="51">
        <f t="shared" si="1"/>
        <v>57.6</v>
      </c>
      <c r="T33" s="51">
        <f t="shared" si="1"/>
        <v>58.9</v>
      </c>
      <c r="U33" s="51">
        <f t="shared" si="1"/>
        <v>54.7</v>
      </c>
      <c r="V33" s="51">
        <f t="shared" si="1"/>
        <v>53.900000000000006</v>
      </c>
      <c r="W33" s="51">
        <f t="shared" si="1"/>
        <v>55.8</v>
      </c>
      <c r="X33" s="51">
        <f t="shared" si="1"/>
        <v>51.1</v>
      </c>
      <c r="Y33" s="51">
        <f t="shared" si="1"/>
        <v>42.800000000000004</v>
      </c>
      <c r="Z33" s="51">
        <f t="shared" si="1"/>
        <v>54.5</v>
      </c>
      <c r="AA33" s="51">
        <f t="shared" si="1"/>
        <v>58.199999999999996</v>
      </c>
      <c r="AB33" s="51">
        <f t="shared" si="1"/>
        <v>56.7</v>
      </c>
      <c r="AC33" s="51">
        <f t="shared" si="1"/>
        <v>51.1</v>
      </c>
      <c r="AD33" s="51">
        <f t="shared" si="1"/>
        <v>47.8</v>
      </c>
      <c r="AE33" s="51">
        <f t="shared" si="1"/>
        <v>46.8</v>
      </c>
      <c r="AF33" s="51">
        <f t="shared" si="1"/>
        <v>44.300000000000004</v>
      </c>
      <c r="AG33" s="56">
        <f>SUM(B33:AF33)</f>
        <v>1627.5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1627.5000000000005</v>
      </c>
      <c r="AH34" s="48"/>
      <c r="AI34" s="48"/>
    </row>
  </sheetData>
  <mergeCells count="1">
    <mergeCell ref="A1:AG1"/>
  </mergeCells>
  <conditionalFormatting sqref="AG33">
    <cfRule type="cellIs" dxfId="65" priority="2" operator="equal">
      <formula>$AG$34</formula>
    </cfRule>
  </conditionalFormatting>
  <conditionalFormatting sqref="AG34">
    <cfRule type="cellIs" dxfId="64" priority="1" operator="equal">
      <formula>$AG$33</formula>
    </cfRule>
  </conditionalFormatting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RowHeight="15" x14ac:dyDescent="0.25"/>
  <cols>
    <col min="1" max="1" width="53.7109375" customWidth="1"/>
    <col min="2" max="32" width="6.710937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 t="s">
        <v>61</v>
      </c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7" x14ac:dyDescent="0.35">
      <c r="A3" s="63" t="s">
        <v>94</v>
      </c>
      <c r="B3" s="49"/>
      <c r="C3" s="49"/>
      <c r="D3" s="49"/>
      <c r="E3" s="49"/>
      <c r="F3" s="49"/>
      <c r="G3" s="49"/>
      <c r="H3" s="49"/>
      <c r="I3" s="50"/>
      <c r="J3" s="49"/>
      <c r="K3" s="50"/>
      <c r="L3" s="49"/>
      <c r="M3" s="50"/>
      <c r="N3" s="49"/>
      <c r="O3" s="49"/>
      <c r="P3" s="50"/>
      <c r="Q3" s="49"/>
      <c r="R3" s="49"/>
      <c r="S3" s="50"/>
      <c r="T3" s="50"/>
      <c r="U3" s="50"/>
      <c r="V3" s="50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6">
        <f>SUM(B3:AF3)</f>
        <v>0</v>
      </c>
      <c r="AH3" s="47"/>
      <c r="AI3" s="48"/>
    </row>
    <row r="4" spans="1:35" s="44" customFormat="1" ht="21" x14ac:dyDescent="0.35">
      <c r="A4" s="60" t="s">
        <v>149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46">
        <f t="shared" ref="AG4:AG32" si="0">SUM(B4:AF4)</f>
        <v>0</v>
      </c>
      <c r="AH4" s="47"/>
      <c r="AI4" s="48"/>
    </row>
    <row r="5" spans="1:35" s="44" customFormat="1" ht="18.75" customHeight="1" x14ac:dyDescent="0.35">
      <c r="A5" s="60" t="s">
        <v>83</v>
      </c>
      <c r="B5" s="51"/>
      <c r="C5" s="51"/>
      <c r="D5" s="51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46">
        <f t="shared" si="0"/>
        <v>0</v>
      </c>
      <c r="AH5" s="48"/>
      <c r="AI5" s="48"/>
    </row>
    <row r="6" spans="1:35" s="44" customFormat="1" ht="18.75" customHeight="1" x14ac:dyDescent="0.35">
      <c r="A6" s="60" t="s">
        <v>84</v>
      </c>
      <c r="B6" s="51"/>
      <c r="C6" s="51"/>
      <c r="D6" s="51"/>
      <c r="E6" s="51"/>
      <c r="F6" s="51"/>
      <c r="G6" s="51"/>
      <c r="H6" s="51"/>
      <c r="I6" s="51"/>
      <c r="J6" s="51"/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46">
        <f t="shared" si="0"/>
        <v>0</v>
      </c>
      <c r="AH6" s="48"/>
      <c r="AI6" s="48"/>
    </row>
    <row r="7" spans="1:35" s="44" customFormat="1" ht="18.75" customHeight="1" x14ac:dyDescent="0.35">
      <c r="A7" s="60" t="s">
        <v>64</v>
      </c>
      <c r="B7" s="51"/>
      <c r="C7" s="51"/>
      <c r="D7" s="51"/>
      <c r="E7" s="51"/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46">
        <f t="shared" si="0"/>
        <v>0</v>
      </c>
      <c r="AH7" s="48"/>
      <c r="AI7" s="48"/>
    </row>
    <row r="8" spans="1:35" s="44" customFormat="1" ht="18.75" customHeight="1" x14ac:dyDescent="0.35">
      <c r="A8" s="60" t="s">
        <v>65</v>
      </c>
      <c r="B8" s="51"/>
      <c r="C8" s="51"/>
      <c r="D8" s="51"/>
      <c r="E8" s="51"/>
      <c r="F8" s="51"/>
      <c r="G8" s="51"/>
      <c r="H8" s="51"/>
      <c r="I8" s="51"/>
      <c r="J8" s="51"/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46">
        <f t="shared" si="0"/>
        <v>0</v>
      </c>
      <c r="AH8" s="48"/>
      <c r="AI8" s="48"/>
    </row>
    <row r="9" spans="1:35" s="44" customFormat="1" ht="18.75" customHeight="1" x14ac:dyDescent="0.35">
      <c r="A9" s="60" t="s">
        <v>66</v>
      </c>
      <c r="B9" s="52"/>
      <c r="C9" s="52"/>
      <c r="D9" s="52"/>
      <c r="E9" s="52"/>
      <c r="F9" s="52"/>
      <c r="G9" s="52"/>
      <c r="H9" s="52"/>
      <c r="I9" s="52"/>
      <c r="J9" s="52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  <c r="AF9" s="52"/>
      <c r="AG9" s="46">
        <f t="shared" si="0"/>
        <v>0</v>
      </c>
      <c r="AH9" s="48"/>
      <c r="AI9" s="48"/>
    </row>
    <row r="10" spans="1:35" s="44" customFormat="1" ht="18.75" customHeight="1" x14ac:dyDescent="0.35">
      <c r="A10" s="60" t="s">
        <v>67</v>
      </c>
      <c r="B10" s="51"/>
      <c r="C10" s="51"/>
      <c r="D10" s="51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46">
        <f t="shared" si="0"/>
        <v>0</v>
      </c>
      <c r="AH10" s="48"/>
      <c r="AI10" s="48"/>
    </row>
    <row r="11" spans="1:35" s="44" customFormat="1" ht="18.75" customHeight="1" x14ac:dyDescent="0.35">
      <c r="A11" s="60" t="s">
        <v>152</v>
      </c>
      <c r="B11" s="51"/>
      <c r="C11" s="51"/>
      <c r="D11" s="51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46">
        <f t="shared" si="0"/>
        <v>0</v>
      </c>
      <c r="AH11" s="48"/>
      <c r="AI11" s="48"/>
    </row>
    <row r="12" spans="1:35" s="44" customFormat="1" ht="21" x14ac:dyDescent="0.35">
      <c r="A12" s="60" t="s">
        <v>91</v>
      </c>
      <c r="B12" s="51"/>
      <c r="C12" s="51"/>
      <c r="D12" s="51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46">
        <f t="shared" si="0"/>
        <v>0</v>
      </c>
    </row>
    <row r="13" spans="1:35" s="44" customFormat="1" ht="21" x14ac:dyDescent="0.35">
      <c r="A13" s="60" t="s">
        <v>69</v>
      </c>
      <c r="B13" s="55"/>
      <c r="C13" s="55"/>
      <c r="D13" s="55"/>
      <c r="E13" s="55"/>
      <c r="F13" s="55"/>
      <c r="G13" s="55"/>
      <c r="H13" s="55"/>
      <c r="I13" s="55"/>
      <c r="J13" s="55"/>
      <c r="K13" s="55"/>
      <c r="L13" s="55"/>
      <c r="M13" s="55"/>
      <c r="N13" s="55"/>
      <c r="O13" s="55"/>
      <c r="P13" s="55"/>
      <c r="Q13" s="55"/>
      <c r="R13" s="55"/>
      <c r="S13" s="55"/>
      <c r="T13" s="55"/>
      <c r="U13" s="55"/>
      <c r="V13" s="55"/>
      <c r="W13" s="55"/>
      <c r="X13" s="55"/>
      <c r="Y13" s="55"/>
      <c r="Z13" s="55"/>
      <c r="AA13" s="55"/>
      <c r="AB13" s="55"/>
      <c r="AC13" s="55"/>
      <c r="AD13" s="55"/>
      <c r="AE13" s="55"/>
      <c r="AF13" s="55"/>
      <c r="AG13" s="46">
        <f t="shared" si="0"/>
        <v>0</v>
      </c>
      <c r="AH13" s="48"/>
      <c r="AI13" s="48"/>
    </row>
    <row r="14" spans="1:35" s="44" customFormat="1" ht="18.75" customHeight="1" x14ac:dyDescent="0.35">
      <c r="A14" s="60" t="s">
        <v>71</v>
      </c>
      <c r="B14" s="51"/>
      <c r="C14" s="51"/>
      <c r="D14" s="51"/>
      <c r="E14" s="51"/>
      <c r="F14" s="51"/>
      <c r="G14" s="51"/>
      <c r="H14" s="51"/>
      <c r="I14" s="51"/>
      <c r="J14" s="51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2"/>
      <c r="Z14" s="52"/>
      <c r="AA14" s="52"/>
      <c r="AB14" s="52"/>
      <c r="AC14" s="52"/>
      <c r="AD14" s="52"/>
      <c r="AE14" s="52"/>
      <c r="AF14" s="52"/>
      <c r="AG14" s="46">
        <f t="shared" si="0"/>
        <v>0</v>
      </c>
      <c r="AH14" s="48"/>
      <c r="AI14" s="48"/>
    </row>
    <row r="15" spans="1:35" s="44" customFormat="1" ht="18.75" customHeight="1" x14ac:dyDescent="0.35">
      <c r="A15" s="60" t="s">
        <v>72</v>
      </c>
      <c r="B15" s="51">
        <v>2.1</v>
      </c>
      <c r="C15" s="51">
        <v>2.5</v>
      </c>
      <c r="D15" s="51">
        <v>3.5</v>
      </c>
      <c r="E15" s="51">
        <v>0.9</v>
      </c>
      <c r="F15" s="51">
        <v>0.8</v>
      </c>
      <c r="G15" s="51">
        <v>1</v>
      </c>
      <c r="H15" s="51">
        <v>1.1000000000000001</v>
      </c>
      <c r="I15" s="51">
        <v>0.2</v>
      </c>
      <c r="J15" s="51"/>
      <c r="K15" s="51"/>
      <c r="L15" s="51"/>
      <c r="M15" s="51"/>
      <c r="N15" s="51">
        <v>0.9</v>
      </c>
      <c r="O15" s="51">
        <v>2.5</v>
      </c>
      <c r="P15" s="51"/>
      <c r="Q15" s="51">
        <v>2.5</v>
      </c>
      <c r="R15" s="51">
        <v>1.5</v>
      </c>
      <c r="S15" s="51"/>
      <c r="T15" s="51">
        <v>2.9</v>
      </c>
      <c r="U15" s="51">
        <v>1.2</v>
      </c>
      <c r="V15" s="51"/>
      <c r="W15" s="51">
        <v>1.1000000000000001</v>
      </c>
      <c r="X15" s="51">
        <v>2.5</v>
      </c>
      <c r="Y15" s="51">
        <v>2.8</v>
      </c>
      <c r="Z15" s="51">
        <v>1.5</v>
      </c>
      <c r="AA15" s="51"/>
      <c r="AB15" s="51">
        <v>2.5</v>
      </c>
      <c r="AC15" s="51">
        <v>3</v>
      </c>
      <c r="AD15" s="51">
        <v>2.5</v>
      </c>
      <c r="AE15" s="51">
        <v>2</v>
      </c>
      <c r="AF15" s="51"/>
      <c r="AG15" s="46">
        <f t="shared" si="0"/>
        <v>41.5</v>
      </c>
      <c r="AH15" s="48"/>
      <c r="AI15" s="48"/>
    </row>
    <row r="16" spans="1:35" s="44" customFormat="1" ht="18.75" customHeight="1" x14ac:dyDescent="0.35">
      <c r="A16" s="60" t="s">
        <v>85</v>
      </c>
      <c r="B16" s="51"/>
      <c r="C16" s="51"/>
      <c r="D16" s="51"/>
      <c r="E16" s="51"/>
      <c r="F16" s="51"/>
      <c r="G16" s="51"/>
      <c r="H16" s="51"/>
      <c r="I16" s="51"/>
      <c r="J16" s="51"/>
      <c r="K16" s="51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46">
        <f t="shared" si="0"/>
        <v>0</v>
      </c>
      <c r="AH16" s="48"/>
      <c r="AI16" s="48"/>
    </row>
    <row r="17" spans="1:35" s="44" customFormat="1" ht="18.75" customHeight="1" x14ac:dyDescent="0.35">
      <c r="A17" s="60" t="s">
        <v>194</v>
      </c>
      <c r="B17" s="51"/>
      <c r="C17" s="51"/>
      <c r="D17" s="51"/>
      <c r="E17" s="51"/>
      <c r="F17" s="51"/>
      <c r="G17" s="51"/>
      <c r="H17" s="51"/>
      <c r="I17" s="51">
        <v>1.4</v>
      </c>
      <c r="J17" s="51"/>
      <c r="K17" s="51"/>
      <c r="L17" s="51">
        <v>2.5</v>
      </c>
      <c r="M17" s="51"/>
      <c r="N17" s="51"/>
      <c r="O17" s="51"/>
      <c r="P17" s="51"/>
      <c r="Q17" s="51"/>
      <c r="R17" s="51"/>
      <c r="S17" s="51"/>
      <c r="T17" s="51"/>
      <c r="U17" s="51"/>
      <c r="V17" s="51">
        <v>0.3</v>
      </c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46">
        <f t="shared" si="0"/>
        <v>4.2</v>
      </c>
      <c r="AH17" s="48"/>
      <c r="AI17" s="48"/>
    </row>
    <row r="18" spans="1:35" s="44" customFormat="1" ht="18.75" customHeight="1" x14ac:dyDescent="0.35">
      <c r="A18" s="60" t="s">
        <v>73</v>
      </c>
      <c r="B18" s="51"/>
      <c r="C18" s="51"/>
      <c r="D18" s="51"/>
      <c r="E18" s="51"/>
      <c r="F18" s="51"/>
      <c r="G18" s="51"/>
      <c r="H18" s="51"/>
      <c r="I18" s="51"/>
      <c r="J18" s="51"/>
      <c r="K18" s="51"/>
      <c r="L18" s="51"/>
      <c r="M18" s="51"/>
      <c r="N18" s="51"/>
      <c r="O18" s="51"/>
      <c r="P18" s="51"/>
      <c r="Q18" s="5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46">
        <f t="shared" si="0"/>
        <v>0</v>
      </c>
      <c r="AH18" s="48"/>
      <c r="AI18" s="48"/>
    </row>
    <row r="19" spans="1:35" s="44" customFormat="1" ht="18.75" customHeight="1" x14ac:dyDescent="0.35">
      <c r="A19" s="60" t="s">
        <v>92</v>
      </c>
      <c r="B19" s="51"/>
      <c r="C19" s="51"/>
      <c r="D19" s="51"/>
      <c r="E19" s="51"/>
      <c r="F19" s="51"/>
      <c r="G19" s="51"/>
      <c r="H19" s="51"/>
      <c r="I19" s="51"/>
      <c r="J19" s="51"/>
      <c r="K19" s="51"/>
      <c r="L19" s="51"/>
      <c r="M19" s="51"/>
      <c r="N19" s="51"/>
      <c r="O19" s="51"/>
      <c r="P19" s="51"/>
      <c r="Q19" s="5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46">
        <f t="shared" si="0"/>
        <v>0</v>
      </c>
      <c r="AH19" s="48"/>
      <c r="AI19" s="48"/>
    </row>
    <row r="20" spans="1:35" s="44" customFormat="1" ht="18.75" customHeight="1" x14ac:dyDescent="0.35">
      <c r="A20" s="60" t="s">
        <v>89</v>
      </c>
      <c r="B20" s="51"/>
      <c r="C20" s="51"/>
      <c r="D20" s="51"/>
      <c r="E20" s="51"/>
      <c r="F20" s="51"/>
      <c r="G20" s="51"/>
      <c r="H20" s="51"/>
      <c r="I20" s="51"/>
      <c r="J20" s="51"/>
      <c r="K20" s="51"/>
      <c r="L20" s="51"/>
      <c r="M20" s="51"/>
      <c r="N20" s="51"/>
      <c r="O20" s="51"/>
      <c r="P20" s="51"/>
      <c r="Q20" s="51"/>
      <c r="R20" s="51"/>
      <c r="S20" s="51"/>
      <c r="T20" s="51"/>
      <c r="U20" s="51"/>
      <c r="V20" s="51"/>
      <c r="W20" s="51"/>
      <c r="X20" s="51"/>
      <c r="Y20" s="51"/>
      <c r="Z20" s="51"/>
      <c r="AA20" s="51"/>
      <c r="AB20" s="51"/>
      <c r="AC20" s="51"/>
      <c r="AD20" s="51"/>
      <c r="AE20" s="51"/>
      <c r="AF20" s="51"/>
      <c r="AG20" s="46">
        <f t="shared" si="0"/>
        <v>0</v>
      </c>
      <c r="AH20" s="48"/>
      <c r="AI20" s="48"/>
    </row>
    <row r="21" spans="1:35" s="44" customFormat="1" ht="18.75" customHeight="1" x14ac:dyDescent="0.35">
      <c r="A21" s="60" t="s">
        <v>74</v>
      </c>
      <c r="B21" s="51"/>
      <c r="C21" s="51"/>
      <c r="D21" s="51"/>
      <c r="E21" s="51"/>
      <c r="F21" s="51"/>
      <c r="G21" s="51"/>
      <c r="H21" s="51"/>
      <c r="I21" s="51"/>
      <c r="J21" s="51"/>
      <c r="K21" s="51"/>
      <c r="L21" s="51"/>
      <c r="M21" s="51"/>
      <c r="N21" s="51"/>
      <c r="O21" s="51"/>
      <c r="P21" s="51"/>
      <c r="Q21" s="51"/>
      <c r="R21" s="51"/>
      <c r="S21" s="51"/>
      <c r="T21" s="51"/>
      <c r="U21" s="51"/>
      <c r="V21" s="51"/>
      <c r="W21" s="51"/>
      <c r="X21" s="51"/>
      <c r="Y21" s="51"/>
      <c r="Z21" s="51"/>
      <c r="AA21" s="51"/>
      <c r="AB21" s="51"/>
      <c r="AC21" s="51"/>
      <c r="AD21" s="51"/>
      <c r="AE21" s="51"/>
      <c r="AF21" s="51"/>
      <c r="AG21" s="46">
        <f t="shared" si="0"/>
        <v>0</v>
      </c>
      <c r="AH21" s="48"/>
      <c r="AI21" s="48"/>
    </row>
    <row r="22" spans="1:35" s="44" customFormat="1" ht="18.75" customHeight="1" x14ac:dyDescent="0.35">
      <c r="A22" s="60" t="s">
        <v>75</v>
      </c>
      <c r="B22" s="51"/>
      <c r="C22" s="51"/>
      <c r="D22" s="51"/>
      <c r="E22" s="51"/>
      <c r="F22" s="51"/>
      <c r="G22" s="51"/>
      <c r="H22" s="51"/>
      <c r="I22" s="51"/>
      <c r="J22" s="51"/>
      <c r="K22" s="51"/>
      <c r="L22" s="51"/>
      <c r="M22" s="51"/>
      <c r="N22" s="51"/>
      <c r="O22" s="51"/>
      <c r="P22" s="51"/>
      <c r="Q22" s="51"/>
      <c r="R22" s="51"/>
      <c r="S22" s="51"/>
      <c r="T22" s="51"/>
      <c r="U22" s="51"/>
      <c r="V22" s="51"/>
      <c r="W22" s="51"/>
      <c r="X22" s="51"/>
      <c r="Y22" s="51"/>
      <c r="Z22" s="51"/>
      <c r="AA22" s="51"/>
      <c r="AB22" s="51"/>
      <c r="AC22" s="51"/>
      <c r="AD22" s="51"/>
      <c r="AE22" s="51"/>
      <c r="AF22" s="51"/>
      <c r="AG22" s="46">
        <f t="shared" si="0"/>
        <v>0</v>
      </c>
      <c r="AH22" s="48"/>
      <c r="AI22" s="48"/>
    </row>
    <row r="23" spans="1:35" s="44" customFormat="1" ht="18.75" customHeight="1" x14ac:dyDescent="0.35">
      <c r="A23" s="60" t="s">
        <v>77</v>
      </c>
      <c r="B23" s="51"/>
      <c r="C23" s="51"/>
      <c r="D23" s="51"/>
      <c r="E23" s="51"/>
      <c r="F23" s="51"/>
      <c r="G23" s="51"/>
      <c r="H23" s="51"/>
      <c r="I23" s="51"/>
      <c r="J23" s="51"/>
      <c r="K23" s="51"/>
      <c r="L23" s="51"/>
      <c r="M23" s="51"/>
      <c r="N23" s="51"/>
      <c r="O23" s="51"/>
      <c r="P23" s="51"/>
      <c r="Q23" s="51"/>
      <c r="R23" s="51"/>
      <c r="S23" s="51"/>
      <c r="T23" s="51"/>
      <c r="U23" s="51"/>
      <c r="V23" s="51"/>
      <c r="W23" s="51"/>
      <c r="X23" s="51"/>
      <c r="Y23" s="51"/>
      <c r="Z23" s="51"/>
      <c r="AA23" s="51"/>
      <c r="AB23" s="51"/>
      <c r="AC23" s="51"/>
      <c r="AD23" s="51"/>
      <c r="AE23" s="51"/>
      <c r="AF23" s="51"/>
      <c r="AG23" s="46">
        <f t="shared" si="0"/>
        <v>0</v>
      </c>
      <c r="AH23" s="48"/>
      <c r="AI23" s="48"/>
    </row>
    <row r="24" spans="1:35" s="44" customFormat="1" ht="18.75" customHeight="1" x14ac:dyDescent="0.35">
      <c r="A24" s="60" t="s">
        <v>78</v>
      </c>
      <c r="B24" s="51">
        <v>1</v>
      </c>
      <c r="C24" s="51">
        <v>2</v>
      </c>
      <c r="D24" s="51">
        <v>2</v>
      </c>
      <c r="E24" s="51">
        <v>3.2</v>
      </c>
      <c r="F24" s="51">
        <v>2</v>
      </c>
      <c r="G24" s="51">
        <v>3</v>
      </c>
      <c r="H24" s="51">
        <v>2</v>
      </c>
      <c r="I24" s="51">
        <v>4</v>
      </c>
      <c r="J24" s="51">
        <v>4</v>
      </c>
      <c r="K24" s="51">
        <v>3</v>
      </c>
      <c r="L24" s="51">
        <v>4</v>
      </c>
      <c r="M24" s="51">
        <v>3</v>
      </c>
      <c r="N24" s="51">
        <v>4</v>
      </c>
      <c r="O24" s="51">
        <v>3</v>
      </c>
      <c r="P24" s="51">
        <v>2</v>
      </c>
      <c r="Q24" s="51">
        <v>2</v>
      </c>
      <c r="R24" s="51">
        <v>3</v>
      </c>
      <c r="S24" s="51">
        <v>2</v>
      </c>
      <c r="T24" s="51">
        <v>3</v>
      </c>
      <c r="U24" s="51">
        <v>2</v>
      </c>
      <c r="V24" s="51">
        <v>4</v>
      </c>
      <c r="W24" s="51">
        <v>2</v>
      </c>
      <c r="X24" s="51">
        <v>3</v>
      </c>
      <c r="Y24" s="51">
        <v>2</v>
      </c>
      <c r="Z24" s="51">
        <v>2</v>
      </c>
      <c r="AA24" s="51">
        <v>5</v>
      </c>
      <c r="AB24" s="51">
        <v>3</v>
      </c>
      <c r="AC24" s="51">
        <v>2.2999999999999998</v>
      </c>
      <c r="AD24" s="51">
        <v>4.3</v>
      </c>
      <c r="AE24" s="51">
        <v>5</v>
      </c>
      <c r="AF24" s="51">
        <v>6</v>
      </c>
      <c r="AG24" s="46">
        <f t="shared" si="0"/>
        <v>92.8</v>
      </c>
      <c r="AH24" s="48"/>
      <c r="AI24" s="48"/>
    </row>
    <row r="25" spans="1:35" s="44" customFormat="1" ht="18.75" customHeight="1" x14ac:dyDescent="0.35">
      <c r="A25" s="60" t="s">
        <v>79</v>
      </c>
      <c r="B25" s="51"/>
      <c r="C25" s="51"/>
      <c r="D25" s="51"/>
      <c r="E25" s="51"/>
      <c r="F25" s="51"/>
      <c r="G25" s="51"/>
      <c r="H25" s="51"/>
      <c r="I25" s="51"/>
      <c r="J25" s="51"/>
      <c r="K25" s="51"/>
      <c r="L25" s="51"/>
      <c r="M25" s="51"/>
      <c r="N25" s="51"/>
      <c r="O25" s="51"/>
      <c r="P25" s="51"/>
      <c r="Q25" s="51"/>
      <c r="R25" s="51"/>
      <c r="S25" s="51"/>
      <c r="T25" s="51"/>
      <c r="U25" s="51"/>
      <c r="V25" s="51"/>
      <c r="W25" s="51"/>
      <c r="X25" s="51"/>
      <c r="Y25" s="51"/>
      <c r="Z25" s="51"/>
      <c r="AA25" s="51"/>
      <c r="AB25" s="51"/>
      <c r="AC25" s="51"/>
      <c r="AD25" s="51"/>
      <c r="AE25" s="51"/>
      <c r="AF25" s="51"/>
      <c r="AG25" s="46">
        <f t="shared" si="0"/>
        <v>0</v>
      </c>
      <c r="AH25" s="48"/>
      <c r="AI25" s="48"/>
    </row>
    <row r="26" spans="1:35" s="44" customFormat="1" ht="18.75" customHeight="1" x14ac:dyDescent="0.35">
      <c r="A26" s="60" t="s">
        <v>154</v>
      </c>
      <c r="B26" s="52"/>
      <c r="C26" s="52"/>
      <c r="D26" s="52"/>
      <c r="E26" s="52"/>
      <c r="F26" s="52"/>
      <c r="G26" s="52"/>
      <c r="H26" s="52"/>
      <c r="I26" s="52"/>
      <c r="J26" s="52"/>
      <c r="K26" s="52"/>
      <c r="L26" s="52"/>
      <c r="M26" s="52"/>
      <c r="N26" s="52"/>
      <c r="O26" s="52"/>
      <c r="P26" s="52"/>
      <c r="Q26" s="52"/>
      <c r="R26" s="52"/>
      <c r="S26" s="52"/>
      <c r="T26" s="52"/>
      <c r="U26" s="52"/>
      <c r="V26" s="52"/>
      <c r="W26" s="52"/>
      <c r="X26" s="52"/>
      <c r="Y26" s="52"/>
      <c r="Z26" s="52"/>
      <c r="AA26" s="52"/>
      <c r="AB26" s="52"/>
      <c r="AC26" s="52"/>
      <c r="AD26" s="52"/>
      <c r="AE26" s="52"/>
      <c r="AF26" s="52"/>
      <c r="AG26" s="46">
        <f t="shared" si="0"/>
        <v>0</v>
      </c>
      <c r="AH26" s="48"/>
      <c r="AI26" s="48"/>
    </row>
    <row r="27" spans="1:35" s="44" customFormat="1" ht="18.75" customHeight="1" x14ac:dyDescent="0.35">
      <c r="A27" s="60" t="s">
        <v>80</v>
      </c>
      <c r="B27" s="52"/>
      <c r="C27" s="52"/>
      <c r="D27" s="52"/>
      <c r="E27" s="52"/>
      <c r="F27" s="52"/>
      <c r="G27" s="52"/>
      <c r="H27" s="52"/>
      <c r="I27" s="52"/>
      <c r="J27" s="52"/>
      <c r="K27" s="52"/>
      <c r="L27" s="52"/>
      <c r="M27" s="52"/>
      <c r="N27" s="52"/>
      <c r="O27" s="52"/>
      <c r="P27" s="52"/>
      <c r="Q27" s="52"/>
      <c r="R27" s="52"/>
      <c r="S27" s="52"/>
      <c r="T27" s="52"/>
      <c r="U27" s="52"/>
      <c r="V27" s="52"/>
      <c r="W27" s="52"/>
      <c r="X27" s="52"/>
      <c r="Y27" s="52"/>
      <c r="Z27" s="52"/>
      <c r="AA27" s="52"/>
      <c r="AB27" s="52"/>
      <c r="AC27" s="52"/>
      <c r="AD27" s="52"/>
      <c r="AE27" s="52"/>
      <c r="AF27" s="52"/>
      <c r="AG27" s="46">
        <f t="shared" si="0"/>
        <v>0</v>
      </c>
      <c r="AH27" s="48"/>
      <c r="AI27" s="48"/>
    </row>
    <row r="28" spans="1:35" s="44" customFormat="1" ht="18.75" customHeight="1" x14ac:dyDescent="0.35">
      <c r="A28" s="60" t="s">
        <v>76</v>
      </c>
      <c r="B28" s="52"/>
      <c r="C28" s="52"/>
      <c r="D28" s="52"/>
      <c r="E28" s="52"/>
      <c r="F28" s="52"/>
      <c r="G28" s="52"/>
      <c r="H28" s="52"/>
      <c r="I28" s="52"/>
      <c r="J28" s="52"/>
      <c r="K28" s="52"/>
      <c r="L28" s="52"/>
      <c r="M28" s="52"/>
      <c r="N28" s="52"/>
      <c r="O28" s="52"/>
      <c r="P28" s="52"/>
      <c r="Q28" s="52"/>
      <c r="R28" s="52"/>
      <c r="S28" s="52"/>
      <c r="T28" s="52"/>
      <c r="U28" s="52"/>
      <c r="V28" s="52"/>
      <c r="W28" s="52"/>
      <c r="X28" s="52"/>
      <c r="Y28" s="52"/>
      <c r="Z28" s="52"/>
      <c r="AA28" s="52"/>
      <c r="AB28" s="52"/>
      <c r="AC28" s="52"/>
      <c r="AD28" s="52"/>
      <c r="AE28" s="52"/>
      <c r="AF28" s="52"/>
      <c r="AG28" s="46">
        <f t="shared" si="0"/>
        <v>0</v>
      </c>
      <c r="AH28" s="48"/>
      <c r="AI28" s="48"/>
    </row>
    <row r="29" spans="1:35" s="44" customFormat="1" ht="18.75" customHeight="1" x14ac:dyDescent="0.35">
      <c r="A29" s="60" t="s">
        <v>81</v>
      </c>
      <c r="B29" s="76"/>
      <c r="C29" s="76">
        <v>2.2999999999999998</v>
      </c>
      <c r="D29" s="76"/>
      <c r="E29" s="76">
        <v>1.9</v>
      </c>
      <c r="F29" s="76"/>
      <c r="G29" s="76">
        <v>2</v>
      </c>
      <c r="H29" s="76"/>
      <c r="I29" s="76">
        <v>2.7</v>
      </c>
      <c r="J29" s="76"/>
      <c r="K29" s="76">
        <v>3</v>
      </c>
      <c r="L29" s="76"/>
      <c r="M29" s="76">
        <v>3.2</v>
      </c>
      <c r="N29" s="76"/>
      <c r="O29" s="76">
        <v>1.9</v>
      </c>
      <c r="P29" s="76">
        <v>2.2999999999999998</v>
      </c>
      <c r="Q29" s="76"/>
      <c r="R29" s="76">
        <v>1.6</v>
      </c>
      <c r="S29" s="76"/>
      <c r="T29" s="76">
        <v>1.8</v>
      </c>
      <c r="U29" s="76"/>
      <c r="V29" s="76">
        <v>3.2</v>
      </c>
      <c r="W29" s="76">
        <v>1.9</v>
      </c>
      <c r="X29" s="76">
        <v>0.9</v>
      </c>
      <c r="Y29" s="76">
        <v>2.1</v>
      </c>
      <c r="Z29" s="76">
        <v>2</v>
      </c>
      <c r="AA29" s="76"/>
      <c r="AB29" s="76">
        <v>2.9</v>
      </c>
      <c r="AC29" s="76">
        <v>3.1</v>
      </c>
      <c r="AD29" s="76">
        <v>3</v>
      </c>
      <c r="AE29" s="76">
        <v>1.5</v>
      </c>
      <c r="AF29" s="76"/>
      <c r="AG29" s="46">
        <f t="shared" si="0"/>
        <v>43.3</v>
      </c>
      <c r="AH29" s="48"/>
      <c r="AI29" s="48"/>
    </row>
    <row r="30" spans="1:35" s="44" customFormat="1" ht="18.75" customHeight="1" x14ac:dyDescent="0.35">
      <c r="A30" s="60" t="s">
        <v>86</v>
      </c>
      <c r="B30" s="52"/>
      <c r="C30" s="52"/>
      <c r="D30" s="52"/>
      <c r="E30" s="52"/>
      <c r="F30" s="52"/>
      <c r="G30" s="52"/>
      <c r="H30" s="52"/>
      <c r="I30" s="52"/>
      <c r="J30" s="52"/>
      <c r="K30" s="52"/>
      <c r="L30" s="52"/>
      <c r="M30" s="52"/>
      <c r="N30" s="52"/>
      <c r="O30" s="52"/>
      <c r="P30" s="52"/>
      <c r="Q30" s="52"/>
      <c r="R30" s="52"/>
      <c r="S30" s="52"/>
      <c r="T30" s="52"/>
      <c r="U30" s="52"/>
      <c r="V30" s="52"/>
      <c r="W30" s="52"/>
      <c r="X30" s="52"/>
      <c r="Y30" s="52"/>
      <c r="Z30" s="52"/>
      <c r="AA30" s="52"/>
      <c r="AB30" s="52"/>
      <c r="AC30" s="52"/>
      <c r="AD30" s="52"/>
      <c r="AE30" s="52"/>
      <c r="AF30" s="52"/>
      <c r="AG30" s="46">
        <f t="shared" si="0"/>
        <v>0</v>
      </c>
      <c r="AH30" s="48"/>
      <c r="AI30" s="48"/>
    </row>
    <row r="31" spans="1:35" s="44" customFormat="1" ht="18.75" customHeight="1" x14ac:dyDescent="0.35">
      <c r="A31" s="60" t="s">
        <v>82</v>
      </c>
      <c r="B31" s="52"/>
      <c r="C31" s="52"/>
      <c r="D31" s="52"/>
      <c r="E31" s="52"/>
      <c r="F31" s="52"/>
      <c r="G31" s="52"/>
      <c r="H31" s="52"/>
      <c r="I31" s="52"/>
      <c r="J31" s="52"/>
      <c r="K31" s="52"/>
      <c r="L31" s="52"/>
      <c r="M31" s="52"/>
      <c r="N31" s="52"/>
      <c r="O31" s="52"/>
      <c r="P31" s="52"/>
      <c r="Q31" s="52"/>
      <c r="R31" s="52"/>
      <c r="S31" s="52"/>
      <c r="T31" s="52"/>
      <c r="U31" s="52"/>
      <c r="V31" s="52"/>
      <c r="W31" s="52"/>
      <c r="X31" s="52"/>
      <c r="Y31" s="52"/>
      <c r="Z31" s="52"/>
      <c r="AA31" s="52"/>
      <c r="AB31" s="52"/>
      <c r="AC31" s="52"/>
      <c r="AD31" s="52"/>
      <c r="AE31" s="52"/>
      <c r="AF31" s="52"/>
      <c r="AG31" s="46">
        <f t="shared" si="0"/>
        <v>0</v>
      </c>
      <c r="AH31" s="48"/>
      <c r="AI31" s="48"/>
    </row>
    <row r="32" spans="1:35" s="44" customFormat="1" ht="18.75" customHeight="1" x14ac:dyDescent="0.35">
      <c r="A32" s="60" t="s">
        <v>178</v>
      </c>
      <c r="B32" s="76"/>
      <c r="C32" s="76"/>
      <c r="D32" s="76"/>
      <c r="E32" s="76"/>
      <c r="F32" s="76"/>
      <c r="G32" s="76"/>
      <c r="H32" s="76"/>
      <c r="I32" s="76"/>
      <c r="J32" s="76"/>
      <c r="K32" s="76"/>
      <c r="L32" s="76"/>
      <c r="M32" s="76"/>
      <c r="N32" s="76"/>
      <c r="O32" s="76"/>
      <c r="P32" s="76"/>
      <c r="Q32" s="76"/>
      <c r="R32" s="76"/>
      <c r="S32" s="76"/>
      <c r="T32" s="76"/>
      <c r="U32" s="76"/>
      <c r="V32" s="76"/>
      <c r="W32" s="76"/>
      <c r="X32" s="76"/>
      <c r="Y32" s="76"/>
      <c r="Z32" s="76"/>
      <c r="AA32" s="76"/>
      <c r="AB32" s="76"/>
      <c r="AC32" s="76"/>
      <c r="AD32" s="76"/>
      <c r="AE32" s="76"/>
      <c r="AF32" s="76"/>
      <c r="AG32" s="46">
        <f t="shared" si="0"/>
        <v>0</v>
      </c>
      <c r="AH32" s="48"/>
      <c r="AI32" s="48"/>
    </row>
    <row r="33" spans="1:35" s="44" customFormat="1" ht="18.75" customHeight="1" x14ac:dyDescent="0.35">
      <c r="A33" s="59" t="s">
        <v>155</v>
      </c>
      <c r="B33" s="51">
        <f>SUM(B3:B32)</f>
        <v>3.1</v>
      </c>
      <c r="C33" s="51">
        <f t="shared" ref="C33:AF33" si="1">SUM(C3:C32)</f>
        <v>6.8</v>
      </c>
      <c r="D33" s="51">
        <f t="shared" si="1"/>
        <v>5.5</v>
      </c>
      <c r="E33" s="51">
        <f t="shared" si="1"/>
        <v>6</v>
      </c>
      <c r="F33" s="51">
        <f t="shared" si="1"/>
        <v>2.8</v>
      </c>
      <c r="G33" s="51">
        <f t="shared" si="1"/>
        <v>6</v>
      </c>
      <c r="H33" s="51">
        <f t="shared" si="1"/>
        <v>3.1</v>
      </c>
      <c r="I33" s="51">
        <f t="shared" si="1"/>
        <v>8.3000000000000007</v>
      </c>
      <c r="J33" s="51">
        <f t="shared" si="1"/>
        <v>4</v>
      </c>
      <c r="K33" s="51">
        <f t="shared" si="1"/>
        <v>6</v>
      </c>
      <c r="L33" s="51">
        <f t="shared" si="1"/>
        <v>6.5</v>
      </c>
      <c r="M33" s="51">
        <f t="shared" si="1"/>
        <v>6.2</v>
      </c>
      <c r="N33" s="51">
        <f t="shared" si="1"/>
        <v>4.9000000000000004</v>
      </c>
      <c r="O33" s="51">
        <f t="shared" si="1"/>
        <v>7.4</v>
      </c>
      <c r="P33" s="51">
        <f t="shared" si="1"/>
        <v>4.3</v>
      </c>
      <c r="Q33" s="51">
        <f t="shared" si="1"/>
        <v>4.5</v>
      </c>
      <c r="R33" s="51">
        <f t="shared" si="1"/>
        <v>6.1</v>
      </c>
      <c r="S33" s="51">
        <f t="shared" si="1"/>
        <v>2</v>
      </c>
      <c r="T33" s="51">
        <f t="shared" si="1"/>
        <v>7.7</v>
      </c>
      <c r="U33" s="51">
        <f t="shared" si="1"/>
        <v>3.2</v>
      </c>
      <c r="V33" s="51">
        <f t="shared" si="1"/>
        <v>7.5</v>
      </c>
      <c r="W33" s="51">
        <f t="shared" si="1"/>
        <v>5</v>
      </c>
      <c r="X33" s="51">
        <f t="shared" si="1"/>
        <v>6.4</v>
      </c>
      <c r="Y33" s="51">
        <f t="shared" si="1"/>
        <v>6.9</v>
      </c>
      <c r="Z33" s="51">
        <f t="shared" si="1"/>
        <v>5.5</v>
      </c>
      <c r="AA33" s="51">
        <f t="shared" si="1"/>
        <v>5</v>
      </c>
      <c r="AB33" s="51">
        <f t="shared" si="1"/>
        <v>8.4</v>
      </c>
      <c r="AC33" s="51">
        <f t="shared" si="1"/>
        <v>8.4</v>
      </c>
      <c r="AD33" s="51">
        <f t="shared" si="1"/>
        <v>9.8000000000000007</v>
      </c>
      <c r="AE33" s="51">
        <f t="shared" si="1"/>
        <v>8.5</v>
      </c>
      <c r="AF33" s="51">
        <f t="shared" si="1"/>
        <v>6</v>
      </c>
      <c r="AG33" s="56">
        <f>SUM(B33:AF33)</f>
        <v>181.80000000000004</v>
      </c>
      <c r="AH33" s="48"/>
      <c r="AI33" s="48"/>
    </row>
    <row r="34" spans="1:35" s="44" customFormat="1" ht="18.75" customHeight="1" x14ac:dyDescent="0.3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4">
        <f>SUM(AG3:AG32)</f>
        <v>181.8</v>
      </c>
      <c r="AH34" s="48"/>
      <c r="AI34" s="48"/>
    </row>
  </sheetData>
  <mergeCells count="1">
    <mergeCell ref="A1:AG1"/>
  </mergeCells>
  <conditionalFormatting sqref="AG33">
    <cfRule type="cellIs" dxfId="63" priority="2" operator="equal">
      <formula>$AG$34</formula>
    </cfRule>
  </conditionalFormatting>
  <conditionalFormatting sqref="AG34">
    <cfRule type="cellIs" dxfId="62" priority="1" operator="equal">
      <formula>$AG$33</formula>
    </cfRule>
  </conditionalFormatting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11.42578125" defaultRowHeight="15" x14ac:dyDescent="0.25"/>
  <cols>
    <col min="1" max="1" width="53.7109375" style="121" customWidth="1"/>
    <col min="2" max="32" width="6.7109375" style="121" customWidth="1"/>
    <col min="33" max="16384" width="11.42578125" style="121"/>
  </cols>
  <sheetData>
    <row r="1" spans="1:35" s="91" customFormat="1" x14ac:dyDescent="0.25">
      <c r="A1" s="220" t="s">
        <v>156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2"/>
      <c r="AH1" s="24"/>
      <c r="AI1" s="24"/>
    </row>
    <row r="2" spans="1:35" s="91" customFormat="1" ht="38.25" customHeight="1" x14ac:dyDescent="0.25">
      <c r="A2" s="107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1.5" x14ac:dyDescent="0.25">
      <c r="A3" s="78" t="s">
        <v>94</v>
      </c>
      <c r="B3" s="85"/>
      <c r="C3" s="85"/>
      <c r="D3" s="85"/>
      <c r="E3" s="85"/>
      <c r="F3" s="85"/>
      <c r="G3" s="85"/>
      <c r="H3" s="85"/>
      <c r="I3" s="86"/>
      <c r="J3" s="85"/>
      <c r="K3" s="86"/>
      <c r="L3" s="85"/>
      <c r="M3" s="86"/>
      <c r="N3" s="85"/>
      <c r="O3" s="85"/>
      <c r="P3" s="86"/>
      <c r="Q3" s="85"/>
      <c r="R3" s="85"/>
      <c r="S3" s="86"/>
      <c r="T3" s="86"/>
      <c r="U3" s="86"/>
      <c r="V3" s="86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03">
        <f>SUM(B3:AF3)</f>
        <v>0</v>
      </c>
      <c r="AH3" s="119"/>
      <c r="AI3" s="120"/>
    </row>
    <row r="4" spans="1:35" s="91" customFormat="1" ht="15.75" x14ac:dyDescent="0.3">
      <c r="A4" s="79" t="s">
        <v>149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103">
        <f t="shared" ref="AG4:AG32" si="0">SUM(B4:AF4)</f>
        <v>0</v>
      </c>
      <c r="AH4" s="119"/>
      <c r="AI4" s="120"/>
    </row>
    <row r="5" spans="1:35" s="91" customFormat="1" ht="18.75" customHeight="1" x14ac:dyDescent="0.3">
      <c r="A5" s="79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120"/>
      <c r="AI5" s="120"/>
    </row>
    <row r="6" spans="1:35" s="91" customFormat="1" ht="18.75" customHeight="1" x14ac:dyDescent="0.3">
      <c r="A6" s="79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3">
      <c r="A7" s="79" t="s">
        <v>64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120"/>
      <c r="AI7" s="120"/>
    </row>
    <row r="8" spans="1:35" s="91" customFormat="1" ht="18.75" customHeight="1" x14ac:dyDescent="0.3">
      <c r="A8" s="79" t="s">
        <v>65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120"/>
      <c r="AI8" s="120"/>
    </row>
    <row r="9" spans="1:35" s="91" customFormat="1" ht="18.75" customHeight="1" x14ac:dyDescent="0.3">
      <c r="A9" s="79" t="s">
        <v>66</v>
      </c>
      <c r="B9" s="88"/>
      <c r="C9" s="88"/>
      <c r="D9" s="88"/>
      <c r="E9" s="88"/>
      <c r="F9" s="88"/>
      <c r="G9" s="88"/>
      <c r="H9" s="88"/>
      <c r="I9" s="88"/>
      <c r="J9" s="88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103">
        <f t="shared" si="0"/>
        <v>0</v>
      </c>
      <c r="AH9" s="120"/>
      <c r="AI9" s="120"/>
    </row>
    <row r="10" spans="1:35" s="91" customFormat="1" ht="18.75" customHeight="1" x14ac:dyDescent="0.3">
      <c r="A10" s="79" t="s">
        <v>67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103">
        <f t="shared" si="0"/>
        <v>0</v>
      </c>
      <c r="AH10" s="120"/>
      <c r="AI10" s="120"/>
    </row>
    <row r="11" spans="1:35" s="91" customFormat="1" ht="18.75" customHeight="1" x14ac:dyDescent="0.3">
      <c r="A11" s="79" t="s">
        <v>152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103">
        <f t="shared" si="0"/>
        <v>0</v>
      </c>
      <c r="AH11" s="120"/>
      <c r="AI11" s="120"/>
    </row>
    <row r="12" spans="1:35" s="91" customFormat="1" ht="15.75" x14ac:dyDescent="0.3">
      <c r="A12" s="79" t="s">
        <v>91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103">
        <f t="shared" si="0"/>
        <v>0</v>
      </c>
    </row>
    <row r="13" spans="1:35" s="91" customFormat="1" ht="15.75" x14ac:dyDescent="0.3">
      <c r="A13" s="79" t="s">
        <v>69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103">
        <f t="shared" si="0"/>
        <v>0</v>
      </c>
      <c r="AH13" s="120"/>
      <c r="AI13" s="120"/>
    </row>
    <row r="14" spans="1:35" s="91" customFormat="1" ht="18.75" customHeight="1" x14ac:dyDescent="0.3">
      <c r="A14" s="79" t="s">
        <v>71</v>
      </c>
      <c r="B14" s="87">
        <v>2.1</v>
      </c>
      <c r="C14" s="87">
        <v>3.1</v>
      </c>
      <c r="D14" s="87">
        <v>4.2</v>
      </c>
      <c r="E14" s="87">
        <v>6.3</v>
      </c>
      <c r="F14" s="87">
        <v>1.1000000000000001</v>
      </c>
      <c r="G14" s="87">
        <v>2.2000000000000002</v>
      </c>
      <c r="H14" s="87">
        <v>3.3</v>
      </c>
      <c r="I14" s="87">
        <v>4.2</v>
      </c>
      <c r="J14" s="87">
        <v>2.2000000000000002</v>
      </c>
      <c r="K14" s="87">
        <v>4.2</v>
      </c>
      <c r="L14" s="87">
        <v>6.3</v>
      </c>
      <c r="M14" s="87">
        <v>5.2</v>
      </c>
      <c r="N14" s="87">
        <v>4.0999999999999996</v>
      </c>
      <c r="O14" s="87">
        <v>3.1</v>
      </c>
      <c r="P14" s="87">
        <v>2.2000000000000002</v>
      </c>
      <c r="Q14" s="87">
        <v>1.1000000000000001</v>
      </c>
      <c r="R14" s="87">
        <v>3.3</v>
      </c>
      <c r="S14" s="87">
        <v>2.2000000000000002</v>
      </c>
      <c r="T14" s="87">
        <v>4.0999999999999996</v>
      </c>
      <c r="U14" s="87">
        <v>5.0999999999999996</v>
      </c>
      <c r="V14" s="87">
        <v>2.2000000000000002</v>
      </c>
      <c r="W14" s="87">
        <v>3.1</v>
      </c>
      <c r="X14" s="87">
        <v>2.1</v>
      </c>
      <c r="Y14" s="88">
        <v>3.2</v>
      </c>
      <c r="Z14" s="88">
        <v>2.2000000000000002</v>
      </c>
      <c r="AA14" s="88">
        <v>4.0999999999999996</v>
      </c>
      <c r="AB14" s="88">
        <v>5.2</v>
      </c>
      <c r="AC14" s="88">
        <v>6.3</v>
      </c>
      <c r="AD14" s="88">
        <v>2.1</v>
      </c>
      <c r="AE14" s="88">
        <v>3.1</v>
      </c>
      <c r="AF14" s="88"/>
      <c r="AG14" s="103">
        <f t="shared" si="0"/>
        <v>103.19999999999997</v>
      </c>
      <c r="AH14" s="120"/>
      <c r="AI14" s="120"/>
    </row>
    <row r="15" spans="1:35" s="91" customFormat="1" ht="18.75" customHeight="1" x14ac:dyDescent="0.3">
      <c r="A15" s="79" t="s">
        <v>72</v>
      </c>
      <c r="B15" s="87"/>
      <c r="C15" s="87"/>
      <c r="D15" s="87"/>
      <c r="E15" s="87">
        <v>3.1</v>
      </c>
      <c r="F15" s="87"/>
      <c r="G15" s="87">
        <v>1.5</v>
      </c>
      <c r="H15" s="87">
        <v>1.2</v>
      </c>
      <c r="I15" s="87">
        <v>1.4</v>
      </c>
      <c r="J15" s="87">
        <v>1.1000000000000001</v>
      </c>
      <c r="K15" s="87">
        <v>2.1</v>
      </c>
      <c r="L15" s="87"/>
      <c r="M15" s="87">
        <v>2.1</v>
      </c>
      <c r="N15" s="87">
        <v>2.5</v>
      </c>
      <c r="O15" s="87">
        <v>0.8</v>
      </c>
      <c r="P15" s="87">
        <v>0.5</v>
      </c>
      <c r="Q15" s="87">
        <v>0.9</v>
      </c>
      <c r="R15" s="87"/>
      <c r="S15" s="87">
        <v>2.9</v>
      </c>
      <c r="T15" s="87">
        <v>3</v>
      </c>
      <c r="U15" s="87"/>
      <c r="V15" s="87">
        <v>1.8</v>
      </c>
      <c r="W15" s="87">
        <v>0.3</v>
      </c>
      <c r="X15" s="87">
        <v>1.5</v>
      </c>
      <c r="Y15" s="87">
        <v>0.4</v>
      </c>
      <c r="Z15" s="87">
        <v>2</v>
      </c>
      <c r="AA15" s="87"/>
      <c r="AB15" s="87">
        <v>3.1</v>
      </c>
      <c r="AC15" s="87">
        <v>0.9</v>
      </c>
      <c r="AD15" s="87">
        <v>0.8</v>
      </c>
      <c r="AE15" s="87">
        <v>2.1</v>
      </c>
      <c r="AF15" s="87">
        <v>4.0999999999999996</v>
      </c>
      <c r="AG15" s="103">
        <f t="shared" si="0"/>
        <v>40.099999999999994</v>
      </c>
      <c r="AH15" s="120"/>
      <c r="AI15" s="120"/>
    </row>
    <row r="16" spans="1:35" s="91" customFormat="1" ht="18.75" customHeight="1" x14ac:dyDescent="0.3">
      <c r="A16" s="79" t="s">
        <v>85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103">
        <f t="shared" si="0"/>
        <v>0</v>
      </c>
      <c r="AH16" s="120"/>
      <c r="AI16" s="120"/>
    </row>
    <row r="17" spans="1:35" s="91" customFormat="1" ht="18.75" customHeight="1" x14ac:dyDescent="0.3">
      <c r="A17" s="79" t="s">
        <v>194</v>
      </c>
      <c r="B17" s="87"/>
      <c r="C17" s="87"/>
      <c r="D17" s="87"/>
      <c r="E17" s="87"/>
      <c r="F17" s="87"/>
      <c r="G17" s="87"/>
      <c r="H17" s="87">
        <v>1.2</v>
      </c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>
        <v>2.5</v>
      </c>
      <c r="AF17" s="87"/>
      <c r="AG17" s="103">
        <f t="shared" si="0"/>
        <v>3.7</v>
      </c>
      <c r="AH17" s="120"/>
      <c r="AI17" s="120"/>
    </row>
    <row r="18" spans="1:35" s="91" customFormat="1" ht="18.75" customHeight="1" x14ac:dyDescent="0.3">
      <c r="A18" s="79" t="s">
        <v>73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120"/>
      <c r="AI18" s="120"/>
    </row>
    <row r="19" spans="1:35" s="91" customFormat="1" ht="18.75" customHeight="1" x14ac:dyDescent="0.3">
      <c r="A19" s="79" t="s">
        <v>92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103">
        <f t="shared" si="0"/>
        <v>0</v>
      </c>
      <c r="AH19" s="120"/>
      <c r="AI19" s="120"/>
    </row>
    <row r="20" spans="1:35" s="91" customFormat="1" ht="18.75" customHeight="1" x14ac:dyDescent="0.3">
      <c r="A20" s="79" t="s">
        <v>89</v>
      </c>
      <c r="B20" s="87">
        <v>2.5</v>
      </c>
      <c r="C20" s="87">
        <v>3.4</v>
      </c>
      <c r="D20" s="87">
        <v>4.5</v>
      </c>
      <c r="E20" s="87">
        <v>4.8</v>
      </c>
      <c r="F20" s="87">
        <v>4.3</v>
      </c>
      <c r="G20" s="87">
        <v>5</v>
      </c>
      <c r="H20" s="87">
        <v>4.7</v>
      </c>
      <c r="I20" s="87">
        <v>3.2</v>
      </c>
      <c r="J20" s="87">
        <v>2.5</v>
      </c>
      <c r="K20" s="87">
        <v>3.8</v>
      </c>
      <c r="L20" s="87">
        <v>4</v>
      </c>
      <c r="M20" s="87">
        <v>3.9</v>
      </c>
      <c r="N20" s="87">
        <v>3.9</v>
      </c>
      <c r="O20" s="87"/>
      <c r="P20" s="87">
        <v>2.6</v>
      </c>
      <c r="Q20" s="87">
        <v>1.7</v>
      </c>
      <c r="R20" s="87">
        <v>2.4</v>
      </c>
      <c r="S20" s="87">
        <v>3.6</v>
      </c>
      <c r="T20" s="87">
        <v>3.6</v>
      </c>
      <c r="U20" s="87">
        <v>2.8</v>
      </c>
      <c r="V20" s="87">
        <v>3.9</v>
      </c>
      <c r="W20" s="87">
        <v>4.5999999999999996</v>
      </c>
      <c r="X20" s="87">
        <v>4.5</v>
      </c>
      <c r="Y20" s="87">
        <v>5.2</v>
      </c>
      <c r="Z20" s="87">
        <v>3</v>
      </c>
      <c r="AA20" s="87">
        <v>2</v>
      </c>
      <c r="AB20" s="87">
        <v>3</v>
      </c>
      <c r="AC20" s="87">
        <v>2.9</v>
      </c>
      <c r="AD20" s="87">
        <v>2.8</v>
      </c>
      <c r="AE20" s="87">
        <v>3.6</v>
      </c>
      <c r="AF20" s="87"/>
      <c r="AG20" s="103">
        <f t="shared" si="0"/>
        <v>102.69999999999999</v>
      </c>
      <c r="AH20" s="120"/>
      <c r="AI20" s="120"/>
    </row>
    <row r="21" spans="1:35" s="91" customFormat="1" ht="18.75" customHeight="1" x14ac:dyDescent="0.3">
      <c r="A21" s="79" t="s">
        <v>74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120"/>
      <c r="AI21" s="120"/>
    </row>
    <row r="22" spans="1:35" s="91" customFormat="1" ht="18.75" customHeight="1" x14ac:dyDescent="0.3">
      <c r="A22" s="79" t="s">
        <v>75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120"/>
      <c r="AI22" s="120"/>
    </row>
    <row r="23" spans="1:35" s="91" customFormat="1" ht="18.75" customHeight="1" x14ac:dyDescent="0.3">
      <c r="A23" s="79" t="s">
        <v>77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103">
        <f t="shared" si="0"/>
        <v>0</v>
      </c>
      <c r="AH23" s="120"/>
      <c r="AI23" s="120"/>
    </row>
    <row r="24" spans="1:35" s="91" customFormat="1" ht="18.75" customHeight="1" x14ac:dyDescent="0.3">
      <c r="A24" s="79" t="s">
        <v>78</v>
      </c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103">
        <f t="shared" si="0"/>
        <v>0</v>
      </c>
      <c r="AH24" s="120"/>
      <c r="AI24" s="120"/>
    </row>
    <row r="25" spans="1:35" s="91" customFormat="1" ht="18.75" customHeight="1" x14ac:dyDescent="0.3">
      <c r="A25" s="79" t="s">
        <v>79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120"/>
      <c r="AI25" s="120"/>
    </row>
    <row r="26" spans="1:35" s="91" customFormat="1" ht="18.75" customHeight="1" x14ac:dyDescent="0.3">
      <c r="A26" s="79" t="s">
        <v>154</v>
      </c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103">
        <f t="shared" si="0"/>
        <v>0</v>
      </c>
      <c r="AH26" s="120"/>
      <c r="AI26" s="120"/>
    </row>
    <row r="27" spans="1:35" s="91" customFormat="1" ht="18.75" customHeight="1" x14ac:dyDescent="0.3">
      <c r="A27" s="79" t="s">
        <v>80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103">
        <f t="shared" si="0"/>
        <v>0</v>
      </c>
      <c r="AH27" s="120"/>
      <c r="AI27" s="120"/>
    </row>
    <row r="28" spans="1:35" s="91" customFormat="1" ht="18.75" customHeight="1" x14ac:dyDescent="0.3">
      <c r="A28" s="79" t="s">
        <v>76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3">
      <c r="A29" s="79" t="s">
        <v>81</v>
      </c>
      <c r="B29" s="88">
        <v>1.5</v>
      </c>
      <c r="C29" s="88">
        <f>2+1.5</f>
        <v>3.5</v>
      </c>
      <c r="D29" s="88">
        <f>1.5+1.9+1</f>
        <v>4.4000000000000004</v>
      </c>
      <c r="E29" s="88">
        <f>1.5+1.9+2</f>
        <v>5.4</v>
      </c>
      <c r="F29" s="88">
        <f>2+1.5+1.9</f>
        <v>5.4</v>
      </c>
      <c r="G29" s="88">
        <f>2+0.9+1.5</f>
        <v>4.4000000000000004</v>
      </c>
      <c r="H29" s="88">
        <f>1.9+2.1+1.5</f>
        <v>5.5</v>
      </c>
      <c r="I29" s="88">
        <f>2.5+1.5+1</f>
        <v>5</v>
      </c>
      <c r="J29" s="88">
        <f>1.5+2.1+0.9</f>
        <v>4.5</v>
      </c>
      <c r="K29" s="88">
        <f>2.3+1.5+0.9</f>
        <v>4.7</v>
      </c>
      <c r="L29" s="88">
        <f>3+2.1+1.2</f>
        <v>6.3</v>
      </c>
      <c r="M29" s="88">
        <f>2.1+1.5+0.9</f>
        <v>4.5</v>
      </c>
      <c r="N29" s="88">
        <f>3.1+2.2+2.1</f>
        <v>7.4</v>
      </c>
      <c r="O29" s="88">
        <f>1.9+2.1+2.1</f>
        <v>6.1</v>
      </c>
      <c r="P29" s="88">
        <f>1.8+0.9+1.7</f>
        <v>4.4000000000000004</v>
      </c>
      <c r="Q29" s="88">
        <f>1.5+2.1+0.8</f>
        <v>4.4000000000000004</v>
      </c>
      <c r="R29" s="88">
        <f>3.1+2.2+1.9</f>
        <v>7.2000000000000011</v>
      </c>
      <c r="S29" s="88">
        <f>0.8+0.9</f>
        <v>1.7000000000000002</v>
      </c>
      <c r="T29" s="88">
        <f>1.3+2+0.3</f>
        <v>3.5999999999999996</v>
      </c>
      <c r="U29" s="88">
        <f>1.2+1.6+0.9</f>
        <v>3.6999999999999997</v>
      </c>
      <c r="V29" s="88">
        <f>2+1+1.7</f>
        <v>4.7</v>
      </c>
      <c r="W29" s="88">
        <v>1.9</v>
      </c>
      <c r="X29" s="88">
        <f>2.4+1.9</f>
        <v>4.3</v>
      </c>
      <c r="Y29" s="88">
        <f>2.4+1.9+0.9</f>
        <v>5.2</v>
      </c>
      <c r="Z29" s="88">
        <f>2+1+1.7</f>
        <v>4.7</v>
      </c>
      <c r="AA29" s="88">
        <f>1.9+2.4+1.9</f>
        <v>6.1999999999999993</v>
      </c>
      <c r="AB29" s="88">
        <f>2.7+1.9+2.3</f>
        <v>6.8999999999999995</v>
      </c>
      <c r="AC29" s="88">
        <f>1.6+1.4+2.3</f>
        <v>5.3</v>
      </c>
      <c r="AD29" s="88">
        <f>1.9+2.3+1.7</f>
        <v>5.8999999999999995</v>
      </c>
      <c r="AE29" s="88">
        <f>1.6+1.9+2</f>
        <v>5.5</v>
      </c>
      <c r="AF29" s="88">
        <f>2.4+1.6+0.9</f>
        <v>4.9000000000000004</v>
      </c>
      <c r="AG29" s="103">
        <f t="shared" si="0"/>
        <v>149.10000000000005</v>
      </c>
      <c r="AH29" s="120"/>
      <c r="AI29" s="120"/>
    </row>
    <row r="30" spans="1:35" s="91" customFormat="1" ht="18.75" customHeight="1" x14ac:dyDescent="0.3">
      <c r="A30" s="79" t="s">
        <v>86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3">
      <c r="A31" s="79" t="s">
        <v>82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103">
        <f t="shared" si="0"/>
        <v>0</v>
      </c>
      <c r="AH31" s="120"/>
      <c r="AI31" s="120"/>
    </row>
    <row r="32" spans="1:35" s="91" customFormat="1" ht="18.75" customHeight="1" x14ac:dyDescent="0.3">
      <c r="A32" s="79" t="s">
        <v>178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3">
      <c r="A33" s="104" t="s">
        <v>155</v>
      </c>
      <c r="B33" s="87">
        <f>SUM(B3:B32)</f>
        <v>6.1</v>
      </c>
      <c r="C33" s="87">
        <f t="shared" ref="C33:AF33" si="1">SUM(C3:C32)</f>
        <v>10</v>
      </c>
      <c r="D33" s="87">
        <f t="shared" si="1"/>
        <v>13.1</v>
      </c>
      <c r="E33" s="87">
        <f t="shared" si="1"/>
        <v>19.600000000000001</v>
      </c>
      <c r="F33" s="87">
        <f t="shared" si="1"/>
        <v>10.8</v>
      </c>
      <c r="G33" s="87">
        <f t="shared" si="1"/>
        <v>13.1</v>
      </c>
      <c r="H33" s="87">
        <f t="shared" si="1"/>
        <v>15.9</v>
      </c>
      <c r="I33" s="87">
        <f t="shared" si="1"/>
        <v>13.8</v>
      </c>
      <c r="J33" s="87">
        <f t="shared" si="1"/>
        <v>10.3</v>
      </c>
      <c r="K33" s="87">
        <f t="shared" si="1"/>
        <v>14.8</v>
      </c>
      <c r="L33" s="87">
        <f t="shared" si="1"/>
        <v>16.600000000000001</v>
      </c>
      <c r="M33" s="87">
        <f t="shared" si="1"/>
        <v>15.700000000000001</v>
      </c>
      <c r="N33" s="87">
        <f t="shared" si="1"/>
        <v>17.899999999999999</v>
      </c>
      <c r="O33" s="87">
        <f t="shared" si="1"/>
        <v>10</v>
      </c>
      <c r="P33" s="87">
        <f t="shared" si="1"/>
        <v>9.7000000000000011</v>
      </c>
      <c r="Q33" s="87">
        <f t="shared" si="1"/>
        <v>8.1000000000000014</v>
      </c>
      <c r="R33" s="87">
        <f t="shared" si="1"/>
        <v>12.9</v>
      </c>
      <c r="S33" s="87">
        <f t="shared" si="1"/>
        <v>10.399999999999999</v>
      </c>
      <c r="T33" s="87">
        <f t="shared" si="1"/>
        <v>14.299999999999999</v>
      </c>
      <c r="U33" s="87">
        <f t="shared" si="1"/>
        <v>11.6</v>
      </c>
      <c r="V33" s="87">
        <f t="shared" si="1"/>
        <v>12.600000000000001</v>
      </c>
      <c r="W33" s="87">
        <f t="shared" si="1"/>
        <v>9.9</v>
      </c>
      <c r="X33" s="87">
        <f t="shared" si="1"/>
        <v>12.399999999999999</v>
      </c>
      <c r="Y33" s="87">
        <f t="shared" si="1"/>
        <v>14</v>
      </c>
      <c r="Z33" s="87">
        <f t="shared" si="1"/>
        <v>11.9</v>
      </c>
      <c r="AA33" s="87">
        <f t="shared" si="1"/>
        <v>12.299999999999999</v>
      </c>
      <c r="AB33" s="87">
        <f t="shared" si="1"/>
        <v>18.2</v>
      </c>
      <c r="AC33" s="87">
        <f t="shared" si="1"/>
        <v>15.399999999999999</v>
      </c>
      <c r="AD33" s="87">
        <f t="shared" si="1"/>
        <v>11.6</v>
      </c>
      <c r="AE33" s="87">
        <f t="shared" si="1"/>
        <v>16.8</v>
      </c>
      <c r="AF33" s="87">
        <f t="shared" si="1"/>
        <v>9</v>
      </c>
      <c r="AG33" s="105">
        <f>SUM(B33:AF33)</f>
        <v>398.79999999999995</v>
      </c>
      <c r="AH33" s="120"/>
      <c r="AI33" s="120"/>
    </row>
    <row r="34" spans="1:35" s="91" customFormat="1" ht="18.75" customHeight="1" x14ac:dyDescent="0.25">
      <c r="AG34" s="24">
        <f>SUM(AG3:AG32)</f>
        <v>398.79999999999995</v>
      </c>
      <c r="AH34" s="120"/>
      <c r="AI34" s="120"/>
    </row>
  </sheetData>
  <mergeCells count="1">
    <mergeCell ref="A1:AG1"/>
  </mergeCells>
  <conditionalFormatting sqref="AG33">
    <cfRule type="cellIs" dxfId="61" priority="2" operator="equal">
      <formula>$AG$34</formula>
    </cfRule>
  </conditionalFormatting>
  <conditionalFormatting sqref="AG34">
    <cfRule type="cellIs" dxfId="60" priority="1" operator="equal">
      <formula>$AG$33</formula>
    </cfRule>
  </conditionalFormatting>
  <pageMargins left="0.7" right="0.7" top="0.75" bottom="0.75" header="0.3" footer="0.3"/>
  <pageSetup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34"/>
  <sheetViews>
    <sheetView workbookViewId="0">
      <selection sqref="A1:AG1"/>
    </sheetView>
  </sheetViews>
  <sheetFormatPr baseColWidth="10" defaultColWidth="11.42578125" defaultRowHeight="15" x14ac:dyDescent="0.25"/>
  <cols>
    <col min="1" max="1" width="53.7109375" style="121" customWidth="1"/>
    <col min="2" max="32" width="6.7109375" style="121" customWidth="1"/>
    <col min="33" max="16384" width="11.42578125" style="121"/>
  </cols>
  <sheetData>
    <row r="1" spans="1:35" s="91" customFormat="1" x14ac:dyDescent="0.25">
      <c r="A1" s="220" t="s">
        <v>156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  <c r="Q1" s="221"/>
      <c r="R1" s="221"/>
      <c r="S1" s="221"/>
      <c r="T1" s="221"/>
      <c r="U1" s="221"/>
      <c r="V1" s="221"/>
      <c r="W1" s="221"/>
      <c r="X1" s="221"/>
      <c r="Y1" s="221"/>
      <c r="Z1" s="221"/>
      <c r="AA1" s="221"/>
      <c r="AB1" s="221"/>
      <c r="AC1" s="221"/>
      <c r="AD1" s="221"/>
      <c r="AE1" s="221"/>
      <c r="AF1" s="221"/>
      <c r="AG1" s="222"/>
      <c r="AH1" s="24"/>
      <c r="AI1" s="24"/>
    </row>
    <row r="2" spans="1:35" s="91" customFormat="1" ht="38.25" customHeight="1" x14ac:dyDescent="0.25">
      <c r="A2" s="107" t="s">
        <v>61</v>
      </c>
      <c r="B2" s="107">
        <v>1</v>
      </c>
      <c r="C2" s="107">
        <v>2</v>
      </c>
      <c r="D2" s="107">
        <v>3</v>
      </c>
      <c r="E2" s="107">
        <v>4</v>
      </c>
      <c r="F2" s="107">
        <v>5</v>
      </c>
      <c r="G2" s="107">
        <v>6</v>
      </c>
      <c r="H2" s="107">
        <v>7</v>
      </c>
      <c r="I2" s="107">
        <v>8</v>
      </c>
      <c r="J2" s="107">
        <v>9</v>
      </c>
      <c r="K2" s="107">
        <v>10</v>
      </c>
      <c r="L2" s="107">
        <v>11</v>
      </c>
      <c r="M2" s="107">
        <v>12</v>
      </c>
      <c r="N2" s="107">
        <v>13</v>
      </c>
      <c r="O2" s="107">
        <v>14</v>
      </c>
      <c r="P2" s="107">
        <v>15</v>
      </c>
      <c r="Q2" s="107">
        <v>16</v>
      </c>
      <c r="R2" s="107">
        <v>17</v>
      </c>
      <c r="S2" s="107">
        <v>18</v>
      </c>
      <c r="T2" s="107">
        <v>19</v>
      </c>
      <c r="U2" s="107">
        <v>20</v>
      </c>
      <c r="V2" s="107">
        <v>21</v>
      </c>
      <c r="W2" s="107">
        <v>22</v>
      </c>
      <c r="X2" s="107">
        <v>23</v>
      </c>
      <c r="Y2" s="107">
        <v>24</v>
      </c>
      <c r="Z2" s="107">
        <v>25</v>
      </c>
      <c r="AA2" s="107">
        <v>26</v>
      </c>
      <c r="AB2" s="107">
        <v>27</v>
      </c>
      <c r="AC2" s="107">
        <v>28</v>
      </c>
      <c r="AD2" s="107">
        <v>29</v>
      </c>
      <c r="AE2" s="107">
        <v>30</v>
      </c>
      <c r="AF2" s="107">
        <v>31</v>
      </c>
      <c r="AG2" s="118" t="s">
        <v>62</v>
      </c>
      <c r="AH2" s="24"/>
      <c r="AI2" s="24"/>
    </row>
    <row r="3" spans="1:35" s="91" customFormat="1" ht="31.5" x14ac:dyDescent="0.25">
      <c r="A3" s="78" t="s">
        <v>94</v>
      </c>
      <c r="B3" s="85"/>
      <c r="C3" s="85"/>
      <c r="D3" s="85"/>
      <c r="E3" s="85"/>
      <c r="F3" s="85"/>
      <c r="G3" s="85"/>
      <c r="H3" s="85"/>
      <c r="I3" s="86"/>
      <c r="J3" s="85"/>
      <c r="K3" s="86"/>
      <c r="L3" s="85"/>
      <c r="M3" s="86"/>
      <c r="N3" s="85"/>
      <c r="O3" s="85"/>
      <c r="P3" s="86"/>
      <c r="Q3" s="85"/>
      <c r="R3" s="85"/>
      <c r="S3" s="86"/>
      <c r="T3" s="86"/>
      <c r="U3" s="86"/>
      <c r="V3" s="86"/>
      <c r="W3" s="85"/>
      <c r="X3" s="85"/>
      <c r="Y3" s="85"/>
      <c r="Z3" s="85"/>
      <c r="AA3" s="85"/>
      <c r="AB3" s="85"/>
      <c r="AC3" s="85"/>
      <c r="AD3" s="85"/>
      <c r="AE3" s="85"/>
      <c r="AF3" s="85"/>
      <c r="AG3" s="103">
        <f>SUM(B3:AF3)</f>
        <v>0</v>
      </c>
      <c r="AH3" s="119"/>
      <c r="AI3" s="120"/>
    </row>
    <row r="4" spans="1:35" s="91" customFormat="1" ht="15.75" x14ac:dyDescent="0.3">
      <c r="A4" s="79" t="s">
        <v>149</v>
      </c>
      <c r="B4" s="87"/>
      <c r="C4" s="87"/>
      <c r="D4" s="87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  <c r="W4" s="87"/>
      <c r="X4" s="87"/>
      <c r="Y4" s="87"/>
      <c r="Z4" s="87"/>
      <c r="AA4" s="87"/>
      <c r="AB4" s="87"/>
      <c r="AC4" s="87"/>
      <c r="AD4" s="87"/>
      <c r="AE4" s="87"/>
      <c r="AF4" s="87"/>
      <c r="AG4" s="103">
        <f t="shared" ref="AG4:AG32" si="0">SUM(B4:AF4)</f>
        <v>0</v>
      </c>
      <c r="AH4" s="119"/>
      <c r="AI4" s="120"/>
    </row>
    <row r="5" spans="1:35" s="91" customFormat="1" ht="18.75" customHeight="1" x14ac:dyDescent="0.3">
      <c r="A5" s="79" t="s">
        <v>83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120"/>
      <c r="AI5" s="120"/>
    </row>
    <row r="6" spans="1:35" s="91" customFormat="1" ht="18.75" customHeight="1" x14ac:dyDescent="0.3">
      <c r="A6" s="79" t="s">
        <v>84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120"/>
      <c r="AI6" s="120"/>
    </row>
    <row r="7" spans="1:35" s="91" customFormat="1" ht="18.75" customHeight="1" x14ac:dyDescent="0.3">
      <c r="A7" s="79" t="s">
        <v>64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120"/>
      <c r="AI7" s="120"/>
    </row>
    <row r="8" spans="1:35" s="91" customFormat="1" ht="18.75" customHeight="1" x14ac:dyDescent="0.3">
      <c r="A8" s="79" t="s">
        <v>65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120"/>
      <c r="AI8" s="120"/>
    </row>
    <row r="9" spans="1:35" s="91" customFormat="1" ht="18.75" customHeight="1" x14ac:dyDescent="0.3">
      <c r="A9" s="79" t="s">
        <v>66</v>
      </c>
      <c r="B9" s="88">
        <v>7.4</v>
      </c>
      <c r="C9" s="88">
        <v>7.8</v>
      </c>
      <c r="D9" s="88">
        <v>6.5</v>
      </c>
      <c r="E9" s="88">
        <v>6</v>
      </c>
      <c r="F9" s="88">
        <v>5</v>
      </c>
      <c r="G9" s="88">
        <v>5.5</v>
      </c>
      <c r="H9" s="88">
        <v>6.3</v>
      </c>
      <c r="I9" s="88">
        <v>6</v>
      </c>
      <c r="J9" s="88">
        <v>4.5</v>
      </c>
      <c r="K9" s="88">
        <v>4.5999999999999996</v>
      </c>
      <c r="L9" s="88">
        <v>4.9000000000000004</v>
      </c>
      <c r="M9" s="88">
        <v>6.4</v>
      </c>
      <c r="N9" s="88">
        <v>6.6</v>
      </c>
      <c r="O9" s="88">
        <v>6.9</v>
      </c>
      <c r="P9" s="88">
        <v>6.8</v>
      </c>
      <c r="Q9" s="88">
        <v>7</v>
      </c>
      <c r="R9" s="88">
        <v>6.5</v>
      </c>
      <c r="S9" s="88">
        <v>6.8</v>
      </c>
      <c r="T9" s="88">
        <v>7.1</v>
      </c>
      <c r="U9" s="88">
        <v>7.4</v>
      </c>
      <c r="V9" s="88">
        <v>7</v>
      </c>
      <c r="W9" s="88">
        <v>6.9</v>
      </c>
      <c r="X9" s="88">
        <v>6.8</v>
      </c>
      <c r="Y9" s="88">
        <v>8</v>
      </c>
      <c r="Z9" s="88">
        <v>6.6</v>
      </c>
      <c r="AA9" s="88">
        <v>6.9</v>
      </c>
      <c r="AB9" s="88">
        <v>7.3</v>
      </c>
      <c r="AC9" s="88">
        <v>7</v>
      </c>
      <c r="AD9" s="88">
        <v>7.2</v>
      </c>
      <c r="AE9" s="88">
        <v>6.5</v>
      </c>
      <c r="AF9" s="88"/>
      <c r="AG9" s="103">
        <f t="shared" si="0"/>
        <v>196.20000000000002</v>
      </c>
      <c r="AH9" s="120"/>
      <c r="AI9" s="120"/>
    </row>
    <row r="10" spans="1:35" s="91" customFormat="1" ht="18.75" customHeight="1" x14ac:dyDescent="0.3">
      <c r="A10" s="79" t="s">
        <v>67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103">
        <f t="shared" si="0"/>
        <v>0</v>
      </c>
      <c r="AH10" s="120"/>
      <c r="AI10" s="120"/>
    </row>
    <row r="11" spans="1:35" s="91" customFormat="1" ht="18.75" customHeight="1" x14ac:dyDescent="0.3">
      <c r="A11" s="79" t="s">
        <v>152</v>
      </c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103">
        <f t="shared" si="0"/>
        <v>0</v>
      </c>
      <c r="AH11" s="120"/>
      <c r="AI11" s="120"/>
    </row>
    <row r="12" spans="1:35" s="91" customFormat="1" ht="15.75" x14ac:dyDescent="0.3">
      <c r="A12" s="79" t="s">
        <v>91</v>
      </c>
      <c r="B12" s="87">
        <v>3.1</v>
      </c>
      <c r="C12" s="87">
        <v>2.5</v>
      </c>
      <c r="D12" s="87">
        <v>1.7</v>
      </c>
      <c r="E12" s="87">
        <v>2.8</v>
      </c>
      <c r="F12" s="87">
        <v>2</v>
      </c>
      <c r="G12" s="87">
        <v>3.2</v>
      </c>
      <c r="H12" s="87">
        <v>1</v>
      </c>
      <c r="I12" s="87">
        <v>2.2999999999999998</v>
      </c>
      <c r="J12" s="87">
        <v>2.2000000000000002</v>
      </c>
      <c r="K12" s="87">
        <v>3.7</v>
      </c>
      <c r="L12" s="87">
        <v>2.9</v>
      </c>
      <c r="M12" s="87">
        <v>2.5</v>
      </c>
      <c r="N12" s="87">
        <v>3</v>
      </c>
      <c r="O12" s="87">
        <v>3.5</v>
      </c>
      <c r="P12" s="87">
        <v>3.3</v>
      </c>
      <c r="Q12" s="87">
        <v>2.9</v>
      </c>
      <c r="R12" s="87">
        <v>3.7</v>
      </c>
      <c r="S12" s="87">
        <v>3.5</v>
      </c>
      <c r="T12" s="87">
        <v>2.8</v>
      </c>
      <c r="U12" s="87">
        <v>3.6</v>
      </c>
      <c r="V12" s="87">
        <v>3.7</v>
      </c>
      <c r="W12" s="87">
        <v>3.9</v>
      </c>
      <c r="X12" s="87">
        <v>3.8</v>
      </c>
      <c r="Y12" s="87">
        <v>2.7</v>
      </c>
      <c r="Z12" s="87">
        <v>3.5</v>
      </c>
      <c r="AA12" s="87">
        <v>2.9</v>
      </c>
      <c r="AB12" s="87">
        <v>2</v>
      </c>
      <c r="AC12" s="87">
        <v>3.1</v>
      </c>
      <c r="AD12" s="87">
        <v>3</v>
      </c>
      <c r="AE12" s="87">
        <v>3.7</v>
      </c>
      <c r="AF12" s="87"/>
      <c r="AG12" s="103">
        <f t="shared" si="0"/>
        <v>88.5</v>
      </c>
    </row>
    <row r="13" spans="1:35" s="91" customFormat="1" ht="15.75" x14ac:dyDescent="0.3">
      <c r="A13" s="79" t="s">
        <v>69</v>
      </c>
      <c r="B13" s="66"/>
      <c r="C13" s="66"/>
      <c r="D13" s="66"/>
      <c r="E13" s="66"/>
      <c r="F13" s="66"/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/>
      <c r="U13" s="66"/>
      <c r="V13" s="66"/>
      <c r="W13" s="66"/>
      <c r="X13" s="66"/>
      <c r="Y13" s="66"/>
      <c r="Z13" s="66"/>
      <c r="AA13" s="66"/>
      <c r="AB13" s="66"/>
      <c r="AC13" s="66"/>
      <c r="AD13" s="66"/>
      <c r="AE13" s="66"/>
      <c r="AF13" s="66"/>
      <c r="AG13" s="103">
        <f t="shared" si="0"/>
        <v>0</v>
      </c>
      <c r="AH13" s="120"/>
      <c r="AI13" s="120"/>
    </row>
    <row r="14" spans="1:35" s="91" customFormat="1" ht="18.75" customHeight="1" x14ac:dyDescent="0.3">
      <c r="A14" s="79" t="s">
        <v>71</v>
      </c>
      <c r="B14" s="87"/>
      <c r="C14" s="87">
        <v>0.9</v>
      </c>
      <c r="D14" s="87"/>
      <c r="E14" s="87">
        <v>2.6</v>
      </c>
      <c r="F14" s="87"/>
      <c r="G14" s="87">
        <v>1.7</v>
      </c>
      <c r="H14" s="87">
        <v>2.2999999999999998</v>
      </c>
      <c r="I14" s="87"/>
      <c r="J14" s="87"/>
      <c r="K14" s="87">
        <v>3</v>
      </c>
      <c r="L14" s="87"/>
      <c r="M14" s="87">
        <v>3.6</v>
      </c>
      <c r="N14" s="87"/>
      <c r="O14" s="87">
        <v>2.4</v>
      </c>
      <c r="P14" s="87"/>
      <c r="Q14" s="87"/>
      <c r="R14" s="87"/>
      <c r="S14" s="87">
        <v>1.5</v>
      </c>
      <c r="T14" s="87"/>
      <c r="U14" s="87">
        <v>2.6</v>
      </c>
      <c r="V14" s="87"/>
      <c r="W14" s="87">
        <v>1.3</v>
      </c>
      <c r="X14" s="87">
        <v>2.4</v>
      </c>
      <c r="Y14" s="88"/>
      <c r="Z14" s="88"/>
      <c r="AA14" s="88"/>
      <c r="AB14" s="88"/>
      <c r="AC14" s="88">
        <v>2.2999999999999998</v>
      </c>
      <c r="AD14" s="88">
        <v>1.9</v>
      </c>
      <c r="AE14" s="88"/>
      <c r="AF14" s="88"/>
      <c r="AG14" s="103">
        <f t="shared" si="0"/>
        <v>28.5</v>
      </c>
      <c r="AH14" s="120"/>
      <c r="AI14" s="120"/>
    </row>
    <row r="15" spans="1:35" s="91" customFormat="1" ht="18.75" customHeight="1" x14ac:dyDescent="0.3">
      <c r="A15" s="79" t="s">
        <v>72</v>
      </c>
      <c r="B15" s="87">
        <v>1.1000000000000001</v>
      </c>
      <c r="C15" s="87">
        <v>2</v>
      </c>
      <c r="D15" s="87">
        <v>1.8</v>
      </c>
      <c r="E15" s="87">
        <v>2</v>
      </c>
      <c r="F15" s="87">
        <v>2.5</v>
      </c>
      <c r="G15" s="87">
        <v>2.4</v>
      </c>
      <c r="H15" s="87">
        <v>0</v>
      </c>
      <c r="I15" s="87">
        <v>2.9</v>
      </c>
      <c r="J15" s="87">
        <v>1</v>
      </c>
      <c r="K15" s="87">
        <v>1.5</v>
      </c>
      <c r="L15" s="87">
        <v>2.1</v>
      </c>
      <c r="M15" s="87">
        <v>2.5</v>
      </c>
      <c r="N15" s="87">
        <v>3.1</v>
      </c>
      <c r="O15" s="87">
        <v>2.8</v>
      </c>
      <c r="P15" s="87">
        <v>1.9</v>
      </c>
      <c r="Q15" s="87">
        <v>1.5</v>
      </c>
      <c r="R15" s="87">
        <v>1.9</v>
      </c>
      <c r="S15" s="87">
        <v>2</v>
      </c>
      <c r="T15" s="87">
        <v>2.5</v>
      </c>
      <c r="U15" s="87">
        <v>3.1</v>
      </c>
      <c r="V15" s="87">
        <v>0.5</v>
      </c>
      <c r="W15" s="87">
        <v>0.8</v>
      </c>
      <c r="X15" s="87">
        <v>3.3</v>
      </c>
      <c r="Y15" s="87">
        <v>2.4</v>
      </c>
      <c r="Z15" s="87">
        <v>1.8</v>
      </c>
      <c r="AA15" s="87">
        <v>2.5</v>
      </c>
      <c r="AB15" s="87">
        <v>3.3</v>
      </c>
      <c r="AC15" s="87">
        <v>0</v>
      </c>
      <c r="AD15" s="87">
        <v>1.8</v>
      </c>
      <c r="AE15" s="87">
        <v>6.8</v>
      </c>
      <c r="AF15" s="87"/>
      <c r="AG15" s="103">
        <f t="shared" si="0"/>
        <v>63.79999999999999</v>
      </c>
      <c r="AH15" s="120"/>
      <c r="AI15" s="120"/>
    </row>
    <row r="16" spans="1:35" s="91" customFormat="1" ht="18.75" customHeight="1" x14ac:dyDescent="0.3">
      <c r="A16" s="79" t="s">
        <v>85</v>
      </c>
      <c r="B16" s="87"/>
      <c r="C16" s="87"/>
      <c r="D16" s="87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103">
        <f t="shared" si="0"/>
        <v>0</v>
      </c>
      <c r="AH16" s="120"/>
      <c r="AI16" s="120"/>
    </row>
    <row r="17" spans="1:35" s="91" customFormat="1" ht="18.75" customHeight="1" x14ac:dyDescent="0.3">
      <c r="A17" s="79" t="s">
        <v>194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120"/>
      <c r="AI17" s="120"/>
    </row>
    <row r="18" spans="1:35" s="91" customFormat="1" ht="18.75" customHeight="1" x14ac:dyDescent="0.3">
      <c r="A18" s="79" t="s">
        <v>73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120"/>
      <c r="AI18" s="120"/>
    </row>
    <row r="19" spans="1:35" s="91" customFormat="1" ht="18.75" customHeight="1" x14ac:dyDescent="0.3">
      <c r="A19" s="79" t="s">
        <v>92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103">
        <f t="shared" si="0"/>
        <v>0</v>
      </c>
      <c r="AH19" s="120"/>
      <c r="AI19" s="120"/>
    </row>
    <row r="20" spans="1:35" s="91" customFormat="1" ht="18.75" customHeight="1" x14ac:dyDescent="0.3">
      <c r="A20" s="79" t="s">
        <v>89</v>
      </c>
      <c r="B20" s="87">
        <v>1.3</v>
      </c>
      <c r="C20" s="87">
        <v>6.2</v>
      </c>
      <c r="D20" s="87">
        <v>1.3</v>
      </c>
      <c r="E20" s="87">
        <v>2.5</v>
      </c>
      <c r="F20" s="87">
        <v>4.3</v>
      </c>
      <c r="G20" s="87">
        <v>1.5</v>
      </c>
      <c r="H20" s="87">
        <v>3.2</v>
      </c>
      <c r="I20" s="87">
        <v>3.2</v>
      </c>
      <c r="J20" s="87">
        <v>4.3</v>
      </c>
      <c r="K20" s="87">
        <v>2.5</v>
      </c>
      <c r="L20" s="87">
        <v>0.5</v>
      </c>
      <c r="M20" s="87">
        <v>4</v>
      </c>
      <c r="N20" s="87">
        <v>4.3</v>
      </c>
      <c r="O20" s="87">
        <v>3.2</v>
      </c>
      <c r="P20" s="87">
        <v>6.2</v>
      </c>
      <c r="Q20" s="87">
        <v>1.3</v>
      </c>
      <c r="R20" s="87">
        <v>1.4</v>
      </c>
      <c r="S20" s="87">
        <v>2.2000000000000002</v>
      </c>
      <c r="T20" s="87">
        <v>0.9</v>
      </c>
      <c r="U20" s="87">
        <v>1.3</v>
      </c>
      <c r="V20" s="87">
        <v>4.3</v>
      </c>
      <c r="W20" s="87">
        <v>2.2999999999999998</v>
      </c>
      <c r="X20" s="87">
        <v>1.6</v>
      </c>
      <c r="Y20" s="87">
        <v>2</v>
      </c>
      <c r="Z20" s="87">
        <v>3.4</v>
      </c>
      <c r="AA20" s="87">
        <v>4.3</v>
      </c>
      <c r="AB20" s="87">
        <v>6</v>
      </c>
      <c r="AC20" s="87">
        <v>1.4</v>
      </c>
      <c r="AD20" s="87">
        <v>1</v>
      </c>
      <c r="AE20" s="87">
        <v>3.1</v>
      </c>
      <c r="AF20" s="87"/>
      <c r="AG20" s="103">
        <f t="shared" si="0"/>
        <v>84.999999999999986</v>
      </c>
      <c r="AH20" s="120"/>
      <c r="AI20" s="120"/>
    </row>
    <row r="21" spans="1:35" s="91" customFormat="1" ht="18.75" customHeight="1" x14ac:dyDescent="0.3">
      <c r="A21" s="79" t="s">
        <v>74</v>
      </c>
      <c r="B21" s="87">
        <v>2.2999999999999998</v>
      </c>
      <c r="C21" s="87">
        <v>1.9</v>
      </c>
      <c r="D21" s="87">
        <v>2</v>
      </c>
      <c r="E21" s="87">
        <v>1.6</v>
      </c>
      <c r="F21" s="87">
        <v>1.4</v>
      </c>
      <c r="G21" s="87">
        <v>1.9</v>
      </c>
      <c r="H21" s="87">
        <v>0.2</v>
      </c>
      <c r="I21" s="87">
        <v>1</v>
      </c>
      <c r="J21" s="87">
        <v>2</v>
      </c>
      <c r="K21" s="87">
        <v>2</v>
      </c>
      <c r="L21" s="87">
        <v>0.9</v>
      </c>
      <c r="M21" s="87">
        <v>1.2</v>
      </c>
      <c r="N21" s="87">
        <v>3.2</v>
      </c>
      <c r="O21" s="87">
        <v>1.9</v>
      </c>
      <c r="P21" s="87">
        <v>2.6</v>
      </c>
      <c r="Q21" s="87">
        <v>1.9</v>
      </c>
      <c r="R21" s="87">
        <v>1.3</v>
      </c>
      <c r="S21" s="87">
        <v>2.2999999999999998</v>
      </c>
      <c r="T21" s="87">
        <v>1</v>
      </c>
      <c r="U21" s="87">
        <v>0.9</v>
      </c>
      <c r="V21" s="87">
        <v>0.3</v>
      </c>
      <c r="W21" s="87">
        <v>1.9</v>
      </c>
      <c r="X21" s="87">
        <v>2.2999999999999998</v>
      </c>
      <c r="Y21" s="87">
        <v>2.9</v>
      </c>
      <c r="Z21" s="87">
        <v>1.9</v>
      </c>
      <c r="AA21" s="87">
        <v>2.6</v>
      </c>
      <c r="AB21" s="87">
        <v>1.4</v>
      </c>
      <c r="AC21" s="87">
        <v>2.7</v>
      </c>
      <c r="AD21" s="87">
        <v>1.8</v>
      </c>
      <c r="AE21" s="87">
        <v>2.7</v>
      </c>
      <c r="AF21" s="87"/>
      <c r="AG21" s="103">
        <f t="shared" si="0"/>
        <v>53.999999999999986</v>
      </c>
      <c r="AH21" s="120"/>
      <c r="AI21" s="120"/>
    </row>
    <row r="22" spans="1:35" s="91" customFormat="1" ht="18.75" customHeight="1" x14ac:dyDescent="0.3">
      <c r="A22" s="79" t="s">
        <v>75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120"/>
      <c r="AI22" s="120"/>
    </row>
    <row r="23" spans="1:35" s="91" customFormat="1" ht="18.75" customHeight="1" x14ac:dyDescent="0.3">
      <c r="A23" s="79" t="s">
        <v>77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103">
        <f t="shared" si="0"/>
        <v>0</v>
      </c>
      <c r="AH23" s="120"/>
      <c r="AI23" s="120"/>
    </row>
    <row r="24" spans="1:35" s="91" customFormat="1" ht="18.75" customHeight="1" x14ac:dyDescent="0.3">
      <c r="A24" s="79" t="s">
        <v>78</v>
      </c>
      <c r="B24" s="87">
        <v>3</v>
      </c>
      <c r="C24" s="87">
        <v>2</v>
      </c>
      <c r="D24" s="87">
        <v>2</v>
      </c>
      <c r="E24" s="87">
        <v>3</v>
      </c>
      <c r="F24" s="87">
        <v>4</v>
      </c>
      <c r="G24" s="87">
        <v>3</v>
      </c>
      <c r="H24" s="87">
        <v>2</v>
      </c>
      <c r="I24" s="87">
        <v>2</v>
      </c>
      <c r="J24" s="87">
        <v>7</v>
      </c>
      <c r="K24" s="87">
        <v>5</v>
      </c>
      <c r="L24" s="87">
        <v>5</v>
      </c>
      <c r="M24" s="87">
        <v>4</v>
      </c>
      <c r="N24" s="87">
        <v>6</v>
      </c>
      <c r="O24" s="87">
        <v>5</v>
      </c>
      <c r="P24" s="87">
        <v>5</v>
      </c>
      <c r="Q24" s="87">
        <v>6</v>
      </c>
      <c r="R24" s="87">
        <v>3</v>
      </c>
      <c r="S24" s="87">
        <v>6</v>
      </c>
      <c r="T24" s="87">
        <v>5</v>
      </c>
      <c r="U24" s="87">
        <v>6</v>
      </c>
      <c r="V24" s="87">
        <v>7</v>
      </c>
      <c r="W24" s="87">
        <v>5</v>
      </c>
      <c r="X24" s="87">
        <v>4</v>
      </c>
      <c r="Y24" s="87">
        <v>5</v>
      </c>
      <c r="Z24" s="87">
        <v>4</v>
      </c>
      <c r="AA24" s="87">
        <v>5</v>
      </c>
      <c r="AB24" s="87">
        <v>4</v>
      </c>
      <c r="AC24" s="87">
        <v>5</v>
      </c>
      <c r="AD24" s="87">
        <v>5</v>
      </c>
      <c r="AE24" s="87">
        <v>5</v>
      </c>
      <c r="AF24" s="87"/>
      <c r="AG24" s="103">
        <f t="shared" si="0"/>
        <v>133</v>
      </c>
      <c r="AH24" s="120"/>
      <c r="AI24" s="120"/>
    </row>
    <row r="25" spans="1:35" s="91" customFormat="1" ht="18.75" customHeight="1" x14ac:dyDescent="0.3">
      <c r="A25" s="79" t="s">
        <v>79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120"/>
      <c r="AI25" s="120"/>
    </row>
    <row r="26" spans="1:35" s="91" customFormat="1" ht="18.75" customHeight="1" x14ac:dyDescent="0.3">
      <c r="A26" s="79" t="s">
        <v>154</v>
      </c>
      <c r="B26" s="88"/>
      <c r="C26" s="88"/>
      <c r="D26" s="88"/>
      <c r="E26" s="88"/>
      <c r="F26" s="88"/>
      <c r="G26" s="88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  <c r="AA26" s="88"/>
      <c r="AB26" s="88"/>
      <c r="AC26" s="88"/>
      <c r="AD26" s="88"/>
      <c r="AE26" s="88"/>
      <c r="AF26" s="88"/>
      <c r="AG26" s="103">
        <f t="shared" si="0"/>
        <v>0</v>
      </c>
      <c r="AH26" s="120"/>
      <c r="AI26" s="120"/>
    </row>
    <row r="27" spans="1:35" s="91" customFormat="1" ht="18.75" customHeight="1" x14ac:dyDescent="0.3">
      <c r="A27" s="79" t="s">
        <v>80</v>
      </c>
      <c r="B27" s="88"/>
      <c r="C27" s="88"/>
      <c r="D27" s="88"/>
      <c r="E27" s="88"/>
      <c r="F27" s="88"/>
      <c r="G27" s="88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  <c r="AA27" s="88"/>
      <c r="AB27" s="88"/>
      <c r="AC27" s="88"/>
      <c r="AD27" s="88"/>
      <c r="AE27" s="88"/>
      <c r="AF27" s="88"/>
      <c r="AG27" s="103">
        <f t="shared" si="0"/>
        <v>0</v>
      </c>
      <c r="AH27" s="120"/>
      <c r="AI27" s="120"/>
    </row>
    <row r="28" spans="1:35" s="91" customFormat="1" ht="18.75" customHeight="1" x14ac:dyDescent="0.3">
      <c r="A28" s="79" t="s">
        <v>76</v>
      </c>
      <c r="B28" s="88"/>
      <c r="C28" s="88"/>
      <c r="D28" s="88"/>
      <c r="E28" s="88"/>
      <c r="F28" s="88"/>
      <c r="G28" s="88"/>
      <c r="H28" s="88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8"/>
      <c r="W28" s="88"/>
      <c r="X28" s="88"/>
      <c r="Y28" s="88"/>
      <c r="Z28" s="88"/>
      <c r="AA28" s="88"/>
      <c r="AB28" s="88"/>
      <c r="AC28" s="88"/>
      <c r="AD28" s="88"/>
      <c r="AE28" s="88"/>
      <c r="AF28" s="88"/>
      <c r="AG28" s="103">
        <f t="shared" si="0"/>
        <v>0</v>
      </c>
      <c r="AH28" s="120"/>
      <c r="AI28" s="120"/>
    </row>
    <row r="29" spans="1:35" s="91" customFormat="1" ht="18.75" customHeight="1" x14ac:dyDescent="0.3">
      <c r="A29" s="79" t="s">
        <v>81</v>
      </c>
      <c r="B29" s="88">
        <f>2.5+1.5+0.9</f>
        <v>4.9000000000000004</v>
      </c>
      <c r="C29" s="88">
        <f>2.5+3+2.1</f>
        <v>7.6</v>
      </c>
      <c r="D29" s="88">
        <f>3.5+2+1.5</f>
        <v>7</v>
      </c>
      <c r="E29" s="88">
        <f>3+2.5+1.9</f>
        <v>7.4</v>
      </c>
      <c r="F29" s="88">
        <f>2.5+1.9+1</f>
        <v>5.4</v>
      </c>
      <c r="G29" s="88">
        <f>3+2.9+1.2</f>
        <v>7.1000000000000005</v>
      </c>
      <c r="H29" s="88">
        <f>2.5+2.1+1</f>
        <v>5.6</v>
      </c>
      <c r="I29" s="88">
        <f>3+2.5+0.8</f>
        <v>6.3</v>
      </c>
      <c r="J29" s="88">
        <f>3.1+2.9+0.9</f>
        <v>6.9</v>
      </c>
      <c r="K29" s="88">
        <f>2.5+1.9+1</f>
        <v>5.4</v>
      </c>
      <c r="L29" s="88">
        <f>3+1.9+1.5</f>
        <v>6.4</v>
      </c>
      <c r="M29" s="88">
        <f>3.5+2+1.9</f>
        <v>7.4</v>
      </c>
      <c r="N29" s="88">
        <f>3+2.3+4.1</f>
        <v>9.3999999999999986</v>
      </c>
      <c r="O29" s="88">
        <f>2.9+1.8+2.2</f>
        <v>6.9</v>
      </c>
      <c r="P29" s="88">
        <f>3+2+3</f>
        <v>8</v>
      </c>
      <c r="Q29" s="88">
        <f>1.9+2.2+3.1</f>
        <v>7.1999999999999993</v>
      </c>
      <c r="R29" s="88">
        <f>4.5+6.3+3.8</f>
        <v>14.600000000000001</v>
      </c>
      <c r="S29" s="88">
        <f>2.9+3.1+4.5</f>
        <v>10.5</v>
      </c>
      <c r="T29" s="88">
        <f>6.1+2.5+3.8</f>
        <v>12.399999999999999</v>
      </c>
      <c r="U29" s="88">
        <f>4.1+2.5+1.9</f>
        <v>8.5</v>
      </c>
      <c r="V29" s="88">
        <f>3.9+4.1+3.2</f>
        <v>11.2</v>
      </c>
      <c r="W29" s="88">
        <f>1.8+2.1+1.9</f>
        <v>5.8000000000000007</v>
      </c>
      <c r="X29" s="88">
        <f>1.8+2.2+3.1</f>
        <v>7.1</v>
      </c>
      <c r="Y29" s="88">
        <f>2.1+3.1+4.8</f>
        <v>10</v>
      </c>
      <c r="Z29" s="88">
        <f>4.5+2.5+1.9</f>
        <v>8.9</v>
      </c>
      <c r="AA29" s="88">
        <f>3.1+2.5+1.7</f>
        <v>7.3</v>
      </c>
      <c r="AB29" s="88">
        <f>4.5+2.2+6.1</f>
        <v>12.8</v>
      </c>
      <c r="AC29" s="88">
        <f>3.1+2.5+2.5</f>
        <v>8.1</v>
      </c>
      <c r="AD29" s="88">
        <f>1.9+2.8+1.8</f>
        <v>6.4999999999999991</v>
      </c>
      <c r="AE29" s="88">
        <f>4.1+2.2+3.5</f>
        <v>9.8000000000000007</v>
      </c>
      <c r="AF29" s="88"/>
      <c r="AG29" s="103">
        <f t="shared" si="0"/>
        <v>242.40000000000006</v>
      </c>
      <c r="AH29" s="120"/>
      <c r="AI29" s="120"/>
    </row>
    <row r="30" spans="1:35" s="91" customFormat="1" ht="18.75" customHeight="1" x14ac:dyDescent="0.3">
      <c r="A30" s="79" t="s">
        <v>86</v>
      </c>
      <c r="B30" s="88"/>
      <c r="C30" s="88"/>
      <c r="D30" s="88"/>
      <c r="E30" s="88"/>
      <c r="F30" s="88"/>
      <c r="G30" s="88"/>
      <c r="H30" s="88"/>
      <c r="I30" s="88"/>
      <c r="J30" s="88"/>
      <c r="K30" s="88"/>
      <c r="L30" s="88"/>
      <c r="M30" s="88"/>
      <c r="N30" s="88"/>
      <c r="O30" s="88"/>
      <c r="P30" s="88"/>
      <c r="Q30" s="88"/>
      <c r="R30" s="88"/>
      <c r="S30" s="88"/>
      <c r="T30" s="88"/>
      <c r="U30" s="88"/>
      <c r="V30" s="88"/>
      <c r="W30" s="88"/>
      <c r="X30" s="88"/>
      <c r="Y30" s="88"/>
      <c r="Z30" s="88"/>
      <c r="AA30" s="88"/>
      <c r="AB30" s="88"/>
      <c r="AC30" s="88"/>
      <c r="AD30" s="88"/>
      <c r="AE30" s="88"/>
      <c r="AF30" s="88"/>
      <c r="AG30" s="103">
        <f t="shared" si="0"/>
        <v>0</v>
      </c>
      <c r="AH30" s="120"/>
      <c r="AI30" s="120"/>
    </row>
    <row r="31" spans="1:35" s="91" customFormat="1" ht="18.75" customHeight="1" x14ac:dyDescent="0.3">
      <c r="A31" s="79" t="s">
        <v>82</v>
      </c>
      <c r="B31" s="88"/>
      <c r="C31" s="88"/>
      <c r="D31" s="88"/>
      <c r="E31" s="88"/>
      <c r="F31" s="88"/>
      <c r="G31" s="88"/>
      <c r="H31" s="88"/>
      <c r="I31" s="88"/>
      <c r="J31" s="88"/>
      <c r="K31" s="88"/>
      <c r="L31" s="88"/>
      <c r="M31" s="88"/>
      <c r="N31" s="88"/>
      <c r="O31" s="88"/>
      <c r="P31" s="88"/>
      <c r="Q31" s="88"/>
      <c r="R31" s="88"/>
      <c r="S31" s="88"/>
      <c r="T31" s="88"/>
      <c r="U31" s="88"/>
      <c r="V31" s="88"/>
      <c r="W31" s="88"/>
      <c r="X31" s="88"/>
      <c r="Y31" s="88"/>
      <c r="Z31" s="88"/>
      <c r="AA31" s="88"/>
      <c r="AB31" s="88"/>
      <c r="AC31" s="88"/>
      <c r="AD31" s="88"/>
      <c r="AE31" s="88"/>
      <c r="AF31" s="88"/>
      <c r="AG31" s="103">
        <f t="shared" si="0"/>
        <v>0</v>
      </c>
      <c r="AH31" s="120"/>
      <c r="AI31" s="120"/>
    </row>
    <row r="32" spans="1:35" s="91" customFormat="1" ht="18.75" customHeight="1" x14ac:dyDescent="0.3">
      <c r="A32" s="79" t="s">
        <v>178</v>
      </c>
      <c r="B32" s="88"/>
      <c r="C32" s="88"/>
      <c r="D32" s="88"/>
      <c r="E32" s="88"/>
      <c r="F32" s="88"/>
      <c r="G32" s="88"/>
      <c r="H32" s="88"/>
      <c r="I32" s="88"/>
      <c r="J32" s="88"/>
      <c r="K32" s="88"/>
      <c r="L32" s="88"/>
      <c r="M32" s="88"/>
      <c r="N32" s="88"/>
      <c r="O32" s="88"/>
      <c r="P32" s="88"/>
      <c r="Q32" s="88"/>
      <c r="R32" s="88"/>
      <c r="S32" s="88"/>
      <c r="T32" s="88"/>
      <c r="U32" s="88"/>
      <c r="V32" s="88"/>
      <c r="W32" s="88"/>
      <c r="X32" s="88"/>
      <c r="Y32" s="88"/>
      <c r="Z32" s="88"/>
      <c r="AA32" s="88"/>
      <c r="AB32" s="88"/>
      <c r="AC32" s="88"/>
      <c r="AD32" s="88"/>
      <c r="AE32" s="88"/>
      <c r="AF32" s="88"/>
      <c r="AG32" s="103">
        <f t="shared" si="0"/>
        <v>0</v>
      </c>
      <c r="AH32" s="120"/>
      <c r="AI32" s="120"/>
    </row>
    <row r="33" spans="1:35" s="91" customFormat="1" ht="18.75" customHeight="1" x14ac:dyDescent="0.3">
      <c r="A33" s="104" t="s">
        <v>155</v>
      </c>
      <c r="B33" s="87">
        <f>SUM(B3:B32)</f>
        <v>23.1</v>
      </c>
      <c r="C33" s="87">
        <f t="shared" ref="C33:AF33" si="1">SUM(C3:C32)</f>
        <v>30.9</v>
      </c>
      <c r="D33" s="87">
        <f t="shared" si="1"/>
        <v>22.3</v>
      </c>
      <c r="E33" s="87">
        <f t="shared" si="1"/>
        <v>27.9</v>
      </c>
      <c r="F33" s="87">
        <f t="shared" si="1"/>
        <v>24.6</v>
      </c>
      <c r="G33" s="87">
        <f t="shared" si="1"/>
        <v>26.3</v>
      </c>
      <c r="H33" s="87">
        <f t="shared" si="1"/>
        <v>20.6</v>
      </c>
      <c r="I33" s="87">
        <f t="shared" si="1"/>
        <v>23.700000000000003</v>
      </c>
      <c r="J33" s="87">
        <f t="shared" si="1"/>
        <v>27.9</v>
      </c>
      <c r="K33" s="87">
        <f t="shared" si="1"/>
        <v>27.700000000000003</v>
      </c>
      <c r="L33" s="87">
        <f t="shared" si="1"/>
        <v>22.700000000000003</v>
      </c>
      <c r="M33" s="87">
        <f t="shared" si="1"/>
        <v>31.6</v>
      </c>
      <c r="N33" s="87">
        <f t="shared" si="1"/>
        <v>35.599999999999994</v>
      </c>
      <c r="O33" s="87">
        <f t="shared" si="1"/>
        <v>32.6</v>
      </c>
      <c r="P33" s="87">
        <f t="shared" si="1"/>
        <v>33.799999999999997</v>
      </c>
      <c r="Q33" s="87">
        <f t="shared" si="1"/>
        <v>27.8</v>
      </c>
      <c r="R33" s="87">
        <f t="shared" si="1"/>
        <v>32.400000000000006</v>
      </c>
      <c r="S33" s="87">
        <f t="shared" si="1"/>
        <v>34.799999999999997</v>
      </c>
      <c r="T33" s="87">
        <f t="shared" si="1"/>
        <v>31.699999999999996</v>
      </c>
      <c r="U33" s="87">
        <f t="shared" si="1"/>
        <v>33.4</v>
      </c>
      <c r="V33" s="87">
        <f t="shared" si="1"/>
        <v>34</v>
      </c>
      <c r="W33" s="87">
        <f t="shared" si="1"/>
        <v>27.900000000000002</v>
      </c>
      <c r="X33" s="87">
        <f t="shared" si="1"/>
        <v>31.300000000000004</v>
      </c>
      <c r="Y33" s="87">
        <f t="shared" si="1"/>
        <v>33</v>
      </c>
      <c r="Z33" s="87">
        <f t="shared" si="1"/>
        <v>30.1</v>
      </c>
      <c r="AA33" s="87">
        <f t="shared" si="1"/>
        <v>31.500000000000004</v>
      </c>
      <c r="AB33" s="87">
        <f t="shared" si="1"/>
        <v>36.799999999999997</v>
      </c>
      <c r="AC33" s="87">
        <f t="shared" si="1"/>
        <v>29.6</v>
      </c>
      <c r="AD33" s="87">
        <f t="shared" si="1"/>
        <v>28.2</v>
      </c>
      <c r="AE33" s="87">
        <f t="shared" si="1"/>
        <v>37.6</v>
      </c>
      <c r="AF33" s="87">
        <f t="shared" si="1"/>
        <v>0</v>
      </c>
      <c r="AG33" s="105">
        <f>SUM(B33:AF33)</f>
        <v>891.4</v>
      </c>
      <c r="AH33" s="120"/>
      <c r="AI33" s="120"/>
    </row>
    <row r="34" spans="1:35" s="91" customFormat="1" ht="18.75" customHeight="1" x14ac:dyDescent="0.25">
      <c r="AG34" s="24">
        <f>SUM(AG3:AG32)</f>
        <v>891.40000000000009</v>
      </c>
      <c r="AH34" s="120"/>
      <c r="AI34" s="120"/>
    </row>
  </sheetData>
  <mergeCells count="1">
    <mergeCell ref="A1:AG1"/>
  </mergeCells>
  <conditionalFormatting sqref="AG33">
    <cfRule type="cellIs" dxfId="59" priority="2" operator="equal">
      <formula>$AG$34</formula>
    </cfRule>
  </conditionalFormatting>
  <conditionalFormatting sqref="AG34">
    <cfRule type="cellIs" dxfId="58" priority="1" operator="equal">
      <formula>$AG$33</formula>
    </cfRule>
  </conditionalFormatting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62.28515625" customWidth="1"/>
    <col min="2" max="32" width="6.2851562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6">
        <f>SUM(B3:AF3)</f>
        <v>0</v>
      </c>
      <c r="AH3" s="47"/>
      <c r="AI3" s="48"/>
    </row>
    <row r="4" spans="1:35" s="44" customFormat="1" ht="30.75" customHeight="1" x14ac:dyDescent="0.35">
      <c r="A4" s="78" t="s">
        <v>94</v>
      </c>
      <c r="B4" s="85"/>
      <c r="C4" s="85"/>
      <c r="D4" s="85"/>
      <c r="E4" s="85"/>
      <c r="F4" s="85"/>
      <c r="G4" s="85"/>
      <c r="H4" s="85"/>
      <c r="I4" s="86"/>
      <c r="J4" s="85"/>
      <c r="K4" s="86"/>
      <c r="L4" s="85"/>
      <c r="M4" s="86"/>
      <c r="N4" s="85"/>
      <c r="O4" s="85"/>
      <c r="P4" s="86"/>
      <c r="Q4" s="85"/>
      <c r="R4" s="85"/>
      <c r="S4" s="86"/>
      <c r="T4" s="86"/>
      <c r="U4" s="86"/>
      <c r="V4" s="86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03">
        <f t="shared" ref="AG4:AG41" si="0">SUM(B4:AF4)</f>
        <v>0</v>
      </c>
      <c r="AH4" s="47"/>
      <c r="AI4" s="48"/>
    </row>
    <row r="5" spans="1:35" s="44" customFormat="1" ht="18.75" customHeight="1" x14ac:dyDescent="0.35">
      <c r="A5" s="79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79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79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79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79" t="s">
        <v>65</v>
      </c>
      <c r="B9" s="87">
        <v>4.3</v>
      </c>
      <c r="C9" s="87">
        <v>3.6</v>
      </c>
      <c r="D9" s="87">
        <v>4.4000000000000004</v>
      </c>
      <c r="E9" s="87">
        <v>3.9</v>
      </c>
      <c r="F9" s="87">
        <v>2.9</v>
      </c>
      <c r="G9" s="87">
        <v>3.6</v>
      </c>
      <c r="H9" s="87">
        <v>5</v>
      </c>
      <c r="I9" s="87">
        <v>3.3</v>
      </c>
      <c r="J9" s="87">
        <v>2.9</v>
      </c>
      <c r="K9" s="87">
        <v>3.6</v>
      </c>
      <c r="L9" s="87">
        <v>4.0999999999999996</v>
      </c>
      <c r="M9" s="87">
        <v>4</v>
      </c>
      <c r="N9" s="87">
        <v>3.8</v>
      </c>
      <c r="O9" s="87">
        <v>3.6</v>
      </c>
      <c r="P9" s="87">
        <v>3.5</v>
      </c>
      <c r="Q9" s="87">
        <v>4</v>
      </c>
      <c r="R9" s="87">
        <v>3.6</v>
      </c>
      <c r="S9" s="87">
        <v>3.3</v>
      </c>
      <c r="T9" s="87">
        <v>3</v>
      </c>
      <c r="U9" s="87">
        <v>4.5</v>
      </c>
      <c r="V9" s="87">
        <v>33.700000000000003</v>
      </c>
      <c r="W9" s="87">
        <v>5.6</v>
      </c>
      <c r="X9" s="87">
        <v>4</v>
      </c>
      <c r="Y9" s="87">
        <v>2.9</v>
      </c>
      <c r="Z9" s="87">
        <v>4.3</v>
      </c>
      <c r="AA9" s="87">
        <v>4.4000000000000004</v>
      </c>
      <c r="AB9" s="87">
        <v>3.9</v>
      </c>
      <c r="AC9" s="87">
        <v>4</v>
      </c>
      <c r="AD9" s="87">
        <v>3.9</v>
      </c>
      <c r="AE9" s="87">
        <v>3</v>
      </c>
      <c r="AF9" s="87"/>
      <c r="AG9" s="103">
        <f t="shared" si="0"/>
        <v>144.6</v>
      </c>
      <c r="AH9" s="48"/>
      <c r="AI9" s="48"/>
    </row>
    <row r="10" spans="1:35" s="44" customFormat="1" ht="18.75" customHeight="1" x14ac:dyDescent="0.35">
      <c r="A10" s="79" t="s">
        <v>66</v>
      </c>
      <c r="B10" s="88"/>
      <c r="C10" s="88"/>
      <c r="D10" s="88"/>
      <c r="E10" s="88"/>
      <c r="F10" s="88"/>
      <c r="G10" s="88"/>
      <c r="H10" s="88"/>
      <c r="I10" s="88"/>
      <c r="J10" s="88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103">
        <f t="shared" si="0"/>
        <v>0</v>
      </c>
      <c r="AH10" s="48"/>
      <c r="AI10" s="48"/>
    </row>
    <row r="11" spans="1:35" s="44" customFormat="1" ht="18.75" customHeight="1" x14ac:dyDescent="0.35">
      <c r="A11" s="79" t="s">
        <v>67</v>
      </c>
      <c r="B11" s="87">
        <v>5.2</v>
      </c>
      <c r="C11" s="87">
        <v>4.3</v>
      </c>
      <c r="D11" s="87">
        <v>5.2</v>
      </c>
      <c r="E11" s="87">
        <v>5.8</v>
      </c>
      <c r="F11" s="87">
        <v>5.3</v>
      </c>
      <c r="G11" s="87">
        <v>5.4</v>
      </c>
      <c r="H11" s="87">
        <v>5.2</v>
      </c>
      <c r="I11" s="87">
        <v>5.4</v>
      </c>
      <c r="J11" s="87">
        <v>5.8</v>
      </c>
      <c r="K11" s="87">
        <v>4.8</v>
      </c>
      <c r="L11" s="87">
        <v>4.4000000000000004</v>
      </c>
      <c r="M11" s="87">
        <v>4.0999999999999996</v>
      </c>
      <c r="N11" s="87">
        <v>4.3</v>
      </c>
      <c r="O11" s="87">
        <v>4.4000000000000004</v>
      </c>
      <c r="P11" s="87">
        <v>4.8</v>
      </c>
      <c r="Q11" s="87">
        <v>4.8</v>
      </c>
      <c r="R11" s="87">
        <v>4.2</v>
      </c>
      <c r="S11" s="87">
        <v>4.8</v>
      </c>
      <c r="T11" s="87">
        <v>4.2</v>
      </c>
      <c r="U11" s="87">
        <v>4.2</v>
      </c>
      <c r="V11" s="87">
        <v>5.0999999999999996</v>
      </c>
      <c r="W11" s="87">
        <v>4.8</v>
      </c>
      <c r="X11" s="87">
        <v>4.8</v>
      </c>
      <c r="Y11" s="87">
        <v>5.2</v>
      </c>
      <c r="Z11" s="87">
        <v>4.8</v>
      </c>
      <c r="AA11" s="87">
        <v>4.8</v>
      </c>
      <c r="AB11" s="87">
        <v>4.8</v>
      </c>
      <c r="AC11" s="87">
        <v>4.8</v>
      </c>
      <c r="AD11" s="87">
        <v>5.0999999999999996</v>
      </c>
      <c r="AE11" s="87">
        <v>4.2</v>
      </c>
      <c r="AF11" s="87"/>
      <c r="AG11" s="103">
        <f t="shared" si="0"/>
        <v>145</v>
      </c>
      <c r="AH11" s="48"/>
      <c r="AI11" s="48"/>
    </row>
    <row r="12" spans="1:35" s="44" customFormat="1" ht="34.5" customHeight="1" x14ac:dyDescent="0.35">
      <c r="A12" s="79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79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79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79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79" t="s">
        <v>91</v>
      </c>
      <c r="B16" s="87">
        <v>1.3</v>
      </c>
      <c r="C16" s="87">
        <v>0.9</v>
      </c>
      <c r="D16" s="87">
        <v>0.9</v>
      </c>
      <c r="E16" s="87">
        <v>0.7</v>
      </c>
      <c r="F16" s="87">
        <v>0.6</v>
      </c>
      <c r="G16" s="87">
        <v>1.7</v>
      </c>
      <c r="H16" s="87">
        <v>1.9</v>
      </c>
      <c r="I16" s="87">
        <v>1.8</v>
      </c>
      <c r="J16" s="87">
        <v>1.9</v>
      </c>
      <c r="K16" s="87">
        <v>1.7</v>
      </c>
      <c r="L16" s="87">
        <v>0.7</v>
      </c>
      <c r="M16" s="87">
        <v>0.5</v>
      </c>
      <c r="N16" s="87">
        <v>0.9</v>
      </c>
      <c r="O16" s="87">
        <v>1.1000000000000001</v>
      </c>
      <c r="P16" s="87">
        <v>0.7</v>
      </c>
      <c r="Q16" s="87">
        <v>0.9</v>
      </c>
      <c r="R16" s="87">
        <v>0.7</v>
      </c>
      <c r="S16" s="87">
        <v>1.2</v>
      </c>
      <c r="T16" s="87">
        <v>1.9</v>
      </c>
      <c r="U16" s="87">
        <v>0.8</v>
      </c>
      <c r="V16" s="87">
        <v>0.5</v>
      </c>
      <c r="W16" s="87">
        <v>1.5</v>
      </c>
      <c r="X16" s="87">
        <v>1.8</v>
      </c>
      <c r="Y16" s="87">
        <v>0.6</v>
      </c>
      <c r="Z16" s="87">
        <v>1.1000000000000001</v>
      </c>
      <c r="AA16" s="87">
        <v>1.3</v>
      </c>
      <c r="AB16" s="87">
        <v>1.5</v>
      </c>
      <c r="AC16" s="87">
        <v>1.7</v>
      </c>
      <c r="AD16" s="87">
        <v>1.3</v>
      </c>
      <c r="AE16" s="87">
        <v>1.9</v>
      </c>
      <c r="AF16" s="87"/>
      <c r="AG16" s="103">
        <f t="shared" si="0"/>
        <v>36</v>
      </c>
      <c r="AH16" s="48"/>
      <c r="AI16" s="48"/>
    </row>
    <row r="17" spans="1:35" s="44" customFormat="1" ht="18.75" customHeight="1" x14ac:dyDescent="0.35">
      <c r="A17" s="79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79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79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79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80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79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79" t="s">
        <v>71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8"/>
      <c r="Z23" s="88"/>
      <c r="AA23" s="88"/>
      <c r="AB23" s="88"/>
      <c r="AC23" s="88"/>
      <c r="AD23" s="88"/>
      <c r="AE23" s="88"/>
      <c r="AF23" s="88"/>
      <c r="AG23" s="103">
        <f t="shared" si="0"/>
        <v>0</v>
      </c>
      <c r="AH23" s="48"/>
      <c r="AI23" s="48"/>
    </row>
    <row r="24" spans="1:35" s="44" customFormat="1" ht="18.75" customHeight="1" x14ac:dyDescent="0.35">
      <c r="A24" s="79" t="s">
        <v>72</v>
      </c>
      <c r="B24" s="87">
        <v>2.8</v>
      </c>
      <c r="C24" s="87">
        <v>3</v>
      </c>
      <c r="D24" s="87">
        <v>2.9</v>
      </c>
      <c r="E24" s="87">
        <v>5.8</v>
      </c>
      <c r="F24" s="87">
        <v>4.8</v>
      </c>
      <c r="G24" s="87">
        <v>4.9000000000000004</v>
      </c>
      <c r="H24" s="87">
        <v>5.0999999999999996</v>
      </c>
      <c r="I24" s="87">
        <v>4.9000000000000004</v>
      </c>
      <c r="J24" s="87">
        <v>4.8</v>
      </c>
      <c r="K24" s="87">
        <v>4.9000000000000004</v>
      </c>
      <c r="L24" s="87">
        <v>3.8</v>
      </c>
      <c r="M24" s="87">
        <v>4</v>
      </c>
      <c r="N24" s="87">
        <v>4.5</v>
      </c>
      <c r="O24" s="87">
        <v>3.8</v>
      </c>
      <c r="P24" s="87">
        <v>4.0999999999999996</v>
      </c>
      <c r="Q24" s="87">
        <v>3.9</v>
      </c>
      <c r="R24" s="87">
        <v>4.2</v>
      </c>
      <c r="S24" s="87">
        <v>4.4000000000000004</v>
      </c>
      <c r="T24" s="87">
        <v>5</v>
      </c>
      <c r="U24" s="87">
        <v>4.2</v>
      </c>
      <c r="V24" s="87">
        <v>4.8</v>
      </c>
      <c r="W24" s="87">
        <v>3.8</v>
      </c>
      <c r="X24" s="87">
        <v>2.9</v>
      </c>
      <c r="Y24" s="87">
        <v>3.8</v>
      </c>
      <c r="Z24" s="87">
        <v>3.2</v>
      </c>
      <c r="AA24" s="87">
        <v>3.6</v>
      </c>
      <c r="AB24" s="87">
        <v>2.8</v>
      </c>
      <c r="AC24" s="87">
        <v>2.7</v>
      </c>
      <c r="AD24" s="87">
        <v>2.6</v>
      </c>
      <c r="AE24" s="87">
        <v>1.9</v>
      </c>
      <c r="AF24" s="87"/>
      <c r="AG24" s="103">
        <f t="shared" si="0"/>
        <v>117.9</v>
      </c>
      <c r="AH24" s="48"/>
      <c r="AI24" s="48"/>
    </row>
    <row r="25" spans="1:35" s="44" customFormat="1" ht="18.75" customHeight="1" x14ac:dyDescent="0.35">
      <c r="A25" s="79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79" t="s">
        <v>153</v>
      </c>
      <c r="B26" s="87">
        <v>2.1</v>
      </c>
      <c r="C26" s="87"/>
      <c r="D26" s="87">
        <v>0.9</v>
      </c>
      <c r="E26" s="87"/>
      <c r="F26" s="87"/>
      <c r="G26" s="87">
        <v>1.8</v>
      </c>
      <c r="H26" s="87"/>
      <c r="I26" s="87">
        <v>3</v>
      </c>
      <c r="J26" s="87"/>
      <c r="K26" s="87">
        <v>2</v>
      </c>
      <c r="L26" s="87"/>
      <c r="M26" s="87">
        <v>1</v>
      </c>
      <c r="N26" s="87"/>
      <c r="O26" s="87">
        <v>0.9</v>
      </c>
      <c r="P26" s="87"/>
      <c r="Q26" s="87"/>
      <c r="R26" s="87">
        <v>0.9</v>
      </c>
      <c r="S26" s="87"/>
      <c r="T26" s="87"/>
      <c r="U26" s="87">
        <v>2.6</v>
      </c>
      <c r="V26" s="87"/>
      <c r="W26" s="87">
        <v>2</v>
      </c>
      <c r="X26" s="87"/>
      <c r="Y26" s="87">
        <v>1.2</v>
      </c>
      <c r="Z26" s="87">
        <v>1.9</v>
      </c>
      <c r="AA26" s="87"/>
      <c r="AB26" s="87">
        <v>2.1</v>
      </c>
      <c r="AC26" s="87"/>
      <c r="AD26" s="87">
        <v>1.4</v>
      </c>
      <c r="AE26" s="87">
        <v>2.6</v>
      </c>
      <c r="AF26" s="87"/>
      <c r="AG26" s="103">
        <f t="shared" si="0"/>
        <v>26.400000000000002</v>
      </c>
      <c r="AH26" s="48"/>
      <c r="AI26" s="48"/>
    </row>
    <row r="27" spans="1:35" s="44" customFormat="1" ht="18.75" customHeight="1" x14ac:dyDescent="0.35">
      <c r="A27" s="79" t="s">
        <v>73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103">
        <f t="shared" si="0"/>
        <v>0</v>
      </c>
      <c r="AH27" s="48"/>
      <c r="AI27" s="48"/>
    </row>
    <row r="28" spans="1:35" s="44" customFormat="1" ht="18.75" customHeight="1" x14ac:dyDescent="0.35">
      <c r="A28" s="79" t="s">
        <v>92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103">
        <f t="shared" si="0"/>
        <v>0</v>
      </c>
      <c r="AH28" s="48"/>
      <c r="AI28" s="48"/>
    </row>
    <row r="29" spans="1:35" s="44" customFormat="1" ht="18.75" customHeight="1" x14ac:dyDescent="0.35">
      <c r="A29" s="79" t="s">
        <v>89</v>
      </c>
      <c r="B29" s="87">
        <v>3.7</v>
      </c>
      <c r="C29" s="87">
        <v>3</v>
      </c>
      <c r="D29" s="87">
        <v>4.9000000000000004</v>
      </c>
      <c r="E29" s="87">
        <v>5.9</v>
      </c>
      <c r="F29" s="87">
        <v>4.9000000000000004</v>
      </c>
      <c r="G29" s="87">
        <v>3.9</v>
      </c>
      <c r="H29" s="87">
        <v>3.9</v>
      </c>
      <c r="I29" s="87">
        <v>3.1</v>
      </c>
      <c r="J29" s="87">
        <v>3.9</v>
      </c>
      <c r="K29" s="87">
        <v>3.3</v>
      </c>
      <c r="L29" s="87">
        <v>3</v>
      </c>
      <c r="M29" s="87">
        <v>3.9</v>
      </c>
      <c r="N29" s="87">
        <v>4.9000000000000004</v>
      </c>
      <c r="O29" s="87">
        <v>2.9</v>
      </c>
      <c r="P29" s="87">
        <v>4</v>
      </c>
      <c r="Q29" s="87">
        <v>2.9</v>
      </c>
      <c r="R29" s="87">
        <v>3.7</v>
      </c>
      <c r="S29" s="87">
        <v>1.9</v>
      </c>
      <c r="T29" s="87">
        <v>3.9</v>
      </c>
      <c r="U29" s="87">
        <v>4.7</v>
      </c>
      <c r="V29" s="87">
        <v>3.9</v>
      </c>
      <c r="W29" s="87">
        <v>4.9000000000000004</v>
      </c>
      <c r="X29" s="87">
        <v>5</v>
      </c>
      <c r="Y29" s="87">
        <v>3.9</v>
      </c>
      <c r="Z29" s="87">
        <v>3.9</v>
      </c>
      <c r="AA29" s="87">
        <v>3.9</v>
      </c>
      <c r="AB29" s="87">
        <v>3.9</v>
      </c>
      <c r="AC29" s="87">
        <v>3.9</v>
      </c>
      <c r="AD29" s="87">
        <v>3.7</v>
      </c>
      <c r="AE29" s="87">
        <v>5</v>
      </c>
      <c r="AF29" s="87"/>
      <c r="AG29" s="103">
        <f t="shared" si="0"/>
        <v>118.30000000000004</v>
      </c>
      <c r="AH29" s="48"/>
      <c r="AI29" s="48"/>
    </row>
    <row r="30" spans="1:35" s="44" customFormat="1" ht="18.75" customHeight="1" x14ac:dyDescent="0.35">
      <c r="A30" s="79" t="s">
        <v>74</v>
      </c>
      <c r="B30" s="87"/>
      <c r="C30" s="87"/>
      <c r="D30" s="87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103">
        <f t="shared" si="0"/>
        <v>0</v>
      </c>
      <c r="AH30" s="48"/>
      <c r="AI30" s="48"/>
    </row>
    <row r="31" spans="1:35" s="44" customFormat="1" ht="18.75" customHeight="1" x14ac:dyDescent="0.35">
      <c r="A31" s="79" t="s">
        <v>75</v>
      </c>
      <c r="B31" s="87"/>
      <c r="C31" s="87"/>
      <c r="D31" s="87">
        <v>0.1</v>
      </c>
      <c r="E31" s="87"/>
      <c r="F31" s="87">
        <v>2.2999999999999998</v>
      </c>
      <c r="G31" s="87"/>
      <c r="H31" s="87">
        <v>0.8</v>
      </c>
      <c r="I31" s="87"/>
      <c r="J31" s="87">
        <v>0.9</v>
      </c>
      <c r="K31" s="87"/>
      <c r="L31" s="87">
        <v>2.4</v>
      </c>
      <c r="M31" s="87"/>
      <c r="N31" s="87">
        <v>3.6</v>
      </c>
      <c r="O31" s="87"/>
      <c r="P31" s="87"/>
      <c r="Q31" s="87"/>
      <c r="R31" s="87">
        <v>1.9</v>
      </c>
      <c r="S31" s="87"/>
      <c r="T31" s="87"/>
      <c r="U31" s="87">
        <v>2.1</v>
      </c>
      <c r="V31" s="87"/>
      <c r="W31" s="87"/>
      <c r="X31" s="87"/>
      <c r="Y31" s="87"/>
      <c r="Z31" s="87">
        <v>2</v>
      </c>
      <c r="AA31" s="87"/>
      <c r="AB31" s="87">
        <v>1.3</v>
      </c>
      <c r="AC31" s="87"/>
      <c r="AD31" s="87"/>
      <c r="AE31" s="87"/>
      <c r="AF31" s="87"/>
      <c r="AG31" s="103">
        <f t="shared" si="0"/>
        <v>17.400000000000002</v>
      </c>
      <c r="AH31" s="48"/>
      <c r="AI31" s="48"/>
    </row>
    <row r="32" spans="1:35" s="44" customFormat="1" ht="18.75" customHeight="1" x14ac:dyDescent="0.35">
      <c r="A32" s="79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79" t="s">
        <v>78</v>
      </c>
      <c r="B33" s="87">
        <v>2</v>
      </c>
      <c r="C33" s="87">
        <v>3</v>
      </c>
      <c r="D33" s="87">
        <v>3</v>
      </c>
      <c r="E33" s="87">
        <v>3.5</v>
      </c>
      <c r="F33" s="87">
        <v>2</v>
      </c>
      <c r="G33" s="87">
        <v>3</v>
      </c>
      <c r="H33" s="87">
        <v>2</v>
      </c>
      <c r="I33" s="87">
        <v>3</v>
      </c>
      <c r="J33" s="87">
        <v>2.5</v>
      </c>
      <c r="K33" s="87">
        <v>2</v>
      </c>
      <c r="L33" s="87">
        <v>3.7</v>
      </c>
      <c r="M33" s="87">
        <v>2</v>
      </c>
      <c r="N33" s="87">
        <v>3</v>
      </c>
      <c r="O33" s="87">
        <v>2</v>
      </c>
      <c r="P33" s="87">
        <v>2.5</v>
      </c>
      <c r="Q33" s="87">
        <v>2</v>
      </c>
      <c r="R33" s="87">
        <v>2</v>
      </c>
      <c r="S33" s="87">
        <v>1</v>
      </c>
      <c r="T33" s="87">
        <v>2.2999999999999998</v>
      </c>
      <c r="U33" s="87">
        <v>2</v>
      </c>
      <c r="V33" s="87">
        <v>3.1</v>
      </c>
      <c r="W33" s="87">
        <v>2.1</v>
      </c>
      <c r="X33" s="87">
        <v>2</v>
      </c>
      <c r="Y33" s="87">
        <v>2</v>
      </c>
      <c r="Z33" s="87">
        <v>2</v>
      </c>
      <c r="AA33" s="87">
        <v>2.1</v>
      </c>
      <c r="AB33" s="87">
        <v>3.1</v>
      </c>
      <c r="AC33" s="87">
        <v>2.5</v>
      </c>
      <c r="AD33" s="87">
        <v>2</v>
      </c>
      <c r="AE33" s="87">
        <v>2.1</v>
      </c>
      <c r="AF33" s="87"/>
      <c r="AG33" s="103">
        <f t="shared" si="0"/>
        <v>71.5</v>
      </c>
      <c r="AH33" s="48"/>
      <c r="AI33" s="48"/>
    </row>
    <row r="34" spans="1:35" s="44" customFormat="1" ht="18.75" customHeight="1" x14ac:dyDescent="0.35">
      <c r="A34" s="79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79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79" t="s">
        <v>80</v>
      </c>
      <c r="B36" s="88"/>
      <c r="C36" s="88"/>
      <c r="D36" s="88"/>
      <c r="E36" s="88"/>
      <c r="F36" s="88"/>
      <c r="G36" s="88"/>
      <c r="H36" s="88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8"/>
      <c r="W36" s="88"/>
      <c r="X36" s="88"/>
      <c r="Y36" s="88"/>
      <c r="Z36" s="88"/>
      <c r="AA36" s="88"/>
      <c r="AB36" s="88"/>
      <c r="AC36" s="88"/>
      <c r="AD36" s="88"/>
      <c r="AE36" s="88"/>
      <c r="AF36" s="88"/>
      <c r="AG36" s="103">
        <f t="shared" si="0"/>
        <v>0</v>
      </c>
      <c r="AH36" s="48"/>
      <c r="AI36" s="48"/>
    </row>
    <row r="37" spans="1:35" s="44" customFormat="1" ht="18.75" customHeight="1" x14ac:dyDescent="0.35">
      <c r="A37" s="79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79" t="s">
        <v>81</v>
      </c>
      <c r="B38" s="88">
        <f>2.1+1.9+2.3</f>
        <v>6.3</v>
      </c>
      <c r="C38" s="88">
        <f>3.1+2.9+1.9</f>
        <v>7.9</v>
      </c>
      <c r="D38" s="88">
        <f>2.2+3.1+2.2</f>
        <v>7.5000000000000009</v>
      </c>
      <c r="E38" s="88">
        <f>3.5+2.9+1.9</f>
        <v>8.3000000000000007</v>
      </c>
      <c r="F38" s="88">
        <f>4.5+3.1+2.5</f>
        <v>10.1</v>
      </c>
      <c r="G38" s="88">
        <f>2.5+1.5+0.1</f>
        <v>4.0999999999999996</v>
      </c>
      <c r="H38" s="88">
        <f>2.1+1.5</f>
        <v>3.6</v>
      </c>
      <c r="I38" s="88">
        <f>3.1+2.1+2.1</f>
        <v>7.3000000000000007</v>
      </c>
      <c r="J38" s="88">
        <f>3.1+2.2+3.9</f>
        <v>9.2000000000000011</v>
      </c>
      <c r="K38" s="88">
        <f>3.1+2.2+3.9</f>
        <v>9.2000000000000011</v>
      </c>
      <c r="L38" s="88">
        <f>1.1+2.1+1.9</f>
        <v>5.0999999999999996</v>
      </c>
      <c r="M38" s="88">
        <f>2.1+2.2+1.3</f>
        <v>5.6000000000000005</v>
      </c>
      <c r="N38" s="88">
        <f>1.2+0.9+3.6</f>
        <v>5.7</v>
      </c>
      <c r="O38" s="88">
        <f>2.1+1.5+2</f>
        <v>5.6</v>
      </c>
      <c r="P38" s="88">
        <f>0.9+1+1</f>
        <v>2.9</v>
      </c>
      <c r="Q38" s="88">
        <f>3.2+1.3+2.1</f>
        <v>6.6</v>
      </c>
      <c r="R38" s="88">
        <f>2.3+1.5+1.3</f>
        <v>5.0999999999999996</v>
      </c>
      <c r="S38" s="88">
        <f>1.5+2.1+2.3</f>
        <v>5.9</v>
      </c>
      <c r="T38" s="88">
        <f>3.1+2.1+3.4</f>
        <v>8.6</v>
      </c>
      <c r="U38" s="88">
        <f>3.1+3.2+1.1</f>
        <v>7.4</v>
      </c>
      <c r="V38" s="88">
        <f>4.1+1.1+1.3</f>
        <v>6.4999999999999991</v>
      </c>
      <c r="W38" s="88">
        <f>2.2+3.1+4.3</f>
        <v>9.6000000000000014</v>
      </c>
      <c r="X38" s="88">
        <f>2.1+1.5+4</f>
        <v>7.6</v>
      </c>
      <c r="Y38" s="88">
        <f>2.1+3.1+4.9</f>
        <v>10.100000000000001</v>
      </c>
      <c r="Z38" s="88">
        <f>2.1+3.1+2.1</f>
        <v>7.3000000000000007</v>
      </c>
      <c r="AA38" s="88">
        <f>2.1+3.1+1.3</f>
        <v>6.5</v>
      </c>
      <c r="AB38" s="88">
        <f>1.3+1.6+1.7</f>
        <v>4.6000000000000005</v>
      </c>
      <c r="AC38" s="88">
        <f>2.3+1.5+1.6</f>
        <v>5.4</v>
      </c>
      <c r="AD38" s="88">
        <f>3.1+3.1+2.1</f>
        <v>8.3000000000000007</v>
      </c>
      <c r="AE38" s="88">
        <f>4.3+1.3+1.1</f>
        <v>6.6999999999999993</v>
      </c>
      <c r="AF38" s="88"/>
      <c r="AG38" s="103">
        <f t="shared" si="0"/>
        <v>204.6</v>
      </c>
      <c r="AH38" s="48"/>
      <c r="AI38" s="48"/>
    </row>
    <row r="39" spans="1:35" s="44" customFormat="1" ht="18.75" customHeight="1" x14ac:dyDescent="0.35">
      <c r="A39" s="79" t="s">
        <v>86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103">
        <f t="shared" si="0"/>
        <v>0</v>
      </c>
      <c r="AH39" s="48"/>
      <c r="AI39" s="48"/>
    </row>
    <row r="40" spans="1:35" s="44" customFormat="1" ht="18.75" customHeight="1" x14ac:dyDescent="0.35">
      <c r="A40" s="79" t="s">
        <v>82</v>
      </c>
      <c r="B40" s="88">
        <f>9.8+7+8.4</f>
        <v>25.200000000000003</v>
      </c>
      <c r="C40" s="88">
        <f>10.4+9.5+7</f>
        <v>26.9</v>
      </c>
      <c r="D40" s="88" t="s">
        <v>176</v>
      </c>
      <c r="E40" s="88" t="s">
        <v>177</v>
      </c>
      <c r="F40" s="88">
        <f>7.8+7.6+9</f>
        <v>24.4</v>
      </c>
      <c r="G40" s="88">
        <f>7.8+9.8+6.9</f>
        <v>24.5</v>
      </c>
      <c r="H40" s="88">
        <f>7.6+6.9+7.8</f>
        <v>22.3</v>
      </c>
      <c r="I40" s="88">
        <f>8.6+9.6+7.6</f>
        <v>25.799999999999997</v>
      </c>
      <c r="J40" s="88">
        <f>7.6+9+8.6</f>
        <v>25.200000000000003</v>
      </c>
      <c r="K40" s="88">
        <f>9.6+7.7+9</f>
        <v>26.3</v>
      </c>
      <c r="L40" s="88">
        <f>9.8+7.6+7.7</f>
        <v>25.099999999999998</v>
      </c>
      <c r="M40" s="88">
        <f>8.7+7.7+9</f>
        <v>25.4</v>
      </c>
      <c r="N40" s="88">
        <f>7.8+9+7.6</f>
        <v>24.4</v>
      </c>
      <c r="O40" s="88">
        <f>7.6+9.8+7.2</f>
        <v>24.599999999999998</v>
      </c>
      <c r="P40" s="88">
        <f>9+8.6+7.6</f>
        <v>25.200000000000003</v>
      </c>
      <c r="Q40" s="88">
        <f>8+7.6+5.8</f>
        <v>21.4</v>
      </c>
      <c r="R40" s="88">
        <f>8.4+5.6+7.6</f>
        <v>21.6</v>
      </c>
      <c r="S40" s="88">
        <f>10.2+9.5+7.8</f>
        <v>27.5</v>
      </c>
      <c r="T40" s="88">
        <f>9.6+7.8+9</f>
        <v>26.4</v>
      </c>
      <c r="U40" s="88">
        <f>8.6+7.5+7.7</f>
        <v>23.8</v>
      </c>
      <c r="V40" s="88">
        <f>9+7.7+8.4</f>
        <v>25.1</v>
      </c>
      <c r="W40" s="88">
        <f>7.8+7.7+7</f>
        <v>22.5</v>
      </c>
      <c r="X40" s="88">
        <f>7.6+7+8.6</f>
        <v>23.2</v>
      </c>
      <c r="Y40" s="88">
        <f>9.6+7.6+6.8</f>
        <v>24</v>
      </c>
      <c r="Z40" s="88">
        <f>7.6+9.6+8.8</f>
        <v>26</v>
      </c>
      <c r="AA40" s="88">
        <f>9.6+7.6+8.9</f>
        <v>26.1</v>
      </c>
      <c r="AB40" s="88">
        <f>9+7.8+7.6</f>
        <v>24.4</v>
      </c>
      <c r="AC40" s="88">
        <f>8.6+9+7.8</f>
        <v>25.400000000000002</v>
      </c>
      <c r="AD40" s="88">
        <f>7.6+7.7+7.8</f>
        <v>23.1</v>
      </c>
      <c r="AE40" s="88">
        <f>7.6+8.6+9.6</f>
        <v>25.799999999999997</v>
      </c>
      <c r="AF40" s="88"/>
      <c r="AG40" s="103">
        <f t="shared" si="0"/>
        <v>691.6</v>
      </c>
      <c r="AH40" s="48"/>
      <c r="AI40" s="48"/>
    </row>
    <row r="41" spans="1:35" s="44" customFormat="1" ht="18.75" customHeight="1" x14ac:dyDescent="0.35">
      <c r="A41" s="79" t="s">
        <v>178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103">
        <f t="shared" si="0"/>
        <v>0</v>
      </c>
      <c r="AH41" s="48"/>
      <c r="AI41" s="48"/>
    </row>
    <row r="42" spans="1:35" s="44" customFormat="1" ht="18.75" customHeight="1" x14ac:dyDescent="0.35">
      <c r="A42" s="104" t="s">
        <v>155</v>
      </c>
      <c r="B42" s="87">
        <f>SUM(B3:B41)</f>
        <v>52.900000000000006</v>
      </c>
      <c r="C42" s="87">
        <f t="shared" ref="C42:AF42" si="1">SUM(C3:C41)</f>
        <v>52.6</v>
      </c>
      <c r="D42" s="87">
        <f t="shared" si="1"/>
        <v>29.800000000000004</v>
      </c>
      <c r="E42" s="87">
        <f t="shared" si="1"/>
        <v>33.900000000000006</v>
      </c>
      <c r="F42" s="87">
        <f t="shared" si="1"/>
        <v>57.3</v>
      </c>
      <c r="G42" s="87">
        <f t="shared" si="1"/>
        <v>52.9</v>
      </c>
      <c r="H42" s="87">
        <f t="shared" si="1"/>
        <v>49.8</v>
      </c>
      <c r="I42" s="87">
        <f t="shared" si="1"/>
        <v>57.599999999999994</v>
      </c>
      <c r="J42" s="87">
        <f t="shared" si="1"/>
        <v>57.1</v>
      </c>
      <c r="K42" s="87">
        <f t="shared" si="1"/>
        <v>57.8</v>
      </c>
      <c r="L42" s="87">
        <f t="shared" si="1"/>
        <v>52.3</v>
      </c>
      <c r="M42" s="87">
        <f t="shared" si="1"/>
        <v>50.5</v>
      </c>
      <c r="N42" s="87">
        <f t="shared" si="1"/>
        <v>55.099999999999994</v>
      </c>
      <c r="O42" s="87">
        <f t="shared" si="1"/>
        <v>48.899999999999991</v>
      </c>
      <c r="P42" s="87">
        <f t="shared" si="1"/>
        <v>47.7</v>
      </c>
      <c r="Q42" s="87">
        <f t="shared" si="1"/>
        <v>46.5</v>
      </c>
      <c r="R42" s="87">
        <f t="shared" si="1"/>
        <v>47.9</v>
      </c>
      <c r="S42" s="87">
        <f t="shared" si="1"/>
        <v>50</v>
      </c>
      <c r="T42" s="87">
        <f t="shared" si="1"/>
        <v>55.3</v>
      </c>
      <c r="U42" s="87">
        <f t="shared" si="1"/>
        <v>56.3</v>
      </c>
      <c r="V42" s="87">
        <f t="shared" si="1"/>
        <v>82.7</v>
      </c>
      <c r="W42" s="87">
        <f t="shared" si="1"/>
        <v>56.800000000000004</v>
      </c>
      <c r="X42" s="87">
        <f t="shared" si="1"/>
        <v>51.3</v>
      </c>
      <c r="Y42" s="87">
        <f t="shared" si="1"/>
        <v>53.7</v>
      </c>
      <c r="Z42" s="87">
        <f t="shared" si="1"/>
        <v>56.5</v>
      </c>
      <c r="AA42" s="87">
        <f t="shared" si="1"/>
        <v>52.7</v>
      </c>
      <c r="AB42" s="87">
        <f t="shared" si="1"/>
        <v>52.400000000000006</v>
      </c>
      <c r="AC42" s="87">
        <f t="shared" si="1"/>
        <v>50.400000000000006</v>
      </c>
      <c r="AD42" s="87">
        <f t="shared" si="1"/>
        <v>51.400000000000006</v>
      </c>
      <c r="AE42" s="87">
        <f t="shared" si="1"/>
        <v>53.2</v>
      </c>
      <c r="AF42" s="87">
        <f t="shared" si="1"/>
        <v>0</v>
      </c>
      <c r="AG42" s="105">
        <f>SUM(B42:AF42)</f>
        <v>1573.3000000000002</v>
      </c>
      <c r="AH42" s="57"/>
      <c r="AI42" s="57"/>
    </row>
    <row r="43" spans="1:35" s="2" customFormat="1" x14ac:dyDescent="0.25">
      <c r="AG43" s="24">
        <f>SUM(AG3:AG40)</f>
        <v>1573.3000000000002</v>
      </c>
    </row>
  </sheetData>
  <mergeCells count="1">
    <mergeCell ref="A1:AG1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2.28515625" customWidth="1"/>
    <col min="2" max="32" width="6.8554687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108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/>
      <c r="C4" s="93"/>
      <c r="D4" s="93"/>
      <c r="E4" s="93"/>
      <c r="F4" s="93"/>
      <c r="G4" s="93"/>
      <c r="H4" s="93"/>
      <c r="I4" s="94"/>
      <c r="J4" s="93"/>
      <c r="K4" s="94"/>
      <c r="L4" s="93"/>
      <c r="M4" s="94"/>
      <c r="N4" s="93"/>
      <c r="O4" s="93"/>
      <c r="P4" s="94"/>
      <c r="Q4" s="93"/>
      <c r="R4" s="93"/>
      <c r="S4" s="94"/>
      <c r="T4" s="94"/>
      <c r="U4" s="94"/>
      <c r="V4" s="94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108">
        <f t="shared" ref="AG4:AG40" si="0">SUM(B4:AF4)</f>
        <v>0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108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108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108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108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87">
        <v>3.6</v>
      </c>
      <c r="C9" s="95">
        <v>4.4000000000000004</v>
      </c>
      <c r="D9" s="95">
        <v>3.9</v>
      </c>
      <c r="E9" s="95">
        <v>2.8</v>
      </c>
      <c r="F9" s="95">
        <v>4</v>
      </c>
      <c r="G9" s="95">
        <v>3.5</v>
      </c>
      <c r="H9" s="95">
        <v>5</v>
      </c>
      <c r="I9" s="95">
        <v>4.0999999999999996</v>
      </c>
      <c r="J9" s="95">
        <v>3.8</v>
      </c>
      <c r="K9" s="95">
        <v>3.9</v>
      </c>
      <c r="L9" s="95">
        <v>4</v>
      </c>
      <c r="M9" s="95">
        <v>4.5</v>
      </c>
      <c r="N9" s="95">
        <v>3.6</v>
      </c>
      <c r="O9" s="95">
        <v>3</v>
      </c>
      <c r="P9" s="95">
        <v>3.2</v>
      </c>
      <c r="Q9" s="95">
        <v>4</v>
      </c>
      <c r="R9" s="95">
        <v>3.1</v>
      </c>
      <c r="S9" s="95">
        <v>3</v>
      </c>
      <c r="T9" s="95">
        <v>4.2</v>
      </c>
      <c r="U9" s="95">
        <v>4.4000000000000004</v>
      </c>
      <c r="V9" s="95">
        <v>5</v>
      </c>
      <c r="W9" s="95">
        <v>3.8</v>
      </c>
      <c r="X9" s="95">
        <v>3.5</v>
      </c>
      <c r="Y9" s="95">
        <v>3</v>
      </c>
      <c r="Z9" s="95">
        <v>4.4000000000000004</v>
      </c>
      <c r="AA9" s="95">
        <v>5</v>
      </c>
      <c r="AB9" s="95">
        <v>3.2</v>
      </c>
      <c r="AC9" s="95">
        <v>3.8</v>
      </c>
      <c r="AD9" s="95">
        <v>4.2</v>
      </c>
      <c r="AE9" s="95">
        <v>5</v>
      </c>
      <c r="AF9" s="95">
        <v>3.8</v>
      </c>
      <c r="AG9" s="108">
        <f t="shared" si="0"/>
        <v>120.7</v>
      </c>
      <c r="AH9" s="48"/>
      <c r="AI9" s="48"/>
    </row>
    <row r="10" spans="1:35" s="44" customFormat="1" ht="18.75" customHeight="1" x14ac:dyDescent="0.35">
      <c r="A10" s="60" t="s">
        <v>66</v>
      </c>
      <c r="B10" s="88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108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14.2</v>
      </c>
      <c r="C11" s="95">
        <v>4.5</v>
      </c>
      <c r="D11" s="95">
        <v>5.3</v>
      </c>
      <c r="E11" s="95">
        <v>4.3</v>
      </c>
      <c r="F11" s="95">
        <v>4.0999999999999996</v>
      </c>
      <c r="G11" s="95">
        <v>4.8</v>
      </c>
      <c r="H11" s="95">
        <v>4.8</v>
      </c>
      <c r="I11" s="95">
        <v>4.8</v>
      </c>
      <c r="J11" s="95">
        <v>4.2</v>
      </c>
      <c r="K11" s="95">
        <v>4</v>
      </c>
      <c r="L11" s="95">
        <v>4.2</v>
      </c>
      <c r="M11" s="95">
        <v>4</v>
      </c>
      <c r="N11" s="95">
        <v>4.0999999999999996</v>
      </c>
      <c r="O11" s="95">
        <v>4.2</v>
      </c>
      <c r="P11" s="95">
        <v>4.3</v>
      </c>
      <c r="Q11" s="95">
        <v>3.9</v>
      </c>
      <c r="R11" s="95">
        <v>4.3</v>
      </c>
      <c r="S11" s="95">
        <v>4.3</v>
      </c>
      <c r="T11" s="95">
        <v>4.5999999999999996</v>
      </c>
      <c r="U11" s="95">
        <v>4.0999999999999996</v>
      </c>
      <c r="V11" s="95">
        <v>4.3</v>
      </c>
      <c r="W11" s="95">
        <v>4</v>
      </c>
      <c r="X11" s="95">
        <v>4.0999999999999996</v>
      </c>
      <c r="Y11" s="95">
        <v>3.8</v>
      </c>
      <c r="Z11" s="95">
        <v>4.4000000000000004</v>
      </c>
      <c r="AA11" s="95">
        <v>4.0999999999999996</v>
      </c>
      <c r="AB11" s="95">
        <v>4.4000000000000004</v>
      </c>
      <c r="AC11" s="95">
        <v>4.0999999999999996</v>
      </c>
      <c r="AD11" s="95">
        <v>4.8</v>
      </c>
      <c r="AE11" s="95">
        <v>4.7</v>
      </c>
      <c r="AF11" s="95">
        <v>4.8</v>
      </c>
      <c r="AG11" s="108">
        <f t="shared" si="0"/>
        <v>144.5</v>
      </c>
      <c r="AH11" s="48"/>
      <c r="AI11" s="48"/>
    </row>
    <row r="12" spans="1:35" s="44" customFormat="1" ht="34.5" customHeight="1" x14ac:dyDescent="0.35">
      <c r="A12" s="62" t="s">
        <v>90</v>
      </c>
      <c r="B12" s="87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7"/>
      <c r="P12" s="98"/>
      <c r="Q12" s="98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108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108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108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108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3.2</v>
      </c>
      <c r="C16" s="95">
        <v>4.9000000000000004</v>
      </c>
      <c r="D16" s="95">
        <v>1.4</v>
      </c>
      <c r="E16" s="95">
        <v>1.6</v>
      </c>
      <c r="F16" s="95">
        <v>1.3</v>
      </c>
      <c r="G16" s="95">
        <v>1.1000000000000001</v>
      </c>
      <c r="H16" s="95">
        <v>0.9</v>
      </c>
      <c r="I16" s="95">
        <v>1.3</v>
      </c>
      <c r="J16" s="95">
        <v>1.4</v>
      </c>
      <c r="K16" s="95">
        <v>1.1000000000000001</v>
      </c>
      <c r="L16" s="95">
        <v>1.1000000000000001</v>
      </c>
      <c r="M16" s="95">
        <v>1.3</v>
      </c>
      <c r="N16" s="95">
        <v>4.4000000000000004</v>
      </c>
      <c r="O16" s="95">
        <v>1.2</v>
      </c>
      <c r="P16" s="95">
        <v>5.3</v>
      </c>
      <c r="Q16" s="95">
        <v>3.6</v>
      </c>
      <c r="R16" s="95">
        <v>3.9</v>
      </c>
      <c r="S16" s="95">
        <v>6.1</v>
      </c>
      <c r="T16" s="95">
        <v>4.2</v>
      </c>
      <c r="U16" s="95">
        <v>5.0999999999999996</v>
      </c>
      <c r="V16" s="95">
        <v>5.3</v>
      </c>
      <c r="W16" s="95">
        <v>0.7</v>
      </c>
      <c r="X16" s="95">
        <v>1.3</v>
      </c>
      <c r="Y16" s="95">
        <v>4.7</v>
      </c>
      <c r="Z16" s="95">
        <v>4.7</v>
      </c>
      <c r="AA16" s="95">
        <v>6.1</v>
      </c>
      <c r="AB16" s="95">
        <v>4.3</v>
      </c>
      <c r="AC16" s="95">
        <v>1.9</v>
      </c>
      <c r="AD16" s="95">
        <v>2.7</v>
      </c>
      <c r="AE16" s="95">
        <v>3.2</v>
      </c>
      <c r="AF16" s="95">
        <v>1.8</v>
      </c>
      <c r="AG16" s="108">
        <f t="shared" si="0"/>
        <v>91.100000000000009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108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108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108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108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108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108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/>
      <c r="C23" s="95"/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6"/>
      <c r="Z23" s="96"/>
      <c r="AA23" s="96"/>
      <c r="AB23" s="96"/>
      <c r="AC23" s="96"/>
      <c r="AD23" s="96"/>
      <c r="AE23" s="96"/>
      <c r="AF23" s="96"/>
      <c r="AG23" s="108">
        <f t="shared" si="0"/>
        <v>0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4.8</v>
      </c>
      <c r="C24" s="95">
        <v>3.8</v>
      </c>
      <c r="D24" s="95">
        <v>5.0999999999999996</v>
      </c>
      <c r="E24" s="95">
        <v>5.9</v>
      </c>
      <c r="F24" s="95">
        <v>5.2</v>
      </c>
      <c r="G24" s="95">
        <v>5.5</v>
      </c>
      <c r="H24" s="95">
        <v>4.8</v>
      </c>
      <c r="I24" s="95">
        <v>5.5</v>
      </c>
      <c r="J24" s="95">
        <v>2.8</v>
      </c>
      <c r="K24" s="95">
        <v>3</v>
      </c>
      <c r="L24" s="95">
        <v>3.8</v>
      </c>
      <c r="M24" s="95">
        <v>3.5</v>
      </c>
      <c r="N24" s="95" t="s">
        <v>180</v>
      </c>
      <c r="O24" s="95">
        <v>4.8</v>
      </c>
      <c r="P24" s="95">
        <v>3.8</v>
      </c>
      <c r="Q24" s="95">
        <v>5.0999999999999996</v>
      </c>
      <c r="R24" s="95">
        <v>3.8</v>
      </c>
      <c r="S24" s="95">
        <v>5.9</v>
      </c>
      <c r="T24" s="95">
        <v>5.5</v>
      </c>
      <c r="U24" s="95">
        <v>4.8</v>
      </c>
      <c r="V24" s="95">
        <v>3.8</v>
      </c>
      <c r="W24" s="95">
        <v>4.2</v>
      </c>
      <c r="X24" s="95">
        <v>3.8</v>
      </c>
      <c r="Y24" s="95">
        <v>4.2</v>
      </c>
      <c r="Z24" s="95">
        <v>4.8</v>
      </c>
      <c r="AA24" s="95">
        <v>5.0999999999999996</v>
      </c>
      <c r="AB24" s="95">
        <v>5.9</v>
      </c>
      <c r="AC24" s="95">
        <v>3.5</v>
      </c>
      <c r="AD24" s="95">
        <v>4.8</v>
      </c>
      <c r="AE24" s="95">
        <v>4.2</v>
      </c>
      <c r="AF24" s="95">
        <v>3.8</v>
      </c>
      <c r="AG24" s="108">
        <f t="shared" si="0"/>
        <v>135.5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108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108">
        <f t="shared" si="0"/>
        <v>0</v>
      </c>
      <c r="AH26" s="48"/>
      <c r="AI26" s="48"/>
    </row>
    <row r="27" spans="1:35" s="44" customFormat="1" ht="18.75" customHeight="1" x14ac:dyDescent="0.35">
      <c r="A27" s="60" t="s">
        <v>73</v>
      </c>
      <c r="B27" s="87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108">
        <f t="shared" si="0"/>
        <v>0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108">
        <f t="shared" si="0"/>
        <v>0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v>5</v>
      </c>
      <c r="C29" s="95">
        <v>6</v>
      </c>
      <c r="D29" s="95">
        <v>3.9</v>
      </c>
      <c r="E29" s="95">
        <v>3.9</v>
      </c>
      <c r="F29" s="95">
        <v>4.9000000000000004</v>
      </c>
      <c r="G29" s="95">
        <v>3.9</v>
      </c>
      <c r="H29" s="95">
        <v>4</v>
      </c>
      <c r="I29" s="95">
        <v>3.9</v>
      </c>
      <c r="J29" s="95">
        <v>3.9</v>
      </c>
      <c r="K29" s="95">
        <v>4</v>
      </c>
      <c r="L29" s="95">
        <v>5.7</v>
      </c>
      <c r="M29" s="95">
        <v>5.9</v>
      </c>
      <c r="N29" s="95">
        <v>6.3</v>
      </c>
      <c r="O29" s="95">
        <v>6</v>
      </c>
      <c r="P29" s="95">
        <v>5.9</v>
      </c>
      <c r="Q29" s="95">
        <v>5.5</v>
      </c>
      <c r="R29" s="95">
        <v>4.8</v>
      </c>
      <c r="S29" s="95">
        <v>4.5999999999999996</v>
      </c>
      <c r="T29" s="95">
        <v>4</v>
      </c>
      <c r="U29" s="95">
        <v>4.0999999999999996</v>
      </c>
      <c r="V29" s="95">
        <v>4.3</v>
      </c>
      <c r="W29" s="95">
        <v>4</v>
      </c>
      <c r="X29" s="95">
        <v>5.8</v>
      </c>
      <c r="Y29" s="95">
        <v>5.9</v>
      </c>
      <c r="Z29" s="95">
        <v>5.7</v>
      </c>
      <c r="AA29" s="95">
        <v>5.6</v>
      </c>
      <c r="AB29" s="95">
        <v>5</v>
      </c>
      <c r="AC29" s="95">
        <v>5.9</v>
      </c>
      <c r="AD29" s="95">
        <v>6</v>
      </c>
      <c r="AE29" s="95">
        <v>6.3</v>
      </c>
      <c r="AF29" s="95">
        <v>6.2</v>
      </c>
      <c r="AG29" s="108">
        <f t="shared" si="0"/>
        <v>156.9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108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108">
        <f t="shared" si="0"/>
        <v>0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108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87">
        <v>3</v>
      </c>
      <c r="C33" s="95">
        <v>3</v>
      </c>
      <c r="D33" s="95">
        <v>5</v>
      </c>
      <c r="E33" s="95">
        <v>3</v>
      </c>
      <c r="F33" s="95">
        <v>2</v>
      </c>
      <c r="G33" s="95">
        <v>3</v>
      </c>
      <c r="H33" s="95">
        <v>2.6</v>
      </c>
      <c r="I33" s="95">
        <v>2.6</v>
      </c>
      <c r="J33" s="95">
        <v>1</v>
      </c>
      <c r="K33" s="95">
        <v>3</v>
      </c>
      <c r="L33" s="95">
        <v>2</v>
      </c>
      <c r="M33" s="95">
        <v>1</v>
      </c>
      <c r="N33" s="95">
        <v>1</v>
      </c>
      <c r="O33" s="95">
        <v>2</v>
      </c>
      <c r="P33" s="95">
        <v>2.6</v>
      </c>
      <c r="Q33" s="95">
        <v>2.5</v>
      </c>
      <c r="R33" s="95">
        <v>2.4</v>
      </c>
      <c r="S33" s="95">
        <v>2.2999999999999998</v>
      </c>
      <c r="T33" s="95">
        <v>2.7</v>
      </c>
      <c r="U33" s="95">
        <v>2.2999999999999998</v>
      </c>
      <c r="V33" s="95">
        <v>2.2999999999999998</v>
      </c>
      <c r="W33" s="95">
        <v>2.2999999999999998</v>
      </c>
      <c r="X33" s="95">
        <v>2.4</v>
      </c>
      <c r="Y33" s="95">
        <v>2.5</v>
      </c>
      <c r="Z33" s="95">
        <v>2.1</v>
      </c>
      <c r="AA33" s="95">
        <v>2.2000000000000002</v>
      </c>
      <c r="AB33" s="95">
        <v>2</v>
      </c>
      <c r="AC33" s="95">
        <v>2</v>
      </c>
      <c r="AD33" s="95">
        <v>1</v>
      </c>
      <c r="AE33" s="95">
        <v>1</v>
      </c>
      <c r="AF33" s="95">
        <v>2</v>
      </c>
      <c r="AG33" s="108">
        <f t="shared" si="0"/>
        <v>70.8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108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108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108">
        <f t="shared" si="0"/>
        <v>0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108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88">
        <f>2.5+1.5</f>
        <v>4</v>
      </c>
      <c r="C38" s="96">
        <f>2+1.1+1</f>
        <v>4.0999999999999996</v>
      </c>
      <c r="D38" s="96">
        <f>2.6+1.3+1.1</f>
        <v>5</v>
      </c>
      <c r="E38" s="96">
        <f>2.3+1.5+1.4</f>
        <v>5.1999999999999993</v>
      </c>
      <c r="F38" s="96">
        <f>2.9+1.3+1.2</f>
        <v>5.4</v>
      </c>
      <c r="G38" s="96">
        <f>2.5+1.6+1.2</f>
        <v>5.3</v>
      </c>
      <c r="H38" s="96">
        <f>2.4+1.7+1.3</f>
        <v>5.3999999999999995</v>
      </c>
      <c r="I38" s="96">
        <f>2.6+1.5+1.2</f>
        <v>5.3</v>
      </c>
      <c r="J38" s="96">
        <f>2+1.4+1.7</f>
        <v>5.0999999999999996</v>
      </c>
      <c r="K38" s="96">
        <f>2.4+1.5+1.3</f>
        <v>5.2</v>
      </c>
      <c r="L38" s="96">
        <f>2.9+1.6+1.2</f>
        <v>5.7</v>
      </c>
      <c r="M38" s="96">
        <f>2.8+1.4+1.1</f>
        <v>5.2999999999999989</v>
      </c>
      <c r="N38" s="96">
        <f>2.4+1.9+1</f>
        <v>5.3</v>
      </c>
      <c r="O38" s="96">
        <f>2.8+1.5+0.4</f>
        <v>4.7</v>
      </c>
      <c r="P38" s="96">
        <f>2.6+1.3+1</f>
        <v>4.9000000000000004</v>
      </c>
      <c r="Q38" s="96">
        <v>2.5</v>
      </c>
      <c r="R38" s="96">
        <f>2.2+1.1+1.4</f>
        <v>4.7</v>
      </c>
      <c r="S38" s="96">
        <f>1.2+1.4+1.2</f>
        <v>3.8</v>
      </c>
      <c r="T38" s="96">
        <f>2.3+1.4+1.3</f>
        <v>5</v>
      </c>
      <c r="U38" s="96">
        <f>1.9+2.4+1.7</f>
        <v>6</v>
      </c>
      <c r="V38" s="96">
        <f>2.5+1.3+1.2</f>
        <v>5</v>
      </c>
      <c r="W38" s="96">
        <f>1.4+3.4+2.4</f>
        <v>7.1999999999999993</v>
      </c>
      <c r="X38" s="96">
        <f>2.4+1.4+1.7</f>
        <v>5.5</v>
      </c>
      <c r="Y38" s="96">
        <f>1.7+2.4+3.1</f>
        <v>7.1999999999999993</v>
      </c>
      <c r="Z38" s="96">
        <f>3.3+1.4+1.5</f>
        <v>6.1999999999999993</v>
      </c>
      <c r="AA38" s="96">
        <f>1.9+2.8+3.1</f>
        <v>7.7999999999999989</v>
      </c>
      <c r="AB38" s="96">
        <f>1.4+2.4+2.1</f>
        <v>5.9</v>
      </c>
      <c r="AC38" s="96">
        <f>3.1+2.4+2.1</f>
        <v>7.6</v>
      </c>
      <c r="AD38" s="96">
        <f>1.4+1.6+1.7</f>
        <v>4.7</v>
      </c>
      <c r="AE38" s="96">
        <f>2.6+1.5+1.2</f>
        <v>5.3</v>
      </c>
      <c r="AF38" s="96">
        <f>2.3+1.5+1.4</f>
        <v>5.1999999999999993</v>
      </c>
      <c r="AG38" s="108">
        <f t="shared" si="0"/>
        <v>165.5</v>
      </c>
      <c r="AH38" s="48"/>
      <c r="AI38" s="48"/>
    </row>
    <row r="39" spans="1:35" s="44" customFormat="1" ht="18.75" customHeight="1" x14ac:dyDescent="0.35">
      <c r="A39" s="60" t="s">
        <v>86</v>
      </c>
      <c r="B39" s="8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108">
        <f t="shared" si="0"/>
        <v>0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108">
        <f t="shared" si="0"/>
        <v>0</v>
      </c>
      <c r="AH40" s="48"/>
      <c r="AI40" s="48"/>
    </row>
    <row r="41" spans="1:35" s="44" customFormat="1" ht="18.75" customHeight="1" x14ac:dyDescent="0.35">
      <c r="A41" s="60" t="s">
        <v>178</v>
      </c>
      <c r="B41" s="88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108"/>
      <c r="AH41" s="48"/>
      <c r="AI41" s="48"/>
    </row>
    <row r="42" spans="1:35" s="44" customFormat="1" ht="18.75" customHeight="1" x14ac:dyDescent="0.35">
      <c r="A42" s="59" t="s">
        <v>155</v>
      </c>
      <c r="B42" s="87">
        <f>SUM(B4:B41)</f>
        <v>37.799999999999997</v>
      </c>
      <c r="C42" s="87">
        <f t="shared" ref="C42:AF42" si="1">SUM(C4:C41)</f>
        <v>30.700000000000003</v>
      </c>
      <c r="D42" s="87">
        <f t="shared" si="1"/>
        <v>29.599999999999998</v>
      </c>
      <c r="E42" s="87">
        <f t="shared" si="1"/>
        <v>26.7</v>
      </c>
      <c r="F42" s="87">
        <f t="shared" si="1"/>
        <v>26.9</v>
      </c>
      <c r="G42" s="87">
        <f t="shared" si="1"/>
        <v>27.1</v>
      </c>
      <c r="H42" s="87">
        <f t="shared" si="1"/>
        <v>27.5</v>
      </c>
      <c r="I42" s="87">
        <f t="shared" si="1"/>
        <v>27.5</v>
      </c>
      <c r="J42" s="87">
        <f t="shared" si="1"/>
        <v>22.199999999999996</v>
      </c>
      <c r="K42" s="87">
        <f t="shared" si="1"/>
        <v>24.2</v>
      </c>
      <c r="L42" s="87">
        <f t="shared" si="1"/>
        <v>26.499999999999996</v>
      </c>
      <c r="M42" s="87">
        <f t="shared" si="1"/>
        <v>25.5</v>
      </c>
      <c r="N42" s="87">
        <f t="shared" si="1"/>
        <v>24.7</v>
      </c>
      <c r="O42" s="87">
        <f t="shared" si="1"/>
        <v>25.9</v>
      </c>
      <c r="P42" s="87">
        <f t="shared" si="1"/>
        <v>30</v>
      </c>
      <c r="Q42" s="87">
        <f t="shared" si="1"/>
        <v>27.1</v>
      </c>
      <c r="R42" s="87">
        <f t="shared" si="1"/>
        <v>27</v>
      </c>
      <c r="S42" s="87">
        <f t="shared" si="1"/>
        <v>30</v>
      </c>
      <c r="T42" s="87">
        <f t="shared" si="1"/>
        <v>30.2</v>
      </c>
      <c r="U42" s="87">
        <f t="shared" si="1"/>
        <v>30.8</v>
      </c>
      <c r="V42" s="87">
        <f t="shared" si="1"/>
        <v>30.000000000000004</v>
      </c>
      <c r="W42" s="87">
        <f t="shared" si="1"/>
        <v>26.2</v>
      </c>
      <c r="X42" s="87">
        <f t="shared" si="1"/>
        <v>26.4</v>
      </c>
      <c r="Y42" s="87">
        <f t="shared" si="1"/>
        <v>31.3</v>
      </c>
      <c r="Z42" s="87">
        <f t="shared" si="1"/>
        <v>32.299999999999997</v>
      </c>
      <c r="AA42" s="87">
        <f t="shared" si="1"/>
        <v>35.9</v>
      </c>
      <c r="AB42" s="87">
        <f t="shared" si="1"/>
        <v>30.700000000000003</v>
      </c>
      <c r="AC42" s="87">
        <f t="shared" si="1"/>
        <v>28.799999999999997</v>
      </c>
      <c r="AD42" s="87">
        <f t="shared" si="1"/>
        <v>28.2</v>
      </c>
      <c r="AE42" s="87">
        <f t="shared" si="1"/>
        <v>29.7</v>
      </c>
      <c r="AF42" s="87">
        <f t="shared" si="1"/>
        <v>27.599999999999998</v>
      </c>
      <c r="AG42" s="109">
        <f>SUM(B42:AF42)</f>
        <v>885</v>
      </c>
      <c r="AH42" s="57"/>
      <c r="AI42" s="57"/>
    </row>
    <row r="43" spans="1:35" s="2" customFormat="1" x14ac:dyDescent="0.25">
      <c r="AG43" s="24">
        <f>SUM(AG3:AG40)</f>
        <v>885</v>
      </c>
    </row>
  </sheetData>
  <mergeCells count="1">
    <mergeCell ref="A1:AG1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55.140625" customWidth="1"/>
    <col min="2" max="32" width="6.85546875" customWidth="1"/>
  </cols>
  <sheetData>
    <row r="1" spans="1:35" s="44" customFormat="1" ht="21" x14ac:dyDescent="0.35">
      <c r="A1" s="217" t="s">
        <v>156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92"/>
      <c r="D3" s="92"/>
      <c r="E3" s="92"/>
      <c r="F3" s="92"/>
      <c r="G3" s="92"/>
      <c r="H3" s="92"/>
      <c r="I3" s="92"/>
      <c r="J3" s="92"/>
      <c r="K3" s="92"/>
      <c r="L3" s="92"/>
      <c r="M3" s="92"/>
      <c r="N3" s="92"/>
      <c r="O3" s="92"/>
      <c r="P3" s="92"/>
      <c r="Q3" s="92"/>
      <c r="R3" s="92"/>
      <c r="S3" s="92"/>
      <c r="T3" s="92"/>
      <c r="U3" s="92"/>
      <c r="V3" s="92"/>
      <c r="W3" s="92"/>
      <c r="X3" s="92"/>
      <c r="Y3" s="92"/>
      <c r="Z3" s="92"/>
      <c r="AA3" s="92"/>
      <c r="AB3" s="92"/>
      <c r="AC3" s="92"/>
      <c r="AD3" s="92"/>
      <c r="AE3" s="92"/>
      <c r="AF3" s="92"/>
      <c r="AG3" s="108"/>
      <c r="AH3" s="47"/>
      <c r="AI3" s="48"/>
    </row>
    <row r="4" spans="1:35" s="44" customFormat="1" ht="30.75" customHeight="1" x14ac:dyDescent="0.35">
      <c r="A4" s="63" t="s">
        <v>94</v>
      </c>
      <c r="B4" s="85"/>
      <c r="C4" s="93"/>
      <c r="D4" s="93"/>
      <c r="E4" s="93"/>
      <c r="F4" s="93"/>
      <c r="G4" s="93"/>
      <c r="H4" s="93"/>
      <c r="I4" s="94"/>
      <c r="J4" s="93"/>
      <c r="K4" s="94"/>
      <c r="L4" s="93"/>
      <c r="M4" s="94"/>
      <c r="N4" s="93"/>
      <c r="O4" s="93"/>
      <c r="P4" s="94"/>
      <c r="Q4" s="93"/>
      <c r="R4" s="93"/>
      <c r="S4" s="94"/>
      <c r="T4" s="94"/>
      <c r="U4" s="94"/>
      <c r="V4" s="94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108">
        <f t="shared" ref="AG4:AG40" si="0">SUM(B4:AF4)</f>
        <v>0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108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95"/>
      <c r="D6" s="95"/>
      <c r="E6" s="95"/>
      <c r="F6" s="95"/>
      <c r="G6" s="95"/>
      <c r="H6" s="95"/>
      <c r="I6" s="95"/>
      <c r="J6" s="95"/>
      <c r="K6" s="95"/>
      <c r="L6" s="95"/>
      <c r="M6" s="95"/>
      <c r="N6" s="95"/>
      <c r="O6" s="95"/>
      <c r="P6" s="95"/>
      <c r="Q6" s="95"/>
      <c r="R6" s="95"/>
      <c r="S6" s="95"/>
      <c r="T6" s="95"/>
      <c r="U6" s="95"/>
      <c r="V6" s="95"/>
      <c r="W6" s="95"/>
      <c r="X6" s="95"/>
      <c r="Y6" s="95"/>
      <c r="Z6" s="95"/>
      <c r="AA6" s="95"/>
      <c r="AB6" s="95"/>
      <c r="AC6" s="95"/>
      <c r="AD6" s="95"/>
      <c r="AE6" s="95"/>
      <c r="AF6" s="95"/>
      <c r="AG6" s="108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95"/>
      <c r="D7" s="95"/>
      <c r="E7" s="95"/>
      <c r="F7" s="95"/>
      <c r="G7" s="95"/>
      <c r="H7" s="95"/>
      <c r="I7" s="95"/>
      <c r="J7" s="95"/>
      <c r="K7" s="95"/>
      <c r="L7" s="95"/>
      <c r="M7" s="95"/>
      <c r="N7" s="95"/>
      <c r="O7" s="95"/>
      <c r="P7" s="95"/>
      <c r="Q7" s="95"/>
      <c r="R7" s="95"/>
      <c r="S7" s="95"/>
      <c r="T7" s="95"/>
      <c r="U7" s="95"/>
      <c r="V7" s="95"/>
      <c r="W7" s="95"/>
      <c r="X7" s="95"/>
      <c r="Y7" s="95"/>
      <c r="Z7" s="95"/>
      <c r="AA7" s="95"/>
      <c r="AB7" s="95"/>
      <c r="AC7" s="95"/>
      <c r="AD7" s="95"/>
      <c r="AE7" s="95"/>
      <c r="AF7" s="95"/>
      <c r="AG7" s="108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/>
      <c r="C8" s="95"/>
      <c r="D8" s="95"/>
      <c r="E8" s="95"/>
      <c r="F8" s="95"/>
      <c r="G8" s="95"/>
      <c r="H8" s="95"/>
      <c r="I8" s="95"/>
      <c r="J8" s="95"/>
      <c r="K8" s="95"/>
      <c r="L8" s="95"/>
      <c r="M8" s="95"/>
      <c r="N8" s="95"/>
      <c r="O8" s="95"/>
      <c r="P8" s="95"/>
      <c r="Q8" s="95"/>
      <c r="R8" s="95"/>
      <c r="S8" s="95"/>
      <c r="T8" s="95"/>
      <c r="U8" s="95"/>
      <c r="V8" s="95"/>
      <c r="W8" s="95"/>
      <c r="X8" s="95"/>
      <c r="Y8" s="95"/>
      <c r="Z8" s="95"/>
      <c r="AA8" s="95"/>
      <c r="AB8" s="95"/>
      <c r="AC8" s="95"/>
      <c r="AD8" s="95"/>
      <c r="AE8" s="95"/>
      <c r="AF8" s="95"/>
      <c r="AG8" s="108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87">
        <v>3.6</v>
      </c>
      <c r="C9" s="95">
        <v>4.9000000000000004</v>
      </c>
      <c r="D9" s="95">
        <v>7.2</v>
      </c>
      <c r="E9" s="95">
        <v>4.3</v>
      </c>
      <c r="F9" s="95">
        <v>3.9</v>
      </c>
      <c r="G9" s="95">
        <v>3.6</v>
      </c>
      <c r="H9" s="95">
        <v>4.2</v>
      </c>
      <c r="I9" s="95">
        <v>7</v>
      </c>
      <c r="J9" s="95">
        <v>2.9</v>
      </c>
      <c r="K9" s="95">
        <v>3.9</v>
      </c>
      <c r="L9" s="95">
        <v>4</v>
      </c>
      <c r="M9" s="95">
        <v>4.7</v>
      </c>
      <c r="N9" s="95">
        <v>4</v>
      </c>
      <c r="O9" s="95">
        <v>3</v>
      </c>
      <c r="P9" s="95">
        <v>5.5</v>
      </c>
      <c r="Q9" s="95">
        <v>3.6</v>
      </c>
      <c r="R9" s="95">
        <v>4.7</v>
      </c>
      <c r="S9" s="95">
        <v>3.4</v>
      </c>
      <c r="T9" s="95">
        <v>4.0999999999999996</v>
      </c>
      <c r="U9" s="95">
        <v>3.9</v>
      </c>
      <c r="V9" s="95">
        <v>3.9</v>
      </c>
      <c r="W9" s="95">
        <v>4</v>
      </c>
      <c r="X9" s="95">
        <v>6.5</v>
      </c>
      <c r="Y9" s="95">
        <v>6.6</v>
      </c>
      <c r="Z9" s="95">
        <v>4.9000000000000004</v>
      </c>
      <c r="AA9" s="95">
        <v>3.9</v>
      </c>
      <c r="AB9" s="95">
        <v>4.3</v>
      </c>
      <c r="AC9" s="95">
        <v>4.5999999999999996</v>
      </c>
      <c r="AD9" s="95">
        <v>3.8</v>
      </c>
      <c r="AE9" s="95">
        <v>3.9</v>
      </c>
      <c r="AF9" s="95"/>
      <c r="AG9" s="108">
        <f t="shared" si="0"/>
        <v>132.80000000000001</v>
      </c>
      <c r="AH9" s="48"/>
      <c r="AI9" s="48"/>
    </row>
    <row r="10" spans="1:35" s="44" customFormat="1" ht="18.75" customHeight="1" x14ac:dyDescent="0.35">
      <c r="A10" s="60" t="s">
        <v>66</v>
      </c>
      <c r="B10" s="88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108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5.2</v>
      </c>
      <c r="C11" s="95">
        <v>4.8</v>
      </c>
      <c r="D11" s="95">
        <v>5.2</v>
      </c>
      <c r="E11" s="95">
        <v>4.8</v>
      </c>
      <c r="F11" s="95">
        <v>5.3</v>
      </c>
      <c r="G11" s="95">
        <v>4.3</v>
      </c>
      <c r="H11" s="95">
        <v>4.4000000000000004</v>
      </c>
      <c r="I11" s="95">
        <v>4.4000000000000004</v>
      </c>
      <c r="J11" s="95">
        <v>4.3</v>
      </c>
      <c r="K11" s="95">
        <v>4.2</v>
      </c>
      <c r="L11" s="95">
        <v>4.3</v>
      </c>
      <c r="M11" s="95">
        <v>4.8</v>
      </c>
      <c r="N11" s="95">
        <v>5.0999999999999996</v>
      </c>
      <c r="O11" s="95">
        <v>4.3</v>
      </c>
      <c r="P11" s="95">
        <v>4.7</v>
      </c>
      <c r="Q11" s="95">
        <v>4.8</v>
      </c>
      <c r="R11" s="95">
        <v>4.8</v>
      </c>
      <c r="S11" s="95">
        <v>8.1</v>
      </c>
      <c r="T11" s="95">
        <v>4.4000000000000004</v>
      </c>
      <c r="U11" s="95">
        <v>4.9000000000000004</v>
      </c>
      <c r="V11" s="95">
        <v>4.8</v>
      </c>
      <c r="W11" s="95">
        <v>5.2</v>
      </c>
      <c r="X11" s="95">
        <v>4.8</v>
      </c>
      <c r="Y11" s="95">
        <v>4.3</v>
      </c>
      <c r="Z11" s="95">
        <v>4.8</v>
      </c>
      <c r="AA11" s="95">
        <v>5.0999999999999996</v>
      </c>
      <c r="AB11" s="95">
        <v>5.0999999999999996</v>
      </c>
      <c r="AC11" s="95">
        <v>4.9000000000000004</v>
      </c>
      <c r="AD11" s="95">
        <v>5.0999999999999996</v>
      </c>
      <c r="AE11" s="95">
        <v>5.2</v>
      </c>
      <c r="AF11" s="95"/>
      <c r="AG11" s="108">
        <f t="shared" si="0"/>
        <v>146.39999999999998</v>
      </c>
      <c r="AH11" s="48"/>
      <c r="AI11" s="48"/>
    </row>
    <row r="12" spans="1:35" s="44" customFormat="1" ht="38.25" customHeight="1" x14ac:dyDescent="0.35">
      <c r="A12" s="63" t="s">
        <v>90</v>
      </c>
      <c r="B12" s="87"/>
      <c r="C12" s="95"/>
      <c r="D12" s="95"/>
      <c r="E12" s="95"/>
      <c r="F12" s="95"/>
      <c r="G12" s="95"/>
      <c r="H12" s="95"/>
      <c r="I12" s="95"/>
      <c r="J12" s="95"/>
      <c r="K12" s="95"/>
      <c r="L12" s="95"/>
      <c r="M12" s="95"/>
      <c r="N12" s="95"/>
      <c r="O12" s="97"/>
      <c r="P12" s="98"/>
      <c r="Q12" s="98"/>
      <c r="R12" s="96"/>
      <c r="S12" s="96"/>
      <c r="T12" s="96"/>
      <c r="U12" s="96"/>
      <c r="V12" s="96"/>
      <c r="W12" s="96"/>
      <c r="X12" s="96"/>
      <c r="Y12" s="96"/>
      <c r="Z12" s="96"/>
      <c r="AA12" s="96"/>
      <c r="AB12" s="96"/>
      <c r="AC12" s="96"/>
      <c r="AD12" s="96"/>
      <c r="AE12" s="96"/>
      <c r="AF12" s="96"/>
      <c r="AG12" s="108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95"/>
      <c r="D13" s="95"/>
      <c r="E13" s="95"/>
      <c r="F13" s="95"/>
      <c r="G13" s="95"/>
      <c r="H13" s="95"/>
      <c r="I13" s="95"/>
      <c r="J13" s="95"/>
      <c r="K13" s="95"/>
      <c r="L13" s="95"/>
      <c r="M13" s="95"/>
      <c r="N13" s="95"/>
      <c r="O13" s="95"/>
      <c r="P13" s="95"/>
      <c r="Q13" s="95"/>
      <c r="R13" s="95"/>
      <c r="S13" s="95"/>
      <c r="T13" s="95"/>
      <c r="U13" s="95"/>
      <c r="V13" s="95"/>
      <c r="W13" s="95"/>
      <c r="X13" s="95"/>
      <c r="Y13" s="95"/>
      <c r="Z13" s="95"/>
      <c r="AA13" s="95"/>
      <c r="AB13" s="95"/>
      <c r="AC13" s="95"/>
      <c r="AD13" s="95"/>
      <c r="AE13" s="95"/>
      <c r="AF13" s="95"/>
      <c r="AG13" s="108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108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95"/>
      <c r="D15" s="95"/>
      <c r="E15" s="95"/>
      <c r="F15" s="95"/>
      <c r="G15" s="95"/>
      <c r="H15" s="95"/>
      <c r="I15" s="95"/>
      <c r="J15" s="95"/>
      <c r="K15" s="95"/>
      <c r="L15" s="95"/>
      <c r="M15" s="95"/>
      <c r="N15" s="95"/>
      <c r="O15" s="95"/>
      <c r="P15" s="95"/>
      <c r="Q15" s="95"/>
      <c r="R15" s="95"/>
      <c r="S15" s="95"/>
      <c r="T15" s="95"/>
      <c r="U15" s="95"/>
      <c r="V15" s="95"/>
      <c r="W15" s="95"/>
      <c r="X15" s="95"/>
      <c r="Y15" s="95"/>
      <c r="Z15" s="95"/>
      <c r="AA15" s="95"/>
      <c r="AB15" s="95"/>
      <c r="AC15" s="95"/>
      <c r="AD15" s="95"/>
      <c r="AE15" s="95"/>
      <c r="AF15" s="95"/>
      <c r="AG15" s="108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1.7</v>
      </c>
      <c r="C16" s="95">
        <v>1.3</v>
      </c>
      <c r="D16" s="95">
        <v>1.1000000000000001</v>
      </c>
      <c r="E16" s="95">
        <v>0.9</v>
      </c>
      <c r="F16" s="95">
        <v>1.7</v>
      </c>
      <c r="G16" s="95">
        <v>1.9</v>
      </c>
      <c r="H16" s="95">
        <v>1.4</v>
      </c>
      <c r="I16" s="95">
        <v>1.7</v>
      </c>
      <c r="J16" s="95">
        <v>1.9</v>
      </c>
      <c r="K16" s="95">
        <v>0.9</v>
      </c>
      <c r="L16" s="95">
        <v>1.5</v>
      </c>
      <c r="M16" s="95">
        <v>1.3</v>
      </c>
      <c r="N16" s="95">
        <v>1.1000000000000001</v>
      </c>
      <c r="O16" s="95">
        <v>0.9</v>
      </c>
      <c r="P16" s="95">
        <v>1.4</v>
      </c>
      <c r="Q16" s="95">
        <v>1.9</v>
      </c>
      <c r="R16" s="95">
        <v>0.7</v>
      </c>
      <c r="S16" s="95">
        <v>0.8</v>
      </c>
      <c r="T16" s="95">
        <v>1.7</v>
      </c>
      <c r="U16" s="95">
        <v>1.9</v>
      </c>
      <c r="V16" s="95">
        <v>2.1</v>
      </c>
      <c r="W16" s="95">
        <v>1.3</v>
      </c>
      <c r="X16" s="95">
        <v>1.7</v>
      </c>
      <c r="Y16" s="95">
        <v>1.4</v>
      </c>
      <c r="Z16" s="95">
        <v>1.7</v>
      </c>
      <c r="AA16" s="95">
        <v>1.8</v>
      </c>
      <c r="AB16" s="95">
        <v>1.9</v>
      </c>
      <c r="AC16" s="95">
        <v>2</v>
      </c>
      <c r="AD16" s="95">
        <v>1.3</v>
      </c>
      <c r="AE16" s="95">
        <v>1.7</v>
      </c>
      <c r="AF16" s="95"/>
      <c r="AG16" s="108">
        <f t="shared" si="0"/>
        <v>44.599999999999994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95"/>
      <c r="D17" s="95"/>
      <c r="E17" s="95"/>
      <c r="F17" s="95"/>
      <c r="G17" s="95"/>
      <c r="H17" s="95"/>
      <c r="I17" s="95"/>
      <c r="J17" s="95"/>
      <c r="K17" s="95"/>
      <c r="L17" s="95"/>
      <c r="M17" s="95"/>
      <c r="N17" s="95"/>
      <c r="O17" s="95"/>
      <c r="P17" s="95"/>
      <c r="Q17" s="95"/>
      <c r="R17" s="95"/>
      <c r="S17" s="95"/>
      <c r="T17" s="95"/>
      <c r="U17" s="95"/>
      <c r="V17" s="95"/>
      <c r="W17" s="95"/>
      <c r="X17" s="95"/>
      <c r="Y17" s="95"/>
      <c r="Z17" s="95"/>
      <c r="AA17" s="95"/>
      <c r="AB17" s="95"/>
      <c r="AC17" s="95"/>
      <c r="AD17" s="95"/>
      <c r="AE17" s="95"/>
      <c r="AF17" s="95"/>
      <c r="AG17" s="108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95"/>
      <c r="D18" s="95"/>
      <c r="E18" s="95"/>
      <c r="F18" s="95"/>
      <c r="G18" s="95"/>
      <c r="H18" s="95"/>
      <c r="I18" s="95"/>
      <c r="J18" s="95"/>
      <c r="K18" s="95"/>
      <c r="L18" s="95"/>
      <c r="M18" s="95"/>
      <c r="N18" s="95"/>
      <c r="O18" s="95"/>
      <c r="P18" s="95"/>
      <c r="Q18" s="95"/>
      <c r="R18" s="95"/>
      <c r="S18" s="95"/>
      <c r="T18" s="95"/>
      <c r="U18" s="95"/>
      <c r="V18" s="95"/>
      <c r="W18" s="95"/>
      <c r="X18" s="95"/>
      <c r="Y18" s="95"/>
      <c r="Z18" s="95"/>
      <c r="AA18" s="95"/>
      <c r="AB18" s="95"/>
      <c r="AC18" s="95"/>
      <c r="AD18" s="95"/>
      <c r="AE18" s="95"/>
      <c r="AF18" s="95"/>
      <c r="AG18" s="108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99"/>
      <c r="D19" s="99"/>
      <c r="E19" s="99"/>
      <c r="F19" s="99"/>
      <c r="G19" s="99"/>
      <c r="H19" s="99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  <c r="U19" s="99"/>
      <c r="V19" s="99"/>
      <c r="W19" s="99"/>
      <c r="X19" s="99"/>
      <c r="Y19" s="99"/>
      <c r="Z19" s="99"/>
      <c r="AA19" s="99"/>
      <c r="AB19" s="99"/>
      <c r="AC19" s="99"/>
      <c r="AD19" s="99"/>
      <c r="AE19" s="99"/>
      <c r="AF19" s="99"/>
      <c r="AG19" s="108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95"/>
      <c r="D20" s="95"/>
      <c r="E20" s="95"/>
      <c r="F20" s="95"/>
      <c r="G20" s="95"/>
      <c r="H20" s="95"/>
      <c r="I20" s="95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5"/>
      <c r="AF20" s="95"/>
      <c r="AG20" s="108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95"/>
      <c r="D21" s="95"/>
      <c r="E21" s="95"/>
      <c r="F21" s="95"/>
      <c r="G21" s="95"/>
      <c r="H21" s="95"/>
      <c r="I21" s="95"/>
      <c r="J21" s="95"/>
      <c r="K21" s="95"/>
      <c r="L21" s="95"/>
      <c r="M21" s="95"/>
      <c r="N21" s="95"/>
      <c r="O21" s="95"/>
      <c r="P21" s="95"/>
      <c r="Q21" s="95"/>
      <c r="R21" s="95"/>
      <c r="S21" s="95"/>
      <c r="T21" s="95"/>
      <c r="U21" s="95"/>
      <c r="V21" s="95"/>
      <c r="W21" s="95"/>
      <c r="X21" s="95"/>
      <c r="Y21" s="95"/>
      <c r="Z21" s="95"/>
      <c r="AA21" s="95"/>
      <c r="AB21" s="95"/>
      <c r="AC21" s="95"/>
      <c r="AD21" s="95"/>
      <c r="AE21" s="95"/>
      <c r="AF21" s="95"/>
      <c r="AG21" s="108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95"/>
      <c r="D22" s="95"/>
      <c r="E22" s="95"/>
      <c r="F22" s="95"/>
      <c r="G22" s="95"/>
      <c r="H22" s="95"/>
      <c r="I22" s="95"/>
      <c r="J22" s="95"/>
      <c r="K22" s="95"/>
      <c r="L22" s="95"/>
      <c r="M22" s="95"/>
      <c r="N22" s="95"/>
      <c r="O22" s="95"/>
      <c r="P22" s="95"/>
      <c r="Q22" s="95"/>
      <c r="R22" s="95"/>
      <c r="S22" s="95"/>
      <c r="T22" s="95"/>
      <c r="U22" s="95"/>
      <c r="V22" s="95"/>
      <c r="W22" s="95"/>
      <c r="X22" s="95"/>
      <c r="Y22" s="95"/>
      <c r="Z22" s="95"/>
      <c r="AA22" s="95"/>
      <c r="AB22" s="95"/>
      <c r="AC22" s="95"/>
      <c r="AD22" s="95"/>
      <c r="AE22" s="95"/>
      <c r="AF22" s="95"/>
      <c r="AG22" s="108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/>
      <c r="C23" s="95"/>
      <c r="D23" s="95"/>
      <c r="E23" s="95"/>
      <c r="F23" s="95">
        <v>1.3</v>
      </c>
      <c r="G23" s="95"/>
      <c r="H23" s="95"/>
      <c r="I23" s="95"/>
      <c r="J23" s="95"/>
      <c r="K23" s="95"/>
      <c r="L23" s="95"/>
      <c r="M23" s="95"/>
      <c r="N23" s="95">
        <v>1.6</v>
      </c>
      <c r="O23" s="95"/>
      <c r="P23" s="95"/>
      <c r="Q23" s="95"/>
      <c r="R23" s="95"/>
      <c r="S23" s="95"/>
      <c r="T23" s="95"/>
      <c r="U23" s="95"/>
      <c r="V23" s="95">
        <v>1.7</v>
      </c>
      <c r="W23" s="95"/>
      <c r="X23" s="95"/>
      <c r="Y23" s="96"/>
      <c r="Z23" s="96"/>
      <c r="AA23" s="96"/>
      <c r="AB23" s="96"/>
      <c r="AC23" s="96"/>
      <c r="AD23" s="96"/>
      <c r="AE23" s="96">
        <v>2</v>
      </c>
      <c r="AF23" s="96"/>
      <c r="AG23" s="108">
        <f t="shared" si="0"/>
        <v>6.6000000000000005</v>
      </c>
      <c r="AH23" s="48"/>
      <c r="AI23" s="48"/>
    </row>
    <row r="24" spans="1:35" s="44" customFormat="1" ht="18.75" customHeight="1" x14ac:dyDescent="0.35">
      <c r="A24" s="60" t="s">
        <v>72</v>
      </c>
      <c r="B24" s="87">
        <v>4.0999999999999996</v>
      </c>
      <c r="C24" s="95">
        <v>4.5</v>
      </c>
      <c r="D24" s="95">
        <v>3.8</v>
      </c>
      <c r="E24" s="95">
        <v>2.8</v>
      </c>
      <c r="F24" s="95">
        <v>3.2</v>
      </c>
      <c r="G24" s="95">
        <v>3.8</v>
      </c>
      <c r="H24" s="95">
        <v>2.9</v>
      </c>
      <c r="I24" s="95">
        <v>3.2</v>
      </c>
      <c r="J24" s="95">
        <v>3.9</v>
      </c>
      <c r="K24" s="95">
        <v>4.5</v>
      </c>
      <c r="L24" s="95">
        <v>4.5</v>
      </c>
      <c r="M24" s="95">
        <v>2.8</v>
      </c>
      <c r="N24" s="95">
        <v>4.5</v>
      </c>
      <c r="O24" s="95">
        <v>3.8</v>
      </c>
      <c r="P24" s="95">
        <v>4.5</v>
      </c>
      <c r="Q24" s="95"/>
      <c r="R24" s="95"/>
      <c r="S24" s="95">
        <v>2.8</v>
      </c>
      <c r="T24" s="95">
        <v>3.2</v>
      </c>
      <c r="U24" s="95">
        <v>3.5</v>
      </c>
      <c r="V24" s="95">
        <v>4.0999999999999996</v>
      </c>
      <c r="W24" s="95">
        <v>3.8</v>
      </c>
      <c r="X24" s="95">
        <v>3.5</v>
      </c>
      <c r="Y24" s="95">
        <v>1.2</v>
      </c>
      <c r="Z24" s="95">
        <v>2.1</v>
      </c>
      <c r="AA24" s="95">
        <v>2.5</v>
      </c>
      <c r="AB24" s="95">
        <v>3.1</v>
      </c>
      <c r="AC24" s="95">
        <v>3</v>
      </c>
      <c r="AD24" s="95"/>
      <c r="AE24" s="95"/>
      <c r="AF24" s="95"/>
      <c r="AG24" s="108">
        <f t="shared" si="0"/>
        <v>89.599999999999966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95"/>
      <c r="D25" s="95"/>
      <c r="E25" s="95"/>
      <c r="F25" s="95"/>
      <c r="G25" s="95"/>
      <c r="H25" s="95"/>
      <c r="I25" s="95"/>
      <c r="J25" s="95"/>
      <c r="K25" s="95"/>
      <c r="L25" s="95"/>
      <c r="M25" s="95"/>
      <c r="N25" s="95"/>
      <c r="O25" s="95"/>
      <c r="P25" s="95"/>
      <c r="Q25" s="95"/>
      <c r="R25" s="95"/>
      <c r="S25" s="95"/>
      <c r="T25" s="95"/>
      <c r="U25" s="95"/>
      <c r="V25" s="95"/>
      <c r="W25" s="95"/>
      <c r="X25" s="95"/>
      <c r="Y25" s="95"/>
      <c r="Z25" s="95"/>
      <c r="AA25" s="95"/>
      <c r="AB25" s="95"/>
      <c r="AC25" s="95"/>
      <c r="AD25" s="95"/>
      <c r="AE25" s="95"/>
      <c r="AF25" s="95"/>
      <c r="AG25" s="108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/>
      <c r="C26" s="95"/>
      <c r="D26" s="95"/>
      <c r="E26" s="95"/>
      <c r="F26" s="95"/>
      <c r="G26" s="95"/>
      <c r="H26" s="95"/>
      <c r="I26" s="95"/>
      <c r="J26" s="95"/>
      <c r="K26" s="95"/>
      <c r="L26" s="95"/>
      <c r="M26" s="95"/>
      <c r="N26" s="95"/>
      <c r="O26" s="95"/>
      <c r="P26" s="95"/>
      <c r="Q26" s="95"/>
      <c r="R26" s="95"/>
      <c r="S26" s="95"/>
      <c r="T26" s="95"/>
      <c r="U26" s="95"/>
      <c r="V26" s="95"/>
      <c r="W26" s="95"/>
      <c r="X26" s="95"/>
      <c r="Y26" s="95"/>
      <c r="Z26" s="95"/>
      <c r="AA26" s="95"/>
      <c r="AB26" s="95"/>
      <c r="AC26" s="95"/>
      <c r="AD26" s="95"/>
      <c r="AE26" s="95"/>
      <c r="AF26" s="95"/>
      <c r="AG26" s="108">
        <f t="shared" si="0"/>
        <v>0</v>
      </c>
      <c r="AH26" s="48"/>
      <c r="AI26" s="48"/>
    </row>
    <row r="27" spans="1:35" s="44" customFormat="1" ht="18.75" customHeight="1" x14ac:dyDescent="0.35">
      <c r="A27" s="60" t="s">
        <v>73</v>
      </c>
      <c r="B27" s="87"/>
      <c r="C27" s="95"/>
      <c r="D27" s="95"/>
      <c r="E27" s="95"/>
      <c r="F27" s="95"/>
      <c r="G27" s="95"/>
      <c r="H27" s="95"/>
      <c r="I27" s="95"/>
      <c r="J27" s="95"/>
      <c r="K27" s="95"/>
      <c r="L27" s="95"/>
      <c r="M27" s="95"/>
      <c r="N27" s="95"/>
      <c r="O27" s="95"/>
      <c r="P27" s="95"/>
      <c r="Q27" s="95"/>
      <c r="R27" s="95"/>
      <c r="S27" s="95"/>
      <c r="T27" s="95"/>
      <c r="U27" s="95"/>
      <c r="V27" s="95"/>
      <c r="W27" s="95"/>
      <c r="X27" s="95"/>
      <c r="Y27" s="95"/>
      <c r="Z27" s="95"/>
      <c r="AA27" s="95"/>
      <c r="AB27" s="95"/>
      <c r="AC27" s="95"/>
      <c r="AD27" s="95"/>
      <c r="AE27" s="95"/>
      <c r="AF27" s="95"/>
      <c r="AG27" s="108">
        <f t="shared" si="0"/>
        <v>0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95"/>
      <c r="D28" s="95"/>
      <c r="E28" s="95"/>
      <c r="F28" s="95"/>
      <c r="G28" s="95"/>
      <c r="H28" s="95"/>
      <c r="I28" s="95"/>
      <c r="J28" s="95"/>
      <c r="K28" s="95"/>
      <c r="L28" s="95"/>
      <c r="M28" s="95"/>
      <c r="N28" s="95"/>
      <c r="O28" s="95"/>
      <c r="P28" s="95"/>
      <c r="Q28" s="95"/>
      <c r="R28" s="95"/>
      <c r="S28" s="95"/>
      <c r="T28" s="95"/>
      <c r="U28" s="95"/>
      <c r="V28" s="95"/>
      <c r="W28" s="95"/>
      <c r="X28" s="95"/>
      <c r="Y28" s="95"/>
      <c r="Z28" s="95"/>
      <c r="AA28" s="95"/>
      <c r="AB28" s="95"/>
      <c r="AC28" s="95"/>
      <c r="AD28" s="95"/>
      <c r="AE28" s="95"/>
      <c r="AF28" s="95"/>
      <c r="AG28" s="108">
        <f t="shared" si="0"/>
        <v>0</v>
      </c>
      <c r="AH28" s="48"/>
      <c r="AI28" s="48"/>
    </row>
    <row r="29" spans="1:35" s="44" customFormat="1" ht="18.75" customHeight="1" x14ac:dyDescent="0.35">
      <c r="A29" s="60" t="s">
        <v>89</v>
      </c>
      <c r="B29" s="87">
        <v>2.2000000000000002</v>
      </c>
      <c r="C29" s="95">
        <v>3</v>
      </c>
      <c r="D29" s="95">
        <v>3.3</v>
      </c>
      <c r="E29" s="95">
        <v>2.2000000000000002</v>
      </c>
      <c r="F29" s="95">
        <v>3</v>
      </c>
      <c r="G29" s="95">
        <v>3.2</v>
      </c>
      <c r="H29" s="95">
        <v>2.2000000000000002</v>
      </c>
      <c r="I29" s="95">
        <v>2.2999999999999998</v>
      </c>
      <c r="J29" s="95">
        <v>3.1</v>
      </c>
      <c r="K29" s="95">
        <v>3.1</v>
      </c>
      <c r="L29" s="95">
        <v>4</v>
      </c>
      <c r="M29" s="95">
        <v>2.2000000000000002</v>
      </c>
      <c r="N29" s="95">
        <v>3</v>
      </c>
      <c r="O29" s="95">
        <v>2.2000000000000002</v>
      </c>
      <c r="P29" s="95">
        <v>3.2</v>
      </c>
      <c r="Q29" s="95">
        <v>3.1</v>
      </c>
      <c r="R29" s="95">
        <v>3.1</v>
      </c>
      <c r="S29" s="95">
        <v>4.0999999999999996</v>
      </c>
      <c r="T29" s="95">
        <v>2.2000000000000002</v>
      </c>
      <c r="U29" s="95">
        <v>3.1</v>
      </c>
      <c r="V29" s="95">
        <v>2.2000000000000002</v>
      </c>
      <c r="W29" s="95">
        <v>3</v>
      </c>
      <c r="X29" s="95">
        <v>3.2</v>
      </c>
      <c r="Y29" s="95">
        <v>2.4</v>
      </c>
      <c r="Z29" s="95">
        <v>2.8</v>
      </c>
      <c r="AA29" s="95">
        <v>3.1</v>
      </c>
      <c r="AB29" s="95">
        <v>2.1</v>
      </c>
      <c r="AC29" s="95">
        <v>3.2</v>
      </c>
      <c r="AD29" s="95">
        <v>3.1</v>
      </c>
      <c r="AE29" s="95">
        <v>3</v>
      </c>
      <c r="AF29" s="95"/>
      <c r="AG29" s="108">
        <f t="shared" si="0"/>
        <v>85.9</v>
      </c>
      <c r="AH29" s="48"/>
      <c r="AI29" s="48"/>
    </row>
    <row r="30" spans="1:35" s="44" customFormat="1" ht="18.75" customHeight="1" x14ac:dyDescent="0.35">
      <c r="A30" s="60" t="s">
        <v>74</v>
      </c>
      <c r="B30" s="87"/>
      <c r="C30" s="95"/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108">
        <f t="shared" si="0"/>
        <v>0</v>
      </c>
      <c r="AH30" s="48"/>
      <c r="AI30" s="48"/>
    </row>
    <row r="31" spans="1:35" s="44" customFormat="1" ht="18.75" customHeight="1" x14ac:dyDescent="0.35">
      <c r="A31" s="60" t="s">
        <v>75</v>
      </c>
      <c r="B31" s="87"/>
      <c r="C31" s="95"/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108">
        <f t="shared" si="0"/>
        <v>0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95"/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108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87">
        <v>3</v>
      </c>
      <c r="C33" s="95">
        <v>2</v>
      </c>
      <c r="D33" s="95">
        <v>2</v>
      </c>
      <c r="E33" s="95">
        <v>2</v>
      </c>
      <c r="F33" s="95">
        <v>1</v>
      </c>
      <c r="G33" s="95">
        <v>2</v>
      </c>
      <c r="H33" s="95">
        <v>3</v>
      </c>
      <c r="I33" s="95">
        <v>2</v>
      </c>
      <c r="J33" s="95">
        <v>3</v>
      </c>
      <c r="K33" s="95">
        <v>2</v>
      </c>
      <c r="L33" s="95">
        <v>3</v>
      </c>
      <c r="M33" s="95">
        <v>3</v>
      </c>
      <c r="N33" s="95">
        <v>2</v>
      </c>
      <c r="O33" s="95">
        <v>2</v>
      </c>
      <c r="P33" s="95">
        <v>2</v>
      </c>
      <c r="Q33" s="95">
        <v>2.1</v>
      </c>
      <c r="R33" s="95">
        <v>1</v>
      </c>
      <c r="S33" s="95">
        <v>1.8</v>
      </c>
      <c r="T33" s="95">
        <v>1</v>
      </c>
      <c r="U33" s="95">
        <v>1.5</v>
      </c>
      <c r="V33" s="95">
        <v>2</v>
      </c>
      <c r="W33" s="95">
        <v>2</v>
      </c>
      <c r="X33" s="95">
        <v>2.1</v>
      </c>
      <c r="Y33" s="95">
        <v>3</v>
      </c>
      <c r="Z33" s="95">
        <v>1.8</v>
      </c>
      <c r="AA33" s="95">
        <v>2.5</v>
      </c>
      <c r="AB33" s="95">
        <v>3.1</v>
      </c>
      <c r="AC33" s="95">
        <v>3.2</v>
      </c>
      <c r="AD33" s="95">
        <v>3.6</v>
      </c>
      <c r="AE33" s="95">
        <v>1.9</v>
      </c>
      <c r="AF33" s="95"/>
      <c r="AG33" s="108">
        <f t="shared" si="0"/>
        <v>66.600000000000009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95"/>
      <c r="D34" s="95"/>
      <c r="E34" s="95"/>
      <c r="F34" s="95"/>
      <c r="G34" s="95"/>
      <c r="H34" s="95"/>
      <c r="I34" s="95"/>
      <c r="J34" s="95"/>
      <c r="K34" s="95"/>
      <c r="L34" s="95"/>
      <c r="M34" s="95"/>
      <c r="N34" s="95"/>
      <c r="O34" s="95"/>
      <c r="P34" s="95"/>
      <c r="Q34" s="95"/>
      <c r="R34" s="95"/>
      <c r="S34" s="95"/>
      <c r="T34" s="95"/>
      <c r="U34" s="95"/>
      <c r="V34" s="95"/>
      <c r="W34" s="95"/>
      <c r="X34" s="95"/>
      <c r="Y34" s="95"/>
      <c r="Z34" s="95"/>
      <c r="AA34" s="95"/>
      <c r="AB34" s="95"/>
      <c r="AC34" s="95"/>
      <c r="AD34" s="95"/>
      <c r="AE34" s="95"/>
      <c r="AF34" s="95"/>
      <c r="AG34" s="108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  <c r="N35" s="96"/>
      <c r="O35" s="96"/>
      <c r="P35" s="96"/>
      <c r="Q35" s="96"/>
      <c r="R35" s="96"/>
      <c r="S35" s="96"/>
      <c r="T35" s="96"/>
      <c r="U35" s="96"/>
      <c r="V35" s="96"/>
      <c r="W35" s="96"/>
      <c r="X35" s="96"/>
      <c r="Y35" s="96"/>
      <c r="Z35" s="96"/>
      <c r="AA35" s="96"/>
      <c r="AB35" s="96"/>
      <c r="AC35" s="96"/>
      <c r="AD35" s="96"/>
      <c r="AE35" s="96"/>
      <c r="AF35" s="96"/>
      <c r="AG35" s="108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  <c r="N36" s="96"/>
      <c r="O36" s="96"/>
      <c r="P36" s="96"/>
      <c r="Q36" s="96"/>
      <c r="R36" s="96"/>
      <c r="S36" s="96"/>
      <c r="T36" s="96"/>
      <c r="U36" s="96"/>
      <c r="V36" s="96"/>
      <c r="W36" s="96"/>
      <c r="X36" s="96"/>
      <c r="Y36" s="96"/>
      <c r="Z36" s="96"/>
      <c r="AA36" s="96"/>
      <c r="AB36" s="96"/>
      <c r="AC36" s="96"/>
      <c r="AD36" s="96"/>
      <c r="AE36" s="96"/>
      <c r="AF36" s="96"/>
      <c r="AG36" s="108">
        <f t="shared" si="0"/>
        <v>0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  <c r="N37" s="96"/>
      <c r="O37" s="96"/>
      <c r="P37" s="96"/>
      <c r="Q37" s="96"/>
      <c r="R37" s="96"/>
      <c r="S37" s="96"/>
      <c r="T37" s="96"/>
      <c r="U37" s="96"/>
      <c r="V37" s="96"/>
      <c r="W37" s="96"/>
      <c r="X37" s="96"/>
      <c r="Y37" s="96"/>
      <c r="Z37" s="96"/>
      <c r="AA37" s="96"/>
      <c r="AB37" s="96"/>
      <c r="AC37" s="96"/>
      <c r="AD37" s="96"/>
      <c r="AE37" s="96"/>
      <c r="AF37" s="96"/>
      <c r="AG37" s="108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88">
        <f>1.3+2.3</f>
        <v>3.5999999999999996</v>
      </c>
      <c r="C38" s="96">
        <f>3.4+1.3</f>
        <v>4.7</v>
      </c>
      <c r="D38" s="96">
        <f>2.3+3.1</f>
        <v>5.4</v>
      </c>
      <c r="E38" s="96">
        <f>1.3+3.2</f>
        <v>4.5</v>
      </c>
      <c r="F38" s="96">
        <f>2.3+1</f>
        <v>3.3</v>
      </c>
      <c r="G38" s="96">
        <f>2.3+2.8</f>
        <v>5.0999999999999996</v>
      </c>
      <c r="H38" s="96">
        <f>2.7+2.4</f>
        <v>5.0999999999999996</v>
      </c>
      <c r="I38" s="96">
        <f>1.9+1.3</f>
        <v>3.2</v>
      </c>
      <c r="J38" s="96">
        <f>2.7+2.1</f>
        <v>4.8000000000000007</v>
      </c>
      <c r="K38" s="96">
        <f>2.3+1.9</f>
        <v>4.1999999999999993</v>
      </c>
      <c r="L38" s="96">
        <f>1.9+3.4</f>
        <v>5.3</v>
      </c>
      <c r="M38" s="96">
        <f>2.3+3.2</f>
        <v>5.5</v>
      </c>
      <c r="N38" s="96">
        <f>2.4+1.8</f>
        <v>4.2</v>
      </c>
      <c r="O38" s="96">
        <f>2.5+0.5</f>
        <v>3</v>
      </c>
      <c r="P38" s="96">
        <f>2.8+1.9</f>
        <v>4.6999999999999993</v>
      </c>
      <c r="Q38" s="96">
        <f>2.9+2.3</f>
        <v>5.1999999999999993</v>
      </c>
      <c r="R38" s="96">
        <f>2.4+2.5</f>
        <v>4.9000000000000004</v>
      </c>
      <c r="S38" s="96">
        <f>2.9+2.5</f>
        <v>5.4</v>
      </c>
      <c r="T38" s="96">
        <f>2.5+2.1</f>
        <v>4.5999999999999996</v>
      </c>
      <c r="U38" s="96">
        <f>2.5+1.1</f>
        <v>3.6</v>
      </c>
      <c r="V38" s="96">
        <f>1.9+2.2</f>
        <v>4.0999999999999996</v>
      </c>
      <c r="W38" s="96">
        <f>2.2+1.9</f>
        <v>4.0999999999999996</v>
      </c>
      <c r="X38" s="96">
        <f>2.2+1</f>
        <v>3.2</v>
      </c>
      <c r="Y38" s="96">
        <f>1.5+2</f>
        <v>3.5</v>
      </c>
      <c r="Z38" s="96">
        <f>1.9+2.5</f>
        <v>4.4000000000000004</v>
      </c>
      <c r="AA38" s="96">
        <f>1.8+2.8</f>
        <v>4.5999999999999996</v>
      </c>
      <c r="AB38" s="96">
        <f>1.8+2.5</f>
        <v>4.3</v>
      </c>
      <c r="AC38" s="96">
        <f>2.5+2.3</f>
        <v>4.8</v>
      </c>
      <c r="AD38" s="96">
        <f>1.9+3.1</f>
        <v>5</v>
      </c>
      <c r="AE38" s="96">
        <f>3.4+3.1</f>
        <v>6.5</v>
      </c>
      <c r="AF38" s="96"/>
      <c r="AG38" s="108">
        <f t="shared" si="0"/>
        <v>134.80000000000001</v>
      </c>
      <c r="AH38" s="48"/>
      <c r="AI38" s="48"/>
    </row>
    <row r="39" spans="1:35" s="44" customFormat="1" ht="18.75" customHeight="1" x14ac:dyDescent="0.35">
      <c r="A39" s="60" t="s">
        <v>86</v>
      </c>
      <c r="B39" s="88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  <c r="N39" s="96"/>
      <c r="O39" s="96"/>
      <c r="P39" s="96"/>
      <c r="Q39" s="96"/>
      <c r="R39" s="96"/>
      <c r="S39" s="96"/>
      <c r="T39" s="96"/>
      <c r="U39" s="96"/>
      <c r="V39" s="96"/>
      <c r="W39" s="96"/>
      <c r="X39" s="96"/>
      <c r="Y39" s="96"/>
      <c r="Z39" s="96"/>
      <c r="AA39" s="96"/>
      <c r="AB39" s="96"/>
      <c r="AC39" s="96"/>
      <c r="AD39" s="96"/>
      <c r="AE39" s="96"/>
      <c r="AF39" s="96"/>
      <c r="AG39" s="108">
        <f t="shared" si="0"/>
        <v>0</v>
      </c>
      <c r="AH39" s="48"/>
      <c r="AI39" s="48"/>
    </row>
    <row r="40" spans="1:35" s="44" customFormat="1" ht="18.75" customHeight="1" x14ac:dyDescent="0.35">
      <c r="A40" s="60" t="s">
        <v>82</v>
      </c>
      <c r="B40" s="88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  <c r="N40" s="96"/>
      <c r="O40" s="96"/>
      <c r="P40" s="96"/>
      <c r="Q40" s="96"/>
      <c r="R40" s="96"/>
      <c r="S40" s="96"/>
      <c r="T40" s="96"/>
      <c r="U40" s="96"/>
      <c r="V40" s="96"/>
      <c r="W40" s="96"/>
      <c r="X40" s="96"/>
      <c r="Y40" s="96"/>
      <c r="Z40" s="96"/>
      <c r="AA40" s="96"/>
      <c r="AB40" s="96"/>
      <c r="AC40" s="96"/>
      <c r="AD40" s="96"/>
      <c r="AE40" s="96"/>
      <c r="AF40" s="96"/>
      <c r="AG40" s="108">
        <f t="shared" si="0"/>
        <v>0</v>
      </c>
      <c r="AH40" s="48"/>
      <c r="AI40" s="48"/>
    </row>
    <row r="41" spans="1:35" s="44" customFormat="1" ht="18.75" customHeight="1" x14ac:dyDescent="0.35">
      <c r="A41" s="60" t="s">
        <v>178</v>
      </c>
      <c r="B41" s="88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  <c r="N41" s="96"/>
      <c r="O41" s="96"/>
      <c r="P41" s="96"/>
      <c r="Q41" s="96"/>
      <c r="R41" s="96"/>
      <c r="S41" s="96"/>
      <c r="T41" s="96"/>
      <c r="U41" s="96"/>
      <c r="V41" s="96"/>
      <c r="W41" s="96"/>
      <c r="X41" s="96"/>
      <c r="Y41" s="96"/>
      <c r="Z41" s="96"/>
      <c r="AA41" s="96"/>
      <c r="AB41" s="96"/>
      <c r="AC41" s="96"/>
      <c r="AD41" s="96"/>
      <c r="AE41" s="96"/>
      <c r="AF41" s="96"/>
      <c r="AG41" s="108"/>
      <c r="AH41" s="48"/>
      <c r="AI41" s="48"/>
    </row>
    <row r="42" spans="1:35" s="44" customFormat="1" ht="18.75" customHeight="1" x14ac:dyDescent="0.35">
      <c r="A42" s="59" t="s">
        <v>155</v>
      </c>
      <c r="B42" s="87">
        <f>SUM(B4:B41)</f>
        <v>23.4</v>
      </c>
      <c r="C42" s="87">
        <f t="shared" ref="C42:AF42" si="1">SUM(C4:C41)</f>
        <v>25.2</v>
      </c>
      <c r="D42" s="87">
        <f t="shared" si="1"/>
        <v>28</v>
      </c>
      <c r="E42" s="87">
        <f t="shared" si="1"/>
        <v>21.5</v>
      </c>
      <c r="F42" s="87">
        <f t="shared" si="1"/>
        <v>22.7</v>
      </c>
      <c r="G42" s="87">
        <f t="shared" si="1"/>
        <v>23.9</v>
      </c>
      <c r="H42" s="87">
        <f t="shared" si="1"/>
        <v>23.200000000000003</v>
      </c>
      <c r="I42" s="87">
        <f t="shared" si="1"/>
        <v>23.8</v>
      </c>
      <c r="J42" s="87">
        <f t="shared" si="1"/>
        <v>23.900000000000002</v>
      </c>
      <c r="K42" s="87">
        <f t="shared" si="1"/>
        <v>22.8</v>
      </c>
      <c r="L42" s="87">
        <f t="shared" si="1"/>
        <v>26.6</v>
      </c>
      <c r="M42" s="87">
        <f t="shared" si="1"/>
        <v>24.3</v>
      </c>
      <c r="N42" s="87">
        <f t="shared" si="1"/>
        <v>25.499999999999996</v>
      </c>
      <c r="O42" s="87">
        <f t="shared" si="1"/>
        <v>19.2</v>
      </c>
      <c r="P42" s="87">
        <f t="shared" si="1"/>
        <v>26</v>
      </c>
      <c r="Q42" s="87">
        <f t="shared" si="1"/>
        <v>20.7</v>
      </c>
      <c r="R42" s="87">
        <f t="shared" si="1"/>
        <v>19.2</v>
      </c>
      <c r="S42" s="87">
        <f t="shared" si="1"/>
        <v>26.400000000000006</v>
      </c>
      <c r="T42" s="87">
        <f t="shared" si="1"/>
        <v>21.199999999999996</v>
      </c>
      <c r="U42" s="87">
        <f t="shared" si="1"/>
        <v>22.400000000000002</v>
      </c>
      <c r="V42" s="87">
        <f t="shared" si="1"/>
        <v>24.9</v>
      </c>
      <c r="W42" s="87">
        <f t="shared" si="1"/>
        <v>23.4</v>
      </c>
      <c r="X42" s="87">
        <f t="shared" si="1"/>
        <v>25</v>
      </c>
      <c r="Y42" s="87">
        <f t="shared" si="1"/>
        <v>22.4</v>
      </c>
      <c r="Z42" s="87">
        <f t="shared" si="1"/>
        <v>22.5</v>
      </c>
      <c r="AA42" s="87">
        <f t="shared" si="1"/>
        <v>23.5</v>
      </c>
      <c r="AB42" s="87">
        <f t="shared" si="1"/>
        <v>23.900000000000002</v>
      </c>
      <c r="AC42" s="87">
        <f t="shared" si="1"/>
        <v>25.7</v>
      </c>
      <c r="AD42" s="87">
        <f t="shared" si="1"/>
        <v>21.9</v>
      </c>
      <c r="AE42" s="87">
        <f t="shared" si="1"/>
        <v>24.2</v>
      </c>
      <c r="AF42" s="87">
        <f t="shared" si="1"/>
        <v>0</v>
      </c>
      <c r="AG42" s="109">
        <f>SUM(B42:AF42)</f>
        <v>707.3</v>
      </c>
      <c r="AH42" s="57"/>
      <c r="AI42" s="57"/>
    </row>
    <row r="43" spans="1:35" s="2" customFormat="1" x14ac:dyDescent="0.25">
      <c r="AG43" s="24">
        <f>SUM(AG3:AG40)</f>
        <v>707.3</v>
      </c>
    </row>
  </sheetData>
  <mergeCells count="1">
    <mergeCell ref="A1:AG1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3"/>
  <sheetViews>
    <sheetView workbookViewId="0">
      <selection sqref="A1:AG1"/>
    </sheetView>
  </sheetViews>
  <sheetFormatPr baseColWidth="10" defaultRowHeight="15" x14ac:dyDescent="0.25"/>
  <cols>
    <col min="1" max="1" width="48.28515625" customWidth="1"/>
    <col min="2" max="32" width="7.5703125" customWidth="1"/>
  </cols>
  <sheetData>
    <row r="1" spans="1:35" s="44" customFormat="1" ht="21" x14ac:dyDescent="0.35">
      <c r="A1" s="217" t="s">
        <v>186</v>
      </c>
      <c r="B1" s="218"/>
      <c r="C1" s="218"/>
      <c r="D1" s="218"/>
      <c r="E1" s="218"/>
      <c r="F1" s="218"/>
      <c r="G1" s="218"/>
      <c r="H1" s="218"/>
      <c r="I1" s="218"/>
      <c r="J1" s="218"/>
      <c r="K1" s="218"/>
      <c r="L1" s="218"/>
      <c r="M1" s="218"/>
      <c r="N1" s="218"/>
      <c r="O1" s="218"/>
      <c r="P1" s="218"/>
      <c r="Q1" s="218"/>
      <c r="R1" s="218"/>
      <c r="S1" s="218"/>
      <c r="T1" s="218"/>
      <c r="U1" s="218"/>
      <c r="V1" s="218"/>
      <c r="W1" s="218"/>
      <c r="X1" s="218"/>
      <c r="Y1" s="218"/>
      <c r="Z1" s="218"/>
      <c r="AA1" s="218"/>
      <c r="AB1" s="218"/>
      <c r="AC1" s="218"/>
      <c r="AD1" s="218"/>
      <c r="AE1" s="218"/>
      <c r="AF1" s="218"/>
      <c r="AG1" s="219"/>
      <c r="AH1" s="42"/>
      <c r="AI1" s="42"/>
    </row>
    <row r="2" spans="1:35" s="44" customFormat="1" ht="38.25" customHeight="1" x14ac:dyDescent="0.35">
      <c r="A2" s="45"/>
      <c r="B2" s="45">
        <v>1</v>
      </c>
      <c r="C2" s="45">
        <v>2</v>
      </c>
      <c r="D2" s="45">
        <v>3</v>
      </c>
      <c r="E2" s="45">
        <v>4</v>
      </c>
      <c r="F2" s="45">
        <v>5</v>
      </c>
      <c r="G2" s="45">
        <v>6</v>
      </c>
      <c r="H2" s="45">
        <v>7</v>
      </c>
      <c r="I2" s="45">
        <v>8</v>
      </c>
      <c r="J2" s="45">
        <v>9</v>
      </c>
      <c r="K2" s="45">
        <v>10</v>
      </c>
      <c r="L2" s="45">
        <v>11</v>
      </c>
      <c r="M2" s="45">
        <v>12</v>
      </c>
      <c r="N2" s="45">
        <v>13</v>
      </c>
      <c r="O2" s="45">
        <v>14</v>
      </c>
      <c r="P2" s="45">
        <v>15</v>
      </c>
      <c r="Q2" s="45">
        <v>16</v>
      </c>
      <c r="R2" s="45">
        <v>17</v>
      </c>
      <c r="S2" s="45">
        <v>18</v>
      </c>
      <c r="T2" s="45">
        <v>19</v>
      </c>
      <c r="U2" s="45">
        <v>20</v>
      </c>
      <c r="V2" s="45">
        <v>21</v>
      </c>
      <c r="W2" s="45">
        <v>22</v>
      </c>
      <c r="X2" s="45">
        <v>23</v>
      </c>
      <c r="Y2" s="45">
        <v>24</v>
      </c>
      <c r="Z2" s="45">
        <v>25</v>
      </c>
      <c r="AA2" s="45">
        <v>26</v>
      </c>
      <c r="AB2" s="45">
        <v>27</v>
      </c>
      <c r="AC2" s="45">
        <v>28</v>
      </c>
      <c r="AD2" s="45">
        <v>29</v>
      </c>
      <c r="AE2" s="45">
        <v>30</v>
      </c>
      <c r="AF2" s="45">
        <v>31</v>
      </c>
      <c r="AG2" s="58" t="s">
        <v>62</v>
      </c>
      <c r="AH2" s="42"/>
      <c r="AI2" s="42"/>
    </row>
    <row r="3" spans="1:35" s="44" customFormat="1" ht="21" x14ac:dyDescent="0.35">
      <c r="A3" s="45" t="s">
        <v>61</v>
      </c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7"/>
      <c r="M3" s="107"/>
      <c r="N3" s="107"/>
      <c r="O3" s="107"/>
      <c r="P3" s="107"/>
      <c r="Q3" s="107"/>
      <c r="R3" s="107"/>
      <c r="S3" s="107"/>
      <c r="T3" s="107"/>
      <c r="U3" s="107"/>
      <c r="V3" s="107"/>
      <c r="W3" s="107"/>
      <c r="X3" s="107"/>
      <c r="Y3" s="107"/>
      <c r="Z3" s="107"/>
      <c r="AA3" s="107"/>
      <c r="AB3" s="107"/>
      <c r="AC3" s="107"/>
      <c r="AD3" s="107"/>
      <c r="AE3" s="107"/>
      <c r="AF3" s="107"/>
      <c r="AG3" s="103">
        <f>SUM(B3:AF3)</f>
        <v>0</v>
      </c>
      <c r="AH3" s="47"/>
      <c r="AI3" s="48"/>
    </row>
    <row r="4" spans="1:35" s="44" customFormat="1" ht="30.75" customHeight="1" x14ac:dyDescent="0.35">
      <c r="A4" s="63" t="s">
        <v>94</v>
      </c>
      <c r="B4" s="85"/>
      <c r="C4" s="85"/>
      <c r="D4" s="85"/>
      <c r="E4" s="85"/>
      <c r="F4" s="85"/>
      <c r="G4" s="85"/>
      <c r="H4" s="85"/>
      <c r="I4" s="86"/>
      <c r="J4" s="85"/>
      <c r="K4" s="86"/>
      <c r="L4" s="85"/>
      <c r="M4" s="86"/>
      <c r="N4" s="85"/>
      <c r="O4" s="85"/>
      <c r="P4" s="86"/>
      <c r="Q4" s="85"/>
      <c r="R4" s="85"/>
      <c r="S4" s="86"/>
      <c r="T4" s="86"/>
      <c r="U4" s="86"/>
      <c r="V4" s="86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103">
        <f t="shared" ref="AG4:AG41" si="0">SUM(B4:AF4)</f>
        <v>0</v>
      </c>
      <c r="AH4" s="47"/>
      <c r="AI4" s="48"/>
    </row>
    <row r="5" spans="1:35" s="44" customFormat="1" ht="18.75" customHeight="1" x14ac:dyDescent="0.35">
      <c r="A5" s="60" t="s">
        <v>149</v>
      </c>
      <c r="B5" s="87"/>
      <c r="C5" s="87"/>
      <c r="D5" s="87"/>
      <c r="E5" s="87"/>
      <c r="F5" s="87"/>
      <c r="G5" s="87"/>
      <c r="H5" s="87"/>
      <c r="I5" s="87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  <c r="W5" s="87"/>
      <c r="X5" s="87"/>
      <c r="Y5" s="87"/>
      <c r="Z5" s="87"/>
      <c r="AA5" s="87"/>
      <c r="AB5" s="87"/>
      <c r="AC5" s="87"/>
      <c r="AD5" s="87"/>
      <c r="AE5" s="87"/>
      <c r="AF5" s="87"/>
      <c r="AG5" s="103">
        <f t="shared" si="0"/>
        <v>0</v>
      </c>
      <c r="AH5" s="48"/>
      <c r="AI5" s="48"/>
    </row>
    <row r="6" spans="1:35" s="44" customFormat="1" ht="18.75" customHeight="1" x14ac:dyDescent="0.35">
      <c r="A6" s="60" t="s">
        <v>83</v>
      </c>
      <c r="B6" s="87"/>
      <c r="C6" s="87"/>
      <c r="D6" s="87"/>
      <c r="E6" s="87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103">
        <f t="shared" si="0"/>
        <v>0</v>
      </c>
      <c r="AH6" s="48"/>
      <c r="AI6" s="48"/>
    </row>
    <row r="7" spans="1:35" s="44" customFormat="1" ht="18.75" customHeight="1" x14ac:dyDescent="0.35">
      <c r="A7" s="60" t="s">
        <v>84</v>
      </c>
      <c r="B7" s="87"/>
      <c r="C7" s="87"/>
      <c r="D7" s="87"/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103">
        <f t="shared" si="0"/>
        <v>0</v>
      </c>
      <c r="AH7" s="48"/>
      <c r="AI7" s="48"/>
    </row>
    <row r="8" spans="1:35" s="44" customFormat="1" ht="18.75" customHeight="1" x14ac:dyDescent="0.35">
      <c r="A8" s="60" t="s">
        <v>64</v>
      </c>
      <c r="B8" s="87"/>
      <c r="C8" s="87"/>
      <c r="D8" s="87"/>
      <c r="E8" s="87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103">
        <f t="shared" si="0"/>
        <v>0</v>
      </c>
      <c r="AH8" s="48"/>
      <c r="AI8" s="48"/>
    </row>
    <row r="9" spans="1:35" s="44" customFormat="1" ht="18.75" customHeight="1" x14ac:dyDescent="0.35">
      <c r="A9" s="60" t="s">
        <v>65</v>
      </c>
      <c r="B9" s="87">
        <v>5.3</v>
      </c>
      <c r="C9" s="87">
        <v>2.9</v>
      </c>
      <c r="D9" s="87">
        <v>4.7</v>
      </c>
      <c r="E9" s="87">
        <v>4.8</v>
      </c>
      <c r="F9" s="87">
        <v>3.9</v>
      </c>
      <c r="G9" s="87">
        <v>7</v>
      </c>
      <c r="H9" s="87">
        <v>6.6</v>
      </c>
      <c r="I9" s="87">
        <v>3.9</v>
      </c>
      <c r="J9" s="87">
        <v>4.0999999999999996</v>
      </c>
      <c r="K9" s="87">
        <v>4.2</v>
      </c>
      <c r="L9" s="87">
        <v>3</v>
      </c>
      <c r="M9" s="87">
        <v>3.8</v>
      </c>
      <c r="N9" s="87">
        <v>2.9</v>
      </c>
      <c r="O9" s="87">
        <v>4.7</v>
      </c>
      <c r="P9" s="87">
        <v>5.0999999999999996</v>
      </c>
      <c r="Q9" s="87">
        <v>4.3</v>
      </c>
      <c r="R9" s="87">
        <v>3.6</v>
      </c>
      <c r="S9" s="87">
        <v>4.8</v>
      </c>
      <c r="T9" s="87">
        <v>4.0999999999999996</v>
      </c>
      <c r="U9" s="87">
        <v>4.2</v>
      </c>
      <c r="V9" s="87">
        <v>3.7</v>
      </c>
      <c r="W9" s="87">
        <v>3.6</v>
      </c>
      <c r="X9" s="87">
        <v>4</v>
      </c>
      <c r="Y9" s="87">
        <v>3</v>
      </c>
      <c r="Z9" s="87">
        <v>4.7</v>
      </c>
      <c r="AA9" s="87">
        <v>4</v>
      </c>
      <c r="AB9" s="87">
        <v>3.6</v>
      </c>
      <c r="AC9" s="87">
        <v>3</v>
      </c>
      <c r="AD9" s="87">
        <v>3.7</v>
      </c>
      <c r="AE9" s="87">
        <v>4.0999999999999996</v>
      </c>
      <c r="AF9" s="87">
        <v>4</v>
      </c>
      <c r="AG9" s="103">
        <f t="shared" si="0"/>
        <v>129.29999999999995</v>
      </c>
      <c r="AH9" s="48"/>
      <c r="AI9" s="48"/>
    </row>
    <row r="10" spans="1:35" s="44" customFormat="1" ht="18.75" customHeight="1" x14ac:dyDescent="0.35">
      <c r="A10" s="60" t="s">
        <v>66</v>
      </c>
      <c r="B10" s="87"/>
      <c r="C10" s="87"/>
      <c r="D10" s="87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103">
        <f t="shared" si="0"/>
        <v>0</v>
      </c>
      <c r="AH10" s="48"/>
      <c r="AI10" s="48"/>
    </row>
    <row r="11" spans="1:35" s="44" customFormat="1" ht="18.75" customHeight="1" x14ac:dyDescent="0.35">
      <c r="A11" s="60" t="s">
        <v>67</v>
      </c>
      <c r="B11" s="87">
        <v>6.8</v>
      </c>
      <c r="C11" s="87">
        <v>4.8</v>
      </c>
      <c r="D11" s="87">
        <v>4.9000000000000004</v>
      </c>
      <c r="E11" s="87">
        <v>4.7</v>
      </c>
      <c r="F11" s="87">
        <v>4.8</v>
      </c>
      <c r="G11" s="87">
        <v>4.7</v>
      </c>
      <c r="H11" s="87">
        <v>4.8</v>
      </c>
      <c r="I11" s="87">
        <v>4.9000000000000004</v>
      </c>
      <c r="J11" s="87">
        <v>4.9000000000000004</v>
      </c>
      <c r="K11" s="87">
        <v>4.2</v>
      </c>
      <c r="L11" s="87">
        <v>4</v>
      </c>
      <c r="M11" s="87">
        <v>4.4000000000000004</v>
      </c>
      <c r="N11" s="87">
        <v>4.5</v>
      </c>
      <c r="O11" s="87">
        <v>4.3</v>
      </c>
      <c r="P11" s="87">
        <v>4</v>
      </c>
      <c r="Q11" s="87">
        <v>5</v>
      </c>
      <c r="R11" s="87">
        <v>4.0999999999999996</v>
      </c>
      <c r="S11" s="87">
        <v>5</v>
      </c>
      <c r="T11" s="87">
        <v>6.2</v>
      </c>
      <c r="U11" s="87">
        <v>4.3</v>
      </c>
      <c r="V11" s="87">
        <v>4</v>
      </c>
      <c r="W11" s="87">
        <v>4.5</v>
      </c>
      <c r="X11" s="87">
        <v>5</v>
      </c>
      <c r="Y11" s="87">
        <v>4.3</v>
      </c>
      <c r="Z11" s="87">
        <v>5.0999999999999996</v>
      </c>
      <c r="AA11" s="87">
        <v>4</v>
      </c>
      <c r="AB11" s="87">
        <v>4.3</v>
      </c>
      <c r="AC11" s="87">
        <v>4.5</v>
      </c>
      <c r="AD11" s="87">
        <v>4</v>
      </c>
      <c r="AE11" s="87">
        <v>4.3</v>
      </c>
      <c r="AF11" s="87">
        <v>4</v>
      </c>
      <c r="AG11" s="103">
        <f t="shared" si="0"/>
        <v>143.30000000000001</v>
      </c>
      <c r="AH11" s="48"/>
      <c r="AI11" s="48"/>
    </row>
    <row r="12" spans="1:35" s="44" customFormat="1" ht="34.5" customHeight="1" x14ac:dyDescent="0.35">
      <c r="A12" s="62" t="s">
        <v>90</v>
      </c>
      <c r="B12" s="87"/>
      <c r="C12" s="87"/>
      <c r="D12" s="87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9"/>
      <c r="P12" s="90"/>
      <c r="Q12" s="90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103">
        <f t="shared" si="0"/>
        <v>0</v>
      </c>
    </row>
    <row r="13" spans="1:35" s="44" customFormat="1" ht="31.5" customHeight="1" x14ac:dyDescent="0.35">
      <c r="A13" s="62" t="s">
        <v>93</v>
      </c>
      <c r="B13" s="87"/>
      <c r="C13" s="87"/>
      <c r="D13" s="87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103">
        <f t="shared" si="0"/>
        <v>0</v>
      </c>
      <c r="AH13" s="48"/>
      <c r="AI13" s="48"/>
    </row>
    <row r="14" spans="1:35" s="44" customFormat="1" ht="18.75" customHeight="1" x14ac:dyDescent="0.35">
      <c r="A14" s="60" t="s">
        <v>152</v>
      </c>
      <c r="B14" s="87"/>
      <c r="C14" s="87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103">
        <f t="shared" si="0"/>
        <v>0</v>
      </c>
      <c r="AH14" s="48"/>
      <c r="AI14" s="48"/>
    </row>
    <row r="15" spans="1:35" s="44" customFormat="1" ht="18.75" customHeight="1" x14ac:dyDescent="0.35">
      <c r="A15" s="60" t="s">
        <v>63</v>
      </c>
      <c r="B15" s="87"/>
      <c r="C15" s="87"/>
      <c r="D15" s="87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103">
        <f t="shared" si="0"/>
        <v>0</v>
      </c>
      <c r="AH15" s="48"/>
      <c r="AI15" s="48"/>
    </row>
    <row r="16" spans="1:35" s="44" customFormat="1" ht="18.75" customHeight="1" x14ac:dyDescent="0.35">
      <c r="A16" s="60" t="s">
        <v>91</v>
      </c>
      <c r="B16" s="87">
        <v>1.7</v>
      </c>
      <c r="C16" s="87">
        <v>1.1000000000000001</v>
      </c>
      <c r="D16" s="87">
        <v>1.3</v>
      </c>
      <c r="E16" s="87">
        <v>1.1000000000000001</v>
      </c>
      <c r="F16" s="87">
        <v>2.1</v>
      </c>
      <c r="G16" s="87">
        <v>0.9</v>
      </c>
      <c r="H16" s="87">
        <v>1.2</v>
      </c>
      <c r="I16" s="87">
        <v>1.5</v>
      </c>
      <c r="J16" s="87">
        <v>2.2000000000000002</v>
      </c>
      <c r="K16" s="87">
        <v>1.7</v>
      </c>
      <c r="L16" s="87">
        <v>1.2</v>
      </c>
      <c r="M16" s="87">
        <v>0.8</v>
      </c>
      <c r="N16" s="87">
        <v>1.1000000000000001</v>
      </c>
      <c r="O16" s="87">
        <v>1.2</v>
      </c>
      <c r="P16" s="87">
        <v>0.9</v>
      </c>
      <c r="Q16" s="87">
        <v>0.9</v>
      </c>
      <c r="R16" s="87">
        <v>1.1000000000000001</v>
      </c>
      <c r="S16" s="87">
        <v>1.7</v>
      </c>
      <c r="T16" s="87">
        <v>1.3</v>
      </c>
      <c r="U16" s="87">
        <v>0.8</v>
      </c>
      <c r="V16" s="87">
        <v>0.9</v>
      </c>
      <c r="W16" s="87">
        <v>1.1000000000000001</v>
      </c>
      <c r="X16" s="87">
        <v>1.2</v>
      </c>
      <c r="Y16" s="87">
        <v>1.5</v>
      </c>
      <c r="Z16" s="87">
        <v>2.2000000000000002</v>
      </c>
      <c r="AA16" s="87">
        <v>0.9</v>
      </c>
      <c r="AB16" s="87">
        <v>1.1000000000000001</v>
      </c>
      <c r="AC16" s="87">
        <v>1.3</v>
      </c>
      <c r="AD16" s="87">
        <v>2.2000000000000002</v>
      </c>
      <c r="AE16" s="87">
        <v>1</v>
      </c>
      <c r="AF16" s="87">
        <v>1.2</v>
      </c>
      <c r="AG16" s="103">
        <f t="shared" si="0"/>
        <v>40.4</v>
      </c>
      <c r="AH16" s="48"/>
      <c r="AI16" s="48"/>
    </row>
    <row r="17" spans="1:35" s="44" customFormat="1" ht="18.75" customHeight="1" x14ac:dyDescent="0.35">
      <c r="A17" s="60" t="s">
        <v>68</v>
      </c>
      <c r="B17" s="87"/>
      <c r="C17" s="87"/>
      <c r="D17" s="87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103">
        <f t="shared" si="0"/>
        <v>0</v>
      </c>
      <c r="AH17" s="48"/>
      <c r="AI17" s="48"/>
    </row>
    <row r="18" spans="1:35" s="44" customFormat="1" ht="18.75" customHeight="1" x14ac:dyDescent="0.35">
      <c r="A18" s="60" t="s">
        <v>150</v>
      </c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103">
        <f t="shared" si="0"/>
        <v>0</v>
      </c>
      <c r="AH18" s="48"/>
      <c r="AI18" s="48"/>
    </row>
    <row r="19" spans="1:35" s="44" customFormat="1" ht="18.75" customHeight="1" x14ac:dyDescent="0.35">
      <c r="A19" s="60" t="s">
        <v>69</v>
      </c>
      <c r="B19" s="66"/>
      <c r="C19" s="66"/>
      <c r="D19" s="66"/>
      <c r="E19" s="66"/>
      <c r="F19" s="66"/>
      <c r="G19" s="66"/>
      <c r="H19" s="66"/>
      <c r="I19" s="66"/>
      <c r="J19" s="66"/>
      <c r="K19" s="66"/>
      <c r="L19" s="66"/>
      <c r="M19" s="66"/>
      <c r="N19" s="66"/>
      <c r="O19" s="66"/>
      <c r="P19" s="66"/>
      <c r="Q19" s="66"/>
      <c r="R19" s="66"/>
      <c r="S19" s="66"/>
      <c r="T19" s="66"/>
      <c r="U19" s="66"/>
      <c r="V19" s="66"/>
      <c r="W19" s="66"/>
      <c r="X19" s="66"/>
      <c r="Y19" s="66"/>
      <c r="Z19" s="66"/>
      <c r="AA19" s="66"/>
      <c r="AB19" s="66"/>
      <c r="AC19" s="66"/>
      <c r="AD19" s="66"/>
      <c r="AE19" s="66"/>
      <c r="AF19" s="66"/>
      <c r="AG19" s="103">
        <f t="shared" si="0"/>
        <v>0</v>
      </c>
      <c r="AH19" s="48"/>
      <c r="AI19" s="48"/>
    </row>
    <row r="20" spans="1:35" s="44" customFormat="1" ht="18.75" customHeight="1" x14ac:dyDescent="0.35">
      <c r="A20" s="60" t="s">
        <v>70</v>
      </c>
      <c r="B20" s="87"/>
      <c r="C20" s="87"/>
      <c r="D20" s="87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103">
        <f t="shared" si="0"/>
        <v>0</v>
      </c>
      <c r="AH20" s="48"/>
      <c r="AI20" s="48"/>
    </row>
    <row r="21" spans="1:35" s="44" customFormat="1" ht="18.75" customHeight="1" x14ac:dyDescent="0.35">
      <c r="A21" s="61" t="s">
        <v>151</v>
      </c>
      <c r="B21" s="87"/>
      <c r="C21" s="87"/>
      <c r="D21" s="87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103">
        <f t="shared" si="0"/>
        <v>0</v>
      </c>
      <c r="AH21" s="48"/>
      <c r="AI21" s="48"/>
    </row>
    <row r="22" spans="1:35" s="44" customFormat="1" ht="18.75" customHeight="1" x14ac:dyDescent="0.35">
      <c r="A22" s="60" t="s">
        <v>88</v>
      </c>
      <c r="B22" s="87"/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103">
        <f t="shared" si="0"/>
        <v>0</v>
      </c>
      <c r="AH22" s="48"/>
      <c r="AI22" s="48"/>
    </row>
    <row r="23" spans="1:35" s="44" customFormat="1" ht="18.75" customHeight="1" x14ac:dyDescent="0.35">
      <c r="A23" s="60" t="s">
        <v>71</v>
      </c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8"/>
      <c r="Z23" s="88"/>
      <c r="AA23" s="88"/>
      <c r="AB23" s="88"/>
      <c r="AC23" s="88"/>
      <c r="AD23" s="88"/>
      <c r="AE23" s="88"/>
      <c r="AF23" s="88"/>
      <c r="AG23" s="103">
        <f t="shared" si="0"/>
        <v>0</v>
      </c>
      <c r="AH23" s="48"/>
      <c r="AI23" s="48"/>
    </row>
    <row r="24" spans="1:35" s="44" customFormat="1" ht="18.75" customHeight="1" x14ac:dyDescent="0.35">
      <c r="A24" s="60" t="s">
        <v>72</v>
      </c>
      <c r="B24" s="87"/>
      <c r="C24" s="106">
        <v>3.2</v>
      </c>
      <c r="D24" s="88">
        <v>2.8</v>
      </c>
      <c r="E24" s="88">
        <v>2.9</v>
      </c>
      <c r="F24" s="88">
        <v>3.1</v>
      </c>
      <c r="G24" s="106">
        <v>2.8</v>
      </c>
      <c r="H24" s="88">
        <v>3.5</v>
      </c>
      <c r="I24" s="106">
        <v>3.1</v>
      </c>
      <c r="J24" s="88">
        <v>4.2</v>
      </c>
      <c r="K24" s="106">
        <v>3.1</v>
      </c>
      <c r="L24" s="88">
        <v>2.1</v>
      </c>
      <c r="M24" s="88">
        <v>3.5</v>
      </c>
      <c r="N24" s="88">
        <v>4.0999999999999996</v>
      </c>
      <c r="O24" s="88">
        <v>3.3</v>
      </c>
      <c r="P24" s="106">
        <v>3.1</v>
      </c>
      <c r="Q24" s="106">
        <v>4.8</v>
      </c>
      <c r="R24" s="88">
        <v>5.0999999999999996</v>
      </c>
      <c r="S24" s="88">
        <v>4.2</v>
      </c>
      <c r="T24" s="88">
        <v>4</v>
      </c>
      <c r="U24" s="106">
        <v>3.5</v>
      </c>
      <c r="V24" s="106">
        <v>2.1</v>
      </c>
      <c r="W24" s="106">
        <v>2.5</v>
      </c>
      <c r="X24" s="106">
        <v>0.5</v>
      </c>
      <c r="Y24" s="88">
        <v>2.1</v>
      </c>
      <c r="Z24" s="106">
        <v>0.5</v>
      </c>
      <c r="AA24" s="106">
        <v>2.1</v>
      </c>
      <c r="AB24" s="106">
        <v>3.1</v>
      </c>
      <c r="AC24" s="106">
        <v>2.1</v>
      </c>
      <c r="AD24" s="106">
        <v>2.8</v>
      </c>
      <c r="AE24" s="106">
        <v>3.2</v>
      </c>
      <c r="AF24" s="88">
        <v>3.8</v>
      </c>
      <c r="AG24" s="103">
        <f t="shared" si="0"/>
        <v>91.199999999999974</v>
      </c>
      <c r="AH24" s="48"/>
      <c r="AI24" s="48"/>
    </row>
    <row r="25" spans="1:35" s="44" customFormat="1" ht="18.75" customHeight="1" x14ac:dyDescent="0.35">
      <c r="A25" s="60" t="s">
        <v>85</v>
      </c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103">
        <f t="shared" si="0"/>
        <v>0</v>
      </c>
      <c r="AH25" s="48"/>
      <c r="AI25" s="48"/>
    </row>
    <row r="26" spans="1:35" s="44" customFormat="1" ht="18.75" customHeight="1" x14ac:dyDescent="0.35">
      <c r="A26" s="60" t="s">
        <v>153</v>
      </c>
      <c r="B26" s="87"/>
      <c r="C26" s="87"/>
      <c r="D26" s="87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>
        <v>2.2999999999999998</v>
      </c>
      <c r="S26" s="87"/>
      <c r="T26" s="87">
        <v>1.5</v>
      </c>
      <c r="U26" s="87"/>
      <c r="V26" s="87">
        <v>1.9</v>
      </c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103">
        <f t="shared" si="0"/>
        <v>5.6999999999999993</v>
      </c>
      <c r="AH26" s="48"/>
      <c r="AI26" s="48"/>
    </row>
    <row r="27" spans="1:35" s="44" customFormat="1" ht="18.75" customHeight="1" x14ac:dyDescent="0.35">
      <c r="A27" s="60" t="s">
        <v>73</v>
      </c>
      <c r="B27" s="87"/>
      <c r="C27" s="87"/>
      <c r="D27" s="87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103">
        <f t="shared" si="0"/>
        <v>0</v>
      </c>
      <c r="AH27" s="48"/>
      <c r="AI27" s="48"/>
    </row>
    <row r="28" spans="1:35" s="44" customFormat="1" ht="18.75" customHeight="1" x14ac:dyDescent="0.35">
      <c r="A28" s="60" t="s">
        <v>92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103">
        <f t="shared" si="0"/>
        <v>0</v>
      </c>
      <c r="AH28" s="48"/>
      <c r="AI28" s="48"/>
    </row>
    <row r="29" spans="1:35" s="44" customFormat="1" ht="18.75" customHeight="1" x14ac:dyDescent="0.35">
      <c r="A29" s="60" t="s">
        <v>89</v>
      </c>
      <c r="B29" s="87"/>
      <c r="C29" s="87"/>
      <c r="D29" s="87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103">
        <f t="shared" si="0"/>
        <v>0</v>
      </c>
      <c r="AH29" s="48"/>
      <c r="AI29" s="48"/>
    </row>
    <row r="30" spans="1:35" s="44" customFormat="1" ht="18.75" customHeight="1" x14ac:dyDescent="0.35">
      <c r="A30" s="60" t="s">
        <v>74</v>
      </c>
      <c r="B30" s="87">
        <v>3.1</v>
      </c>
      <c r="C30" s="87">
        <v>2.1</v>
      </c>
      <c r="D30" s="87">
        <v>23.2</v>
      </c>
      <c r="E30" s="87">
        <v>3</v>
      </c>
      <c r="F30" s="87">
        <v>2.2000000000000002</v>
      </c>
      <c r="G30" s="87">
        <v>3.1</v>
      </c>
      <c r="H30" s="87">
        <v>2.2000000000000002</v>
      </c>
      <c r="I30" s="87">
        <v>2</v>
      </c>
      <c r="J30" s="87">
        <v>3.1</v>
      </c>
      <c r="K30" s="87">
        <v>3</v>
      </c>
      <c r="L30" s="87">
        <v>2.1</v>
      </c>
      <c r="M30" s="87">
        <v>3</v>
      </c>
      <c r="N30" s="87">
        <v>2.1</v>
      </c>
      <c r="O30" s="87">
        <v>4.2</v>
      </c>
      <c r="P30" s="87">
        <v>3.7</v>
      </c>
      <c r="Q30" s="87">
        <v>2.2000000000000002</v>
      </c>
      <c r="R30" s="87">
        <v>3.8</v>
      </c>
      <c r="S30" s="87">
        <v>2.2000000000000002</v>
      </c>
      <c r="T30" s="87">
        <v>2</v>
      </c>
      <c r="U30" s="87">
        <v>3.4</v>
      </c>
      <c r="V30" s="87">
        <v>4.4000000000000004</v>
      </c>
      <c r="W30" s="87">
        <v>3</v>
      </c>
      <c r="X30" s="87">
        <v>2</v>
      </c>
      <c r="Y30" s="87">
        <v>3.1</v>
      </c>
      <c r="Z30" s="87">
        <v>2.9</v>
      </c>
      <c r="AA30" s="87">
        <v>3.5</v>
      </c>
      <c r="AB30" s="87">
        <v>2.1</v>
      </c>
      <c r="AC30" s="87">
        <v>3.7</v>
      </c>
      <c r="AD30" s="87">
        <v>2.6</v>
      </c>
      <c r="AE30" s="87">
        <v>3.5</v>
      </c>
      <c r="AF30" s="87">
        <v>3</v>
      </c>
      <c r="AG30" s="103">
        <f t="shared" si="0"/>
        <v>109.50000000000001</v>
      </c>
      <c r="AH30" s="48"/>
      <c r="AI30" s="48"/>
    </row>
    <row r="31" spans="1:35" s="44" customFormat="1" ht="18.75" customHeight="1" x14ac:dyDescent="0.35">
      <c r="A31" s="60" t="s">
        <v>75</v>
      </c>
      <c r="B31" s="87"/>
      <c r="C31" s="87"/>
      <c r="D31" s="87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103">
        <f t="shared" si="0"/>
        <v>0</v>
      </c>
      <c r="AH31" s="48"/>
      <c r="AI31" s="48"/>
    </row>
    <row r="32" spans="1:35" s="44" customFormat="1" ht="18.75" customHeight="1" x14ac:dyDescent="0.35">
      <c r="A32" s="60" t="s">
        <v>77</v>
      </c>
      <c r="B32" s="87"/>
      <c r="C32" s="87"/>
      <c r="D32" s="87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103">
        <f t="shared" si="0"/>
        <v>0</v>
      </c>
      <c r="AH32" s="48"/>
      <c r="AI32" s="48"/>
    </row>
    <row r="33" spans="1:35" s="44" customFormat="1" ht="18.75" customHeight="1" x14ac:dyDescent="0.35">
      <c r="A33" s="60" t="s">
        <v>78</v>
      </c>
      <c r="B33" s="87"/>
      <c r="C33" s="87"/>
      <c r="D33" s="87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103">
        <f t="shared" si="0"/>
        <v>0</v>
      </c>
      <c r="AH33" s="48"/>
      <c r="AI33" s="48"/>
    </row>
    <row r="34" spans="1:35" s="44" customFormat="1" ht="18.75" customHeight="1" x14ac:dyDescent="0.35">
      <c r="A34" s="60" t="s">
        <v>79</v>
      </c>
      <c r="B34" s="87"/>
      <c r="C34" s="87"/>
      <c r="D34" s="87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103">
        <f t="shared" si="0"/>
        <v>0</v>
      </c>
      <c r="AH34" s="48"/>
      <c r="AI34" s="48"/>
    </row>
    <row r="35" spans="1:35" s="44" customFormat="1" ht="18.75" customHeight="1" x14ac:dyDescent="0.35">
      <c r="A35" s="60" t="s">
        <v>154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8"/>
      <c r="W35" s="88"/>
      <c r="X35" s="88"/>
      <c r="Y35" s="88"/>
      <c r="Z35" s="88"/>
      <c r="AA35" s="88"/>
      <c r="AB35" s="88"/>
      <c r="AC35" s="88"/>
      <c r="AD35" s="88"/>
      <c r="AE35" s="88"/>
      <c r="AF35" s="88"/>
      <c r="AG35" s="103">
        <f t="shared" si="0"/>
        <v>0</v>
      </c>
      <c r="AH35" s="48"/>
      <c r="AI35" s="48"/>
    </row>
    <row r="36" spans="1:35" s="44" customFormat="1" ht="18.75" customHeight="1" x14ac:dyDescent="0.35">
      <c r="A36" s="60" t="s">
        <v>80</v>
      </c>
      <c r="B36" s="88"/>
      <c r="C36" s="88"/>
      <c r="D36" s="88"/>
      <c r="E36" s="88"/>
      <c r="F36" s="88"/>
      <c r="G36" s="88"/>
      <c r="H36" s="88"/>
      <c r="I36" s="88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103">
        <f t="shared" si="0"/>
        <v>0</v>
      </c>
      <c r="AH36" s="48"/>
      <c r="AI36" s="48"/>
    </row>
    <row r="37" spans="1:35" s="44" customFormat="1" ht="18.75" customHeight="1" x14ac:dyDescent="0.35">
      <c r="A37" s="60" t="s">
        <v>76</v>
      </c>
      <c r="B37" s="88"/>
      <c r="C37" s="88"/>
      <c r="D37" s="88"/>
      <c r="E37" s="88"/>
      <c r="F37" s="88"/>
      <c r="G37" s="88"/>
      <c r="H37" s="88"/>
      <c r="I37" s="88"/>
      <c r="J37" s="88"/>
      <c r="K37" s="88"/>
      <c r="L37" s="88"/>
      <c r="M37" s="88"/>
      <c r="N37" s="88"/>
      <c r="O37" s="88"/>
      <c r="P37" s="88"/>
      <c r="Q37" s="88"/>
      <c r="R37" s="88"/>
      <c r="S37" s="88"/>
      <c r="T37" s="88"/>
      <c r="U37" s="88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103">
        <f t="shared" si="0"/>
        <v>0</v>
      </c>
      <c r="AH37" s="48"/>
      <c r="AI37" s="48"/>
    </row>
    <row r="38" spans="1:35" s="44" customFormat="1" ht="18.75" customHeight="1" x14ac:dyDescent="0.35">
      <c r="A38" s="60" t="s">
        <v>81</v>
      </c>
      <c r="B38" s="106">
        <f>2.1+4.2+2.4</f>
        <v>8.7000000000000011</v>
      </c>
      <c r="C38" s="106">
        <f>2.1+3+2.1</f>
        <v>7.1999999999999993</v>
      </c>
      <c r="D38" s="88">
        <f>2.1+2.2+2.1</f>
        <v>6.4</v>
      </c>
      <c r="E38" s="88">
        <f>3.1+3+3.1</f>
        <v>9.1999999999999993</v>
      </c>
      <c r="F38" s="88">
        <f>2.1+3.1+2.1</f>
        <v>7.3000000000000007</v>
      </c>
      <c r="G38" s="106">
        <f>3.1+2+3</f>
        <v>8.1</v>
      </c>
      <c r="H38" s="88">
        <f>2.1+3+3.1</f>
        <v>8.1999999999999993</v>
      </c>
      <c r="I38" s="106">
        <f>2.1+3+2.2</f>
        <v>7.3</v>
      </c>
      <c r="J38" s="88">
        <f>2.1+2.3+2.4</f>
        <v>6.8000000000000007</v>
      </c>
      <c r="K38" s="106">
        <f>2+3.4+4.1</f>
        <v>9.5</v>
      </c>
      <c r="L38" s="88">
        <f>3.2+2.4+5.1</f>
        <v>10.7</v>
      </c>
      <c r="M38" s="88">
        <f>2.4+3.2+3.1</f>
        <v>8.6999999999999993</v>
      </c>
      <c r="N38" s="88">
        <f>4.1+3.2+2</f>
        <v>9.3000000000000007</v>
      </c>
      <c r="O38" s="88">
        <f>3+2.4+3.3</f>
        <v>8.6999999999999993</v>
      </c>
      <c r="P38" s="106">
        <f>4.1+3.2+3.1</f>
        <v>10.4</v>
      </c>
      <c r="Q38" s="106">
        <f>3+2.4+3</f>
        <v>8.4</v>
      </c>
      <c r="R38" s="88">
        <f>3.1+2.6+3.3</f>
        <v>9</v>
      </c>
      <c r="S38" s="88">
        <f>4.1+3.3+5</f>
        <v>12.399999999999999</v>
      </c>
      <c r="T38" s="88">
        <f>4.3+3.4+4.1</f>
        <v>11.799999999999999</v>
      </c>
      <c r="U38" s="106">
        <f>3.2+3.4+3.5</f>
        <v>10.1</v>
      </c>
      <c r="V38" s="106">
        <f>3.2+4+3.5</f>
        <v>10.7</v>
      </c>
      <c r="W38" s="106">
        <f>4.1+3.5+2.7</f>
        <v>10.3</v>
      </c>
      <c r="X38" s="106">
        <f>5.132+4.1</f>
        <v>9.2319999999999993</v>
      </c>
      <c r="Y38" s="88">
        <f>2.7+3.5+3.1</f>
        <v>9.3000000000000007</v>
      </c>
      <c r="Z38" s="106">
        <f>3.6+4.2+5.1</f>
        <v>12.9</v>
      </c>
      <c r="AA38" s="106">
        <f>5.2+4.2+3.2</f>
        <v>12.600000000000001</v>
      </c>
      <c r="AB38" s="106">
        <f>4.2+3.6+2.1</f>
        <v>9.9</v>
      </c>
      <c r="AC38" s="106">
        <f>5.1+4.2+3.1</f>
        <v>12.4</v>
      </c>
      <c r="AD38" s="106">
        <f>4.1+3+4.1</f>
        <v>11.2</v>
      </c>
      <c r="AE38" s="106">
        <f>5.1+3.4+1.1</f>
        <v>9.6</v>
      </c>
      <c r="AF38" s="88">
        <f>3.1+5.1+4.1</f>
        <v>12.299999999999999</v>
      </c>
      <c r="AG38" s="103">
        <f t="shared" si="0"/>
        <v>298.63200000000006</v>
      </c>
      <c r="AH38" s="48"/>
      <c r="AI38" s="48"/>
    </row>
    <row r="39" spans="1:35" s="44" customFormat="1" ht="18.75" customHeight="1" x14ac:dyDescent="0.35">
      <c r="A39" s="60" t="s">
        <v>86</v>
      </c>
      <c r="B39" s="88"/>
      <c r="C39" s="88"/>
      <c r="D39" s="88"/>
      <c r="E39" s="88"/>
      <c r="F39" s="88"/>
      <c r="G39" s="88"/>
      <c r="H39" s="88"/>
      <c r="I39" s="88"/>
      <c r="J39" s="88"/>
      <c r="K39" s="88"/>
      <c r="L39" s="88"/>
      <c r="M39" s="88"/>
      <c r="N39" s="88"/>
      <c r="O39" s="88"/>
      <c r="P39" s="88"/>
      <c r="Q39" s="88"/>
      <c r="R39" s="88"/>
      <c r="S39" s="88"/>
      <c r="T39" s="88"/>
      <c r="U39" s="88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103">
        <f t="shared" si="0"/>
        <v>0</v>
      </c>
      <c r="AH39" s="48"/>
      <c r="AI39" s="48"/>
    </row>
    <row r="40" spans="1:35" s="44" customFormat="1" ht="18.75" customHeight="1" x14ac:dyDescent="0.35">
      <c r="A40" s="60" t="s">
        <v>82</v>
      </c>
      <c r="B40" s="88">
        <v>5.6</v>
      </c>
      <c r="C40" s="88">
        <v>4.8</v>
      </c>
      <c r="D40" s="88">
        <v>5.6</v>
      </c>
      <c r="E40" s="88">
        <v>5.2</v>
      </c>
      <c r="F40" s="88">
        <v>4.8</v>
      </c>
      <c r="G40" s="88">
        <v>4.2</v>
      </c>
      <c r="H40" s="88">
        <v>5</v>
      </c>
      <c r="I40" s="88">
        <v>5.5</v>
      </c>
      <c r="J40" s="88">
        <v>4.8</v>
      </c>
      <c r="K40" s="88">
        <v>4.5</v>
      </c>
      <c r="L40" s="88">
        <v>5</v>
      </c>
      <c r="M40" s="88">
        <v>4.2</v>
      </c>
      <c r="N40" s="88">
        <v>4.5</v>
      </c>
      <c r="O40" s="88">
        <v>4.5</v>
      </c>
      <c r="P40" s="88">
        <v>5</v>
      </c>
      <c r="Q40" s="88">
        <v>5.2</v>
      </c>
      <c r="R40" s="88">
        <v>4.5</v>
      </c>
      <c r="S40" s="88">
        <v>4.8</v>
      </c>
      <c r="T40" s="88">
        <v>5</v>
      </c>
      <c r="U40" s="88">
        <v>4.5</v>
      </c>
      <c r="V40" s="88">
        <v>3.8</v>
      </c>
      <c r="W40" s="88">
        <v>4.8</v>
      </c>
      <c r="X40" s="88">
        <v>5</v>
      </c>
      <c r="Y40" s="88" t="s">
        <v>174</v>
      </c>
      <c r="Z40" s="88">
        <v>3.8</v>
      </c>
      <c r="AA40" s="88">
        <v>3.9</v>
      </c>
      <c r="AB40" s="88">
        <v>5</v>
      </c>
      <c r="AC40" s="88">
        <v>4.8</v>
      </c>
      <c r="AD40" s="88">
        <v>5.2</v>
      </c>
      <c r="AE40" s="88">
        <v>3.8</v>
      </c>
      <c r="AF40" s="88">
        <v>4.2</v>
      </c>
      <c r="AG40" s="103">
        <f t="shared" si="0"/>
        <v>141.5</v>
      </c>
      <c r="AH40" s="48"/>
      <c r="AI40" s="48"/>
    </row>
    <row r="41" spans="1:35" s="44" customFormat="1" ht="18.75" customHeight="1" x14ac:dyDescent="0.35">
      <c r="A41" s="60" t="s">
        <v>178</v>
      </c>
      <c r="B41" s="88"/>
      <c r="C41" s="88"/>
      <c r="D41" s="88"/>
      <c r="E41" s="88"/>
      <c r="F41" s="88"/>
      <c r="G41" s="88"/>
      <c r="H41" s="88"/>
      <c r="I41" s="88"/>
      <c r="J41" s="88"/>
      <c r="K41" s="88"/>
      <c r="L41" s="88"/>
      <c r="M41" s="88"/>
      <c r="N41" s="88"/>
      <c r="O41" s="88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103">
        <f t="shared" si="0"/>
        <v>0</v>
      </c>
      <c r="AH41" s="57"/>
      <c r="AI41" s="57"/>
    </row>
    <row r="42" spans="1:35" s="2" customFormat="1" ht="19.5" x14ac:dyDescent="0.35">
      <c r="A42" s="59" t="s">
        <v>155</v>
      </c>
      <c r="B42" s="87">
        <f>SUM(B4:B41)</f>
        <v>31.200000000000003</v>
      </c>
      <c r="C42" s="87">
        <f t="shared" ref="C42:AF42" si="1">SUM(C4:C41)</f>
        <v>26.099999999999998</v>
      </c>
      <c r="D42" s="87">
        <f t="shared" si="1"/>
        <v>48.900000000000006</v>
      </c>
      <c r="E42" s="87">
        <f t="shared" si="1"/>
        <v>30.9</v>
      </c>
      <c r="F42" s="87">
        <f t="shared" si="1"/>
        <v>28.2</v>
      </c>
      <c r="G42" s="87">
        <f t="shared" si="1"/>
        <v>30.8</v>
      </c>
      <c r="H42" s="87">
        <f t="shared" si="1"/>
        <v>31.499999999999996</v>
      </c>
      <c r="I42" s="87">
        <f t="shared" si="1"/>
        <v>28.2</v>
      </c>
      <c r="J42" s="87">
        <f t="shared" si="1"/>
        <v>30.1</v>
      </c>
      <c r="K42" s="87">
        <f t="shared" si="1"/>
        <v>30.2</v>
      </c>
      <c r="L42" s="87">
        <f t="shared" si="1"/>
        <v>28.099999999999998</v>
      </c>
      <c r="M42" s="87">
        <f t="shared" si="1"/>
        <v>28.4</v>
      </c>
      <c r="N42" s="87">
        <f t="shared" si="1"/>
        <v>28.5</v>
      </c>
      <c r="O42" s="87">
        <f t="shared" si="1"/>
        <v>30.9</v>
      </c>
      <c r="P42" s="87">
        <f t="shared" si="1"/>
        <v>32.200000000000003</v>
      </c>
      <c r="Q42" s="87">
        <f t="shared" si="1"/>
        <v>30.8</v>
      </c>
      <c r="R42" s="87">
        <f t="shared" si="1"/>
        <v>33.5</v>
      </c>
      <c r="S42" s="87">
        <f t="shared" si="1"/>
        <v>35.099999999999994</v>
      </c>
      <c r="T42" s="87">
        <f t="shared" si="1"/>
        <v>35.9</v>
      </c>
      <c r="U42" s="87">
        <f t="shared" si="1"/>
        <v>30.799999999999997</v>
      </c>
      <c r="V42" s="87">
        <f t="shared" si="1"/>
        <v>31.5</v>
      </c>
      <c r="W42" s="87">
        <f t="shared" si="1"/>
        <v>29.8</v>
      </c>
      <c r="X42" s="87">
        <f t="shared" si="1"/>
        <v>26.931999999999999</v>
      </c>
      <c r="Y42" s="87">
        <f t="shared" si="1"/>
        <v>23.3</v>
      </c>
      <c r="Z42" s="87">
        <f t="shared" si="1"/>
        <v>32.1</v>
      </c>
      <c r="AA42" s="87">
        <f t="shared" si="1"/>
        <v>31</v>
      </c>
      <c r="AB42" s="87">
        <f t="shared" si="1"/>
        <v>29.1</v>
      </c>
      <c r="AC42" s="87">
        <f t="shared" si="1"/>
        <v>31.8</v>
      </c>
      <c r="AD42" s="87">
        <f t="shared" si="1"/>
        <v>31.7</v>
      </c>
      <c r="AE42" s="87">
        <f t="shared" si="1"/>
        <v>29.499999999999996</v>
      </c>
      <c r="AF42" s="87">
        <f t="shared" si="1"/>
        <v>32.5</v>
      </c>
      <c r="AG42" s="105">
        <f>SUM(B42:AF42)</f>
        <v>959.53199999999993</v>
      </c>
    </row>
    <row r="43" spans="1:35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4">
        <f>SUM(AG4:AG41)</f>
        <v>959.53200000000004</v>
      </c>
    </row>
  </sheetData>
  <mergeCells count="1">
    <mergeCell ref="A1:A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141</vt:i4>
      </vt:variant>
    </vt:vector>
  </HeadingPairs>
  <TitlesOfParts>
    <vt:vector size="141" baseType="lpstr">
      <vt:lpstr>RESIDUOS_POR_AÑO</vt:lpstr>
      <vt:lpstr>TOTAL DE RESIDUOS_2023</vt:lpstr>
      <vt:lpstr>MESES 2023</vt:lpstr>
      <vt:lpstr>PAP_01_23 </vt:lpstr>
      <vt:lpstr>PAP_02_23  </vt:lpstr>
      <vt:lpstr>PAP_03_23  </vt:lpstr>
      <vt:lpstr>PAP_04_23</vt:lpstr>
      <vt:lpstr>PAP_05-23</vt:lpstr>
      <vt:lpstr>PAP_04_22   </vt:lpstr>
      <vt:lpstr>PAP_05_22</vt:lpstr>
      <vt:lpstr>PAP_06_22 </vt:lpstr>
      <vt:lpstr>PAP_07_22  </vt:lpstr>
      <vt:lpstr>PAP_12_22 </vt:lpstr>
      <vt:lpstr>PAP_06_23</vt:lpstr>
      <vt:lpstr>PAP_07_23</vt:lpstr>
      <vt:lpstr>PAP_08_23  </vt:lpstr>
      <vt:lpstr>PAP_09_23   </vt:lpstr>
      <vt:lpstr>PAP_10_23  </vt:lpstr>
      <vt:lpstr>PAP_11_23  </vt:lpstr>
      <vt:lpstr>PAP_12_23</vt:lpstr>
      <vt:lpstr>VER_01_23</vt:lpstr>
      <vt:lpstr>VER_02_23 </vt:lpstr>
      <vt:lpstr>VER_03_23 </vt:lpstr>
      <vt:lpstr>VER_04_23</vt:lpstr>
      <vt:lpstr>VER_05_23 </vt:lpstr>
      <vt:lpstr>VER_04_22  </vt:lpstr>
      <vt:lpstr>VER_05_22</vt:lpstr>
      <vt:lpstr>VER_06_22 </vt:lpstr>
      <vt:lpstr>VER_06_23 </vt:lpstr>
      <vt:lpstr>VER_07_23 </vt:lpstr>
      <vt:lpstr>VER_08_23</vt:lpstr>
      <vt:lpstr>VER_09_23</vt:lpstr>
      <vt:lpstr>VER_10_23 </vt:lpstr>
      <vt:lpstr>VER_11_23 </vt:lpstr>
      <vt:lpstr>VER_12_23</vt:lpstr>
      <vt:lpstr>GRI_01_23</vt:lpstr>
      <vt:lpstr>GRI_02_23</vt:lpstr>
      <vt:lpstr>GRI_03_23</vt:lpstr>
      <vt:lpstr>GRI_04_23 </vt:lpstr>
      <vt:lpstr>GRI_05_23</vt:lpstr>
      <vt:lpstr>GRI_06_23 </vt:lpstr>
      <vt:lpstr>GRI_04_22</vt:lpstr>
      <vt:lpstr>GRI_05_22 </vt:lpstr>
      <vt:lpstr>GRI_06_22 </vt:lpstr>
      <vt:lpstr>GRI_07_23 </vt:lpstr>
      <vt:lpstr>GRI_08_23 </vt:lpstr>
      <vt:lpstr>GRI_09_23</vt:lpstr>
      <vt:lpstr>GRI_10_23</vt:lpstr>
      <vt:lpstr>GRI_11_23</vt:lpstr>
      <vt:lpstr>GRI_12_23</vt:lpstr>
      <vt:lpstr>NEG_01_23</vt:lpstr>
      <vt:lpstr>NEG_02_23</vt:lpstr>
      <vt:lpstr>NEG_03_23</vt:lpstr>
      <vt:lpstr>NEG_04_23</vt:lpstr>
      <vt:lpstr>NEG_05_23</vt:lpstr>
      <vt:lpstr>NEG_06_23</vt:lpstr>
      <vt:lpstr>NEG_07_23</vt:lpstr>
      <vt:lpstr>NEG_08_23</vt:lpstr>
      <vt:lpstr>NEG_9_23</vt:lpstr>
      <vt:lpstr>NEG_10_23</vt:lpstr>
      <vt:lpstr>NEG_11_23</vt:lpstr>
      <vt:lpstr>NEG_12_23</vt:lpstr>
      <vt:lpstr>PLA_01_23</vt:lpstr>
      <vt:lpstr>PLA_02_23</vt:lpstr>
      <vt:lpstr>PLA_03_23  </vt:lpstr>
      <vt:lpstr>PLA_04_23</vt:lpstr>
      <vt:lpstr>PLA_05_23</vt:lpstr>
      <vt:lpstr>PLA_06_23 </vt:lpstr>
      <vt:lpstr>PLA_04_22   </vt:lpstr>
      <vt:lpstr>PLA_05_22    </vt:lpstr>
      <vt:lpstr>PLA_06_22  </vt:lpstr>
      <vt:lpstr>PLA_07_23 </vt:lpstr>
      <vt:lpstr>PLA_08_22</vt:lpstr>
      <vt:lpstr>PLA_8_23</vt:lpstr>
      <vt:lpstr>PLA_09_23 </vt:lpstr>
      <vt:lpstr>PLA_10_23 </vt:lpstr>
      <vt:lpstr>PLA_11_23</vt:lpstr>
      <vt:lpstr>PLA_12_23 </vt:lpstr>
      <vt:lpstr>ICOPOR_01_19</vt:lpstr>
      <vt:lpstr>PAP_2_20</vt:lpstr>
      <vt:lpstr>PAP_3_20</vt:lpstr>
      <vt:lpstr>PAP_4_20</vt:lpstr>
      <vt:lpstr>PAP_5_20</vt:lpstr>
      <vt:lpstr>PAP_6_20</vt:lpstr>
      <vt:lpstr>PAP_7_20</vt:lpstr>
      <vt:lpstr>PAP_8_20</vt:lpstr>
      <vt:lpstr>PAPEL_9_19</vt:lpstr>
      <vt:lpstr>PAPEL_10_19</vt:lpstr>
      <vt:lpstr>PAPEL_11_19</vt:lpstr>
      <vt:lpstr>PAPEL_12_19</vt:lpstr>
      <vt:lpstr>PLA_2_20</vt:lpstr>
      <vt:lpstr>PLA_3_20</vt:lpstr>
      <vt:lpstr>PLA_4_20</vt:lpstr>
      <vt:lpstr>PLA_5_20</vt:lpstr>
      <vt:lpstr>PLA_6_20</vt:lpstr>
      <vt:lpstr>PLASTICO_9_19</vt:lpstr>
      <vt:lpstr>PLASTICO_10_19</vt:lpstr>
      <vt:lpstr>PLASTICO_11_19</vt:lpstr>
      <vt:lpstr>PLASTICO_12_19</vt:lpstr>
      <vt:lpstr>GRI_2_20</vt:lpstr>
      <vt:lpstr>GRI_3_20</vt:lpstr>
      <vt:lpstr>GRI_4_20</vt:lpstr>
      <vt:lpstr>GRI_5_20</vt:lpstr>
      <vt:lpstr>GRI_6_20</vt:lpstr>
      <vt:lpstr>GRI_7_20</vt:lpstr>
      <vt:lpstr>GRI_8_20</vt:lpstr>
      <vt:lpstr>GRIS_9_19</vt:lpstr>
      <vt:lpstr>GRIS_10_19</vt:lpstr>
      <vt:lpstr>GRIS_11_19</vt:lpstr>
      <vt:lpstr>GRIS_12_19</vt:lpstr>
      <vt:lpstr>VER_2_20</vt:lpstr>
      <vt:lpstr>VER_3_20</vt:lpstr>
      <vt:lpstr>VER_4_19</vt:lpstr>
      <vt:lpstr>VER_5_20</vt:lpstr>
      <vt:lpstr>VER_6_20</vt:lpstr>
      <vt:lpstr>VER_7_20</vt:lpstr>
      <vt:lpstr>VER_8_20</vt:lpstr>
      <vt:lpstr>VERDE_9_19</vt:lpstr>
      <vt:lpstr>VERDE_10_19</vt:lpstr>
      <vt:lpstr>VERDE_11_19</vt:lpstr>
      <vt:lpstr>VERDE_12_19</vt:lpstr>
      <vt:lpstr>NEGRA_09_19</vt:lpstr>
      <vt:lpstr>NEGRA_10_19</vt:lpstr>
      <vt:lpstr>NEGRA_11_19</vt:lpstr>
      <vt:lpstr>NEGRA_12_19</vt:lpstr>
      <vt:lpstr>PAP_9_20</vt:lpstr>
      <vt:lpstr>PLA_9_20</vt:lpstr>
      <vt:lpstr>VER_9_20</vt:lpstr>
      <vt:lpstr>GRIS_9_20</vt:lpstr>
      <vt:lpstr>PAP_10_20</vt:lpstr>
      <vt:lpstr>PLA_10_20</vt:lpstr>
      <vt:lpstr>GRIS_10_20</vt:lpstr>
      <vt:lpstr>VER_10_20</vt:lpstr>
      <vt:lpstr>PAP_11_20</vt:lpstr>
      <vt:lpstr>PLA_11_20</vt:lpstr>
      <vt:lpstr>VER_11_20</vt:lpstr>
      <vt:lpstr>GRIS_11_20</vt:lpstr>
      <vt:lpstr>PLAS_12_20</vt:lpstr>
      <vt:lpstr>VER_12_20</vt:lpstr>
      <vt:lpstr>GRIS_12_20</vt:lpstr>
      <vt:lpstr>Hoja3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HUDN3</dc:creator>
  <cp:lastModifiedBy>USUARIO</cp:lastModifiedBy>
  <cp:lastPrinted>2022-06-14T15:11:39Z</cp:lastPrinted>
  <dcterms:created xsi:type="dcterms:W3CDTF">2018-02-07T14:13:25Z</dcterms:created>
  <dcterms:modified xsi:type="dcterms:W3CDTF">2023-08-28T21:55:46Z</dcterms:modified>
</cp:coreProperties>
</file>