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60F84F9F-B542-48C1-AE3E-646883493549}" xr6:coauthVersionLast="47" xr6:coauthVersionMax="47" xr10:uidLastSave="{00000000-0000-0000-0000-000000000000}"/>
  <bookViews>
    <workbookView xWindow="0" yWindow="0" windowWidth="14400" windowHeight="1740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4" r:id="rId12"/>
  </pivotCaches>
</workbook>
</file>

<file path=xl/calcChain.xml><?xml version="1.0" encoding="utf-8"?>
<calcChain xmlns="http://schemas.openxmlformats.org/spreadsheetml/2006/main">
  <c r="T10" i="1" l="1"/>
  <c r="Q10" i="1"/>
  <c r="H10" i="1"/>
  <c r="I10" i="1" s="1"/>
  <c r="K57" i="1"/>
  <c r="K60" i="1"/>
  <c r="K48" i="1"/>
  <c r="K67" i="1"/>
  <c r="K35" i="1"/>
  <c r="K23" i="1"/>
  <c r="K25" i="1"/>
  <c r="K63" i="1"/>
  <c r="K68" i="1"/>
  <c r="K41" i="1"/>
  <c r="K66" i="1"/>
  <c r="K59" i="1"/>
  <c r="K51" i="1"/>
  <c r="K38" i="1"/>
  <c r="K65" i="1"/>
  <c r="K61" i="1"/>
  <c r="K56" i="1"/>
  <c r="K53" i="1"/>
  <c r="K27" i="1"/>
  <c r="K50" i="1"/>
  <c r="K44" i="1"/>
  <c r="K62" i="1"/>
  <c r="K20" i="1"/>
  <c r="K24" i="1"/>
  <c r="K29" i="1"/>
  <c r="K19" i="1"/>
  <c r="K47" i="1"/>
  <c r="K18" i="1"/>
  <c r="K49" i="1"/>
  <c r="K31" i="1"/>
  <c r="K55" i="1"/>
  <c r="K21" i="1"/>
  <c r="K69" i="1"/>
  <c r="K45" i="1"/>
  <c r="K32" i="1"/>
  <c r="K26" i="1"/>
  <c r="K17" i="1"/>
  <c r="K43" i="1"/>
  <c r="K37" i="1"/>
  <c r="K54" i="1"/>
  <c r="K42" i="1"/>
  <c r="K33" i="1"/>
  <c r="K30" i="1"/>
  <c r="K39" i="1"/>
  <c r="K36" i="1"/>
  <c r="F221" i="13" l="1"/>
  <c r="F211" i="13"/>
  <c r="F212" i="13"/>
  <c r="F213" i="13"/>
  <c r="F214" i="13"/>
  <c r="F215" i="13"/>
  <c r="F216" i="13"/>
  <c r="F217" i="13"/>
  <c r="F218" i="13"/>
  <c r="F219" i="13"/>
  <c r="F220" i="13"/>
  <c r="F210" i="13"/>
  <c r="K14" i="1"/>
  <c r="K15" i="1"/>
  <c r="K11" i="1"/>
  <c r="K13" i="1"/>
  <c r="B221" i="13" a="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3" i="1"/>
  <c r="AB17" i="1"/>
  <c r="AB35" i="1"/>
  <c r="AB24" i="1" l="1"/>
  <c r="AB65" i="1"/>
  <c r="AA65" i="1" s="1"/>
  <c r="AB12" i="1"/>
  <c r="AA66" i="1"/>
  <c r="AB67" i="1"/>
  <c r="AB36" i="1"/>
  <c r="AA35" i="1"/>
  <c r="AB42" i="1"/>
  <c r="AA42" i="1" s="1"/>
  <c r="AB43" i="1"/>
  <c r="AB48" i="1"/>
  <c r="AA48" i="1" s="1"/>
  <c r="AB49" i="1"/>
  <c r="AA49" i="1" s="1"/>
  <c r="AB18" i="1"/>
  <c r="AA17" i="1"/>
  <c r="AA53" i="1"/>
  <c r="AB54" i="1"/>
  <c r="AA59" i="1"/>
  <c r="AB60"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22" i="1"/>
  <c r="L22" i="1" s="1"/>
  <c r="K64" i="1"/>
  <c r="L64" i="1" s="1"/>
  <c r="K52" i="1"/>
  <c r="L52" i="1" s="1"/>
  <c r="K58" i="1"/>
  <c r="L58" i="1" s="1"/>
  <c r="K16" i="1"/>
  <c r="L16" i="1" s="1"/>
  <c r="R34" i="18" l="1"/>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AA52" i="1" s="1"/>
  <c r="L10" i="18"/>
  <c r="L18"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AF30" i="18"/>
  <c r="T14" i="18"/>
  <c r="Z22" i="18"/>
  <c r="AL38" i="18"/>
  <c r="T30" i="18"/>
  <c r="N14" i="18"/>
  <c r="T38" i="18"/>
  <c r="AL6" i="18"/>
  <c r="T22" i="18"/>
  <c r="Z14" i="18"/>
  <c r="AL14" i="18"/>
  <c r="Z38" i="18"/>
  <c r="N22" i="18"/>
  <c r="AF22" i="18"/>
  <c r="Z6" i="18"/>
  <c r="N6" i="18"/>
  <c r="M22" i="1"/>
  <c r="AB22" i="1" s="1"/>
  <c r="AF6" i="18"/>
  <c r="AF14" i="18"/>
  <c r="AF38" i="18"/>
  <c r="N38" i="18"/>
  <c r="N22" i="1"/>
  <c r="AL30" i="18"/>
  <c r="Z30" i="18"/>
  <c r="AL22" i="18"/>
  <c r="N30" i="18"/>
  <c r="T6"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H30" i="18"/>
  <c r="J30" i="18"/>
  <c r="J22" i="18"/>
  <c r="P38" i="18"/>
  <c r="V38" i="18"/>
  <c r="AB6" i="18"/>
  <c r="N10" i="1"/>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L16" i="18"/>
  <c r="AL32" i="18"/>
  <c r="Z40" i="18"/>
  <c r="N40" i="18"/>
  <c r="AL8" i="18"/>
  <c r="Z24" i="18"/>
  <c r="AF8" i="18"/>
  <c r="AL40" i="18"/>
  <c r="Z16" i="18"/>
  <c r="T8" i="18"/>
  <c r="T24" i="18"/>
  <c r="AF16" i="18"/>
  <c r="AL24" i="18"/>
  <c r="Z8" i="18"/>
  <c r="AF40" i="18"/>
  <c r="Z32" i="18"/>
  <c r="N8" i="18"/>
  <c r="N32" i="18"/>
  <c r="M40" i="1"/>
  <c r="AB40" i="1" s="1"/>
  <c r="N16" i="18"/>
  <c r="N40" i="1"/>
  <c r="T40" i="18"/>
  <c r="AC28" i="1" l="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AA40" i="1"/>
  <c r="AB47" i="1"/>
  <c r="AA47" i="1" s="1"/>
  <c r="P54" i="19"/>
  <c r="AB54" i="19"/>
  <c r="J54" i="19"/>
  <c r="AH24" i="19"/>
  <c r="P14" i="19"/>
  <c r="P34" i="19"/>
  <c r="J24" i="19"/>
  <c r="V54" i="19"/>
  <c r="AB24" i="19"/>
  <c r="AH14" i="19"/>
  <c r="AH54" i="19"/>
  <c r="AH44" i="19"/>
  <c r="V34" i="19"/>
  <c r="V24" i="19"/>
  <c r="J34" i="19"/>
  <c r="P44" i="19"/>
  <c r="AB14" i="19"/>
  <c r="AC58" i="1"/>
  <c r="AB44" i="19"/>
  <c r="P24" i="19"/>
  <c r="AH34" i="19"/>
  <c r="V14" i="19"/>
  <c r="J14" i="19"/>
  <c r="AB34" i="19"/>
  <c r="V44" i="19"/>
  <c r="J44" i="19"/>
  <c r="AB10" i="1"/>
  <c r="AA10" i="1" s="1"/>
  <c r="AB11" i="1"/>
  <c r="AA11" i="1" s="1"/>
  <c r="AA22" i="1"/>
  <c r="AB29" i="1"/>
  <c r="AA29" i="1" s="1"/>
  <c r="AA16" i="1"/>
  <c r="AB23" i="1"/>
  <c r="AA23" i="1" s="1"/>
  <c r="AA34" i="1"/>
  <c r="AB41" i="1"/>
  <c r="AA41" i="1" s="1"/>
  <c r="J32" i="19"/>
  <c r="V22" i="19"/>
  <c r="AH42" i="19"/>
  <c r="AB32" i="19"/>
  <c r="V52" i="19"/>
  <c r="P22" i="19"/>
  <c r="V32" i="19"/>
  <c r="AB52" i="19"/>
  <c r="J52" i="19"/>
  <c r="P32" i="19"/>
  <c r="AB42" i="19"/>
  <c r="AB22" i="19"/>
  <c r="P12" i="19"/>
  <c r="P42" i="19"/>
  <c r="AC46" i="1"/>
  <c r="AH12" i="19"/>
  <c r="AB12" i="19"/>
  <c r="V42" i="19"/>
  <c r="AH52" i="19"/>
  <c r="P52" i="19"/>
  <c r="J22" i="19"/>
  <c r="AH32" i="19"/>
  <c r="AH22" i="19"/>
  <c r="J12" i="19"/>
  <c r="J42" i="19"/>
  <c r="V12"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AC18" i="19" l="1"/>
  <c r="AC8" i="19"/>
  <c r="W18" i="19"/>
  <c r="AI8" i="19"/>
  <c r="Q48" i="19"/>
  <c r="AC38" i="19"/>
  <c r="Q28" i="19"/>
  <c r="W38" i="19"/>
  <c r="AI28" i="19"/>
  <c r="K38" i="19"/>
  <c r="Q38" i="19"/>
  <c r="AI38" i="19"/>
  <c r="W28" i="19"/>
  <c r="AI48" i="19"/>
  <c r="W8" i="19"/>
  <c r="Q8" i="19"/>
  <c r="K48" i="19"/>
  <c r="AC48" i="19"/>
  <c r="AC23" i="1"/>
  <c r="W48" i="19"/>
  <c r="K18" i="19"/>
  <c r="AC28" i="19"/>
  <c r="AI18" i="19"/>
  <c r="Q18" i="19"/>
  <c r="K8" i="19"/>
  <c r="K28"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21" i="19"/>
  <c r="AC40" i="1"/>
  <c r="AB31" i="19"/>
  <c r="V31" i="19"/>
  <c r="V21" i="19"/>
  <c r="AH51" i="19"/>
  <c r="P31" i="19"/>
  <c r="AH41" i="19"/>
  <c r="AB51" i="19"/>
  <c r="AH21" i="19"/>
  <c r="AH31" i="19"/>
  <c r="AH11" i="19"/>
  <c r="J11" i="19"/>
  <c r="J31" i="19"/>
  <c r="P41" i="19"/>
  <c r="P21" i="19"/>
  <c r="AB11" i="19"/>
  <c r="V51" i="19"/>
  <c r="J41" i="19"/>
  <c r="V11" i="19"/>
  <c r="AB41" i="19"/>
  <c r="J21" i="19"/>
  <c r="V41" i="19"/>
  <c r="P51" i="19"/>
  <c r="J51" i="19"/>
  <c r="P11" i="19"/>
  <c r="AC11" i="1"/>
  <c r="W36" i="19"/>
  <c r="Q6" i="19"/>
  <c r="AC36" i="19"/>
  <c r="K6" i="19"/>
  <c r="K16" i="19"/>
  <c r="Q16" i="19"/>
  <c r="W46" i="19"/>
  <c r="AI6" i="19"/>
  <c r="K46" i="19"/>
  <c r="AI16" i="19"/>
  <c r="AI46" i="19"/>
  <c r="Q36" i="19"/>
  <c r="AC46" i="19"/>
  <c r="W6" i="19"/>
  <c r="W26" i="19"/>
  <c r="Q46" i="19"/>
  <c r="K26" i="19"/>
  <c r="AC26" i="19"/>
  <c r="AC16" i="19"/>
  <c r="AI36" i="19"/>
  <c r="W16" i="19"/>
  <c r="AI26" i="19"/>
  <c r="K36" i="19"/>
  <c r="AC6" i="19"/>
  <c r="Q26" i="19"/>
  <c r="K42" i="19"/>
  <c r="K22" i="19"/>
  <c r="Q42" i="19"/>
  <c r="W52" i="19"/>
  <c r="W12" i="19"/>
  <c r="Q52" i="19"/>
  <c r="K52" i="19"/>
  <c r="AC32" i="19"/>
  <c r="Q32" i="19"/>
  <c r="AC42" i="19"/>
  <c r="AI42" i="19"/>
  <c r="AI32" i="19"/>
  <c r="AC47" i="1"/>
  <c r="AC22" i="19"/>
  <c r="W42" i="19"/>
  <c r="AI12" i="19"/>
  <c r="K12" i="19"/>
  <c r="W32" i="19"/>
  <c r="AC12" i="19"/>
  <c r="K32" i="19"/>
  <c r="AI52" i="19"/>
  <c r="AC52" i="19"/>
  <c r="Q22" i="19"/>
  <c r="AI22" i="19"/>
  <c r="Q12" i="19"/>
  <c r="W22" i="19"/>
  <c r="AI41" i="19"/>
  <c r="AC11" i="19"/>
  <c r="AI11" i="19"/>
  <c r="W51" i="19"/>
  <c r="K51" i="19"/>
  <c r="K11" i="19"/>
  <c r="Q11" i="19"/>
  <c r="Q31" i="19"/>
  <c r="W11" i="19"/>
  <c r="AI51" i="19"/>
  <c r="AC41" i="19"/>
  <c r="Q21" i="19"/>
  <c r="K21" i="19"/>
  <c r="AC31" i="19"/>
  <c r="AC41" i="1"/>
  <c r="Q51" i="19"/>
  <c r="W41" i="19"/>
  <c r="AC21" i="19"/>
  <c r="AI31" i="19"/>
  <c r="AC51" i="19"/>
  <c r="W21" i="19"/>
  <c r="K41" i="19"/>
  <c r="K31" i="19"/>
  <c r="AI21" i="19"/>
  <c r="Q41" i="19"/>
  <c r="W31" i="19"/>
  <c r="W29" i="19"/>
  <c r="Q49" i="19"/>
  <c r="Q29" i="19"/>
  <c r="K9" i="19"/>
  <c r="AC49" i="19"/>
  <c r="K49" i="19"/>
  <c r="K39" i="19"/>
  <c r="W9" i="19"/>
  <c r="AC9" i="19"/>
  <c r="AI39" i="19"/>
  <c r="Q9" i="19"/>
  <c r="AI49" i="19"/>
  <c r="W49" i="19"/>
  <c r="W39" i="19"/>
  <c r="W19" i="19"/>
  <c r="AI19" i="19"/>
  <c r="Q19" i="19"/>
  <c r="Q39" i="19"/>
  <c r="AC29" i="19"/>
  <c r="AC39" i="19"/>
  <c r="AC19" i="19"/>
  <c r="AI9" i="19"/>
  <c r="AC29" i="1"/>
  <c r="K29" i="19"/>
  <c r="K19" i="19"/>
  <c r="AI29"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<sst xmlns="http://schemas.openxmlformats.org/spreadsheetml/2006/main" count="561" uniqueCount="307">
  <si>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</si>
  <si>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</si>
  <si>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</si>
  <si>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</si>
  <si>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</si>
  <si>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</si>
  <si>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</si>
  <si>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</si>
  <si>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</si>
  <si>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</si>
  <si>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</si>
  <si>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</si>
  <si>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</si>
  <si>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</si>
  <si>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</si>
  <si>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</si>
  <si>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</si>
  <si>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</si>
  <si>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</si>
  <si>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</si>
  <si>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</si>
  <si>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</si>
  <si>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</si>
  <si>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</si>
  <si>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</si>
  <si>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</si>
  <si>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</si>
  <si>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</si>
  <si>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</si>
  <si>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</si>
  <si>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</si>
  <si>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</si>
  <si>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</si>
  <si>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</si>
  <si>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</si>
  <si>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</si>
  <si>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</si>
  <si>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</si>
  <si>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</si>
  <si>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</si>
  <si>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</si>
  <si>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</si>
  <si>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</si>
  <si>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</si>
  <si>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</si>
  <si>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</si>
  <si>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</si>
  <si>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</si>
  <si>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</si>
  <si>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</si>
  <si>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</si>
  <si>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</si>
  <si>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</si>
  <si>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</si>
  <si>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</si>
  <si>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</si>
  <si>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</si>
  <si>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</si>
  <si>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</si>
  <si>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</si>
  <si>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</si>
  <si>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</si>
  <si>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</si>
  <si>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</si>
  <si>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</si>
  <si>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</si>
  <si>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</si>
  <si>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</si>
  <si>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</si>
  <si>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</si>
  <si>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</si>
  <si>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</si>
  <si>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</si>
  <si>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</si>
  <si>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</si>
  <si>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</si>
  <si>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</si>
  <si>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</si>
  <si>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</si>
  <si>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</si>
  <si>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</si>
  <si>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</si>
  <si>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</si>
  <si>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</si>
  <si>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</si>
  <si>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</si>
  <si>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</si>
  <si>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</si>
  <si>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</si>
  <si>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</si>
  <si>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</si>
  <si>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</si>
  <si>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</si>
  <si>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</si>
  <si>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</si>
  <si>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</si>
  <si>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</si>
  <si>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</si>
  <si>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</si>
  <si>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</si>
  <si>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</si>
  <si>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</si>
  <si>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</si>
  <si>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</si>
  <si>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</si>
  <si>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</si>
  <si>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</si>
  <si>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</si>
  <si>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</si>
  <si>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</si>
  <si>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</si>
  <si>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</si>
  <si>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</si>
  <si>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</si>
  <si>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</si>
  <si>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</si>
  <si>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</si>
  <si>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</si>
  <si>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</si>
  <si>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</si>
  <si>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</si>
  <si>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</si>
  <si>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</si>
  <si>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</si>
  <si>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</si>
  <si>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</si>
  <si>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</si>
  <si>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</si>
  <si>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</si>
  <si>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</si>
  <si>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</si>
  <si>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</si>
  <si>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</si>
  <si>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</si>
  <si>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</si>
  <si>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</si>
  <si>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</si>
  <si>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</si>
  <si>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</si>
  <si>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</si>
  <si>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</si>
  <si>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</si>
  <si>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</si>
  <si>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</si>
  <si>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</si>
  <si>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</si>
  <si>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</si>
  <si>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</si>
  <si>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</si>
  <si>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</si>
  <si>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</si>
  <si>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</si>
  <si>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</si>
  <si>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</si>
  <si>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</si>
  <si>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</si>
  <si>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</si>
  <si>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</si>
  <si>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</si>
  <si>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</si>
  <si>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</si>
  <si>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</si>
  <si>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</si>
  <si>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</si>
  <si>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</si>
  <si>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</si>
  <si>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</si>
  <si>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</si>
  <si>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</si>
  <si>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</si>
  <si>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</si>
  <si>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</si>
  <si>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</si>
  <si>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</si>
  <si>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</si>
  <si>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</si>
  <si>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</si>
  <si>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</si>
  <si>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</si>
  <si>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</si>
  <si>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</si>
  <si>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</si>
  <si>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</si>
  <si>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</si>
  <si>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</si>
  <si>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</si>
  <si>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</si>
  <si>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</si>
  <si>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</si>
  <si>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</si>
  <si>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</si>
  <si>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</si>
  <si>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</si>
  <si>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</si>
  <si>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</si>
  <si>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</si>
  <si>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</si>
  <si>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</si>
  <si>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</si>
  <si>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</si>
  <si>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</si>
  <si>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</si>
  <si>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</si>
  <si>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</si>
  <si>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</si>
  <si>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</si>
  <si>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</si>
  <si>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</si>
  <si>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</si>
  <si>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</si>
  <si>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</si>
  <si>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</si>
  <si>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</si>
  <si>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</si>
  <si>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</si>
  <si>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</si>
  <si>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</si>
  <si>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</si>
  <si>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</si>
  <si>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</si>
  <si>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</si>
  <si>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</si>
  <si>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</si>
  <si>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</si>
  <si>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</si>
  <si>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</si>
  <si>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</si>
  <si>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</si>
  <si>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</si>
  <si>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</si>
  <si>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</si>
  <si>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</si>
  <si>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</si>
  <si>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</si>
  <si>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</si>
  <si>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</si>
  <si>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</si>
  <si>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</si>
  <si>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</si>
  <si>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</si>
  <si>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</si>
  <si>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</si>
  <si>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</si>
  <si>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</si>
  <si>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</si>
  <si>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</si>
  <si>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</si>
  <si>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</si>
  <si>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</si>
  <si>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</si>
  <si>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</si>
  <si>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</si>
  <si>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</si>
  <si>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</si>
  <si>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</si>
  <si>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</si>
  <si>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</si>
  <si>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 xml:space="preserve">1. Falta de conciencia de ingreso de recursos de la institución por parte de personal 
2. Amistad o familiarización con los usuarios </t>
  </si>
  <si>
    <t xml:space="preserve">Inconsistencia en la verificación de derechos </t>
  </si>
  <si>
    <t>Autorizaciones sin control por parte de la EPS</t>
  </si>
  <si>
    <t>1. Deficiencia en los procesos de admisión del usuario 
2. Inoportunidad en el cargue de servicios por parte del personal asistencial</t>
  </si>
  <si>
    <t xml:space="preserve">Ausencia de control de ingresos abiertos </t>
  </si>
  <si>
    <t>Anulación y/o modificación de facturas</t>
  </si>
  <si>
    <t>1. Error en la parte asistencial por modificación de actividades diarias 
2. Devolución de medicamentos por no aplicación de estos
3. Inasistencia a las consultas programadas por parte de usuarios
4. Cancelación de agendas por parte de especialistas
5. Corrección de digitación por la parte administrativa en el cargue de procedimientos</t>
  </si>
  <si>
    <t xml:space="preserve">Insuficiencia en radicación de facturación </t>
  </si>
  <si>
    <t>Insuficiencia en la depuración contable permanente y sostenible para reflejar la realidad financiera, económica y social conforme a la normatividad contable vigente.</t>
  </si>
  <si>
    <t>Mantener controles que se vienen trabajando</t>
  </si>
  <si>
    <t>Coordinador de gestión financiera</t>
  </si>
  <si>
    <t xml:space="preserve">Debilidad en la información de los costos generada por los diferentes procesos
</t>
  </si>
  <si>
    <t>Bajo nivel de liquidez</t>
  </si>
  <si>
    <t>Inconsistencias en arqueo</t>
  </si>
  <si>
    <t>1. Error humano 
2. Falla en el sistema 
3. Jineteo</t>
  </si>
  <si>
    <t>Copagos o cuotas moderadoras en alimentación de la factura sin cancelar.</t>
  </si>
  <si>
    <t xml:space="preserve">1. Inconsistencia en la información que hace interfaz por registro errado y /o parametros inadecuados desde otros modulos. 
2.  Deficiencia en capacitación a usuarios del sistema. </t>
  </si>
  <si>
    <t>Posibilidad de afectación económica y reputacional por copagos o cuotas moderadoras en alimentación de la factura sin cancelar, debido a la falta de conciencia de ingreso de recursos de la institución por parte de personal  y también la amistad o familiarización con los usuarios</t>
  </si>
  <si>
    <t>Posibilidad de afectación económica y reputacional por inconsistencia en la verificación de derechos, debido a las autorizaciones sin control por parte de la EPS</t>
  </si>
  <si>
    <t xml:space="preserve">1. Insuficiencia en la identificación del responsable del servicio 
2. Falta de control de los egresos hospitalarios y ambulatorios
3. Insuficiencia en identificación de la entidad responsable de pago
4. Inoportunidad de actividades de la parte asistencial en el cargue materias osteosíntesis 
5. Carencia en el registro de los procedimientos quirúrgicos
</t>
  </si>
  <si>
    <t>Posibilidad de pérdida Economica y Reputacional por inconsistencias en arqueo, debido a errores humanos, fallas en el sistema y jineteo.</t>
  </si>
  <si>
    <t>Posibilidad de afectación económica y reputacional por insuficiencia en radicación de facturación, debido a deficiencia en los procesos de admisión del usuario  e inoportunidad en el cargue de servicios por parte del personal asistencial.</t>
  </si>
  <si>
    <t>Posibilidad de afectación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</si>
  <si>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Posibilidad de afectación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</si>
  <si>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</si>
  <si>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 xml:space="preserve">1. Desconocimiento de la Ley 1797 de 2016, Resolución 6066 del 2016  y demás normatividad relacionada con la depuración contable permanente y sostenible
2. Ausencia en la verificación y conciliación de saldos por parte de los responsables de la información.
3. No promover por parte del Comité Técnico de Sostenibilidad Contable la depuración permanente en todos los subprocesos de la Institución
</t>
  </si>
  <si>
    <t xml:space="preserve">1. Indisponibilidad tecnologica que permite realizar calculo de costeos
2. Ausencia  de apoyo en el área asistencial
3. Tecnologia que no se haya prestado y se requiera contratar 
</t>
  </si>
  <si>
    <t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t>
  </si>
  <si>
    <t xml:space="preserve">1. Demora en pagos de EPS
2. Bajo recaudo de cartera 
3. Alto índice de cuentas por pagar 
</t>
  </si>
  <si>
    <t xml:space="preserve">Posibilidad de pérdida Economica y Reputacional por bajo nivel de liquidez, debido a la demora en pagos de EPS, bajo recaudo de cartera y alto índice de cuentas por pagar </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</si>
  <si>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</si>
  <si>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</si>
  <si>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 xml:space="preserve">Coordinación financiera, realiza conciliación mensual entre facturación, cartera y contabilidad </t>
  </si>
  <si>
    <t>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</si>
  <si>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t>
  </si>
  <si>
    <t xml:space="preserve">Dar cumplimiento a la conciliación mensual entre facturación, cartera y contabilidad </t>
  </si>
  <si>
    <t>Indisponibilidad en el costeo de los servicios ofertados por el HUDN 
cambiar 
SERVICIO DE SALUD NO COSTEADO</t>
  </si>
  <si>
    <t xml:space="preserve">Posibilidad de pérdida Economica por indisponibilidad en el costeo de los servicios ofertados por el HUDN, debido a indisponibilidad tecnologica que permite realizar calculo de costeos, ausencia  de apoyo en el área asistencial y tecnologia que no se haya prestado y se requiera contratar.
</t>
  </si>
  <si>
    <t xml:space="preserve">Analista de Historia Clinicas y/o Aux administrativo en facturación, revisa y liquida las atenciones prestadas frente el cobro de copagos o cuotas moderadoras que se deben realizar dentro de cada atención o ingreso.
</t>
  </si>
  <si>
    <t xml:space="preserve">Facturación central,  realiza filtro de auditoria de la factura antes de despachar a la entidad responsable de pago
</t>
  </si>
  <si>
    <t xml:space="preserve">Auxiliares de facturación, realizan permanentemente verificación en las bases y/o plataformas de las aseguradoras, ADRES, PPNA y por audio. De igual manera realizan el proceso de admisiones y autorizaciones en las áreas de Urgencias, Ginecología y Servicios Ambulatorios. 
</t>
  </si>
  <si>
    <t xml:space="preserve">Coordinación de facturación, realiza revisión del reporte generado del radicador institucional.
</t>
  </si>
  <si>
    <t xml:space="preserve">Analista de cuentas médicas, debe entregar las facturas a central de facturación de manera diaria posterior a su liquidación.
</t>
  </si>
  <si>
    <t xml:space="preserve">Coordinación de facturación y financiera, son responsables de generar control diario de ingresos abiertos por cada subproceso
</t>
  </si>
  <si>
    <t xml:space="preserve">Grupo de monitores, realizan retroalimentación permanente con personal asistencial.
</t>
  </si>
  <si>
    <t>Facturación, contabilidad, cartera y los demás subprocesos, presentan al comité de sostenibilidad contable fichas técnicas de facturas depuradas que ya no se pueden cobrar, con el fin de depurar la cartera y depurar datos contables.</t>
  </si>
  <si>
    <t xml:space="preserve">Líderes de los diferentes procesos de conciliación entre áreas,   concilian saldos mensualmente de los diferentes módulos, con el fin de realizar los ajustes correspondientes a los que hubiera lugar a través de las actas de conciliación.
</t>
  </si>
  <si>
    <t xml:space="preserve">Profesional universitario de costos, realiza visita al área asistencial cada que haya demanda de solicitud de tecnologia, con el fin de trabajar conjuntamente en los dos items basicos (mano de obra y suministros)
</t>
  </si>
  <si>
    <t xml:space="preserve">Profesional universitario de costos,  controla que el costo este bien generado por medio de comparativos de referentes tarifarios.
</t>
  </si>
  <si>
    <t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</si>
</sst>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H40" zoomScale="90" zoomScaleNormal="90" workbookViewId="0">
      <selection activeCell="P42" sqref="P4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287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288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272</v>
      </c>
      <c r="D10" s="203" t="s">
        <v>257</v>
      </c>
      <c r="E10" s="206" t="s">
        <v>274</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20</v>
      </c>
      <c r="V10" s="126" t="s">
        <v>22</v>
      </c>
      <c r="W10" s="126" t="s">
        <v>120</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266</v>
      </c>
      <c r="AF10" s="134" t="s">
        <v>267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t="s">
        <v>296</v>
      </c>
      <c r="Q11" s="125" t="str">
        <f>IF(OR(R11="Preventivo",R11="Detectivo"),"Probabilidad",IF(R11="Correctivo","Impacto",""))</f>
        <v>Impacto</v>
      </c>
      <c r="R11" s="126" t="s">
        <v>16</v>
      </c>
      <c r="S11" s="126" t="s">
        <v>9</v>
      </c>
      <c r="T11" s="127" t="str">
        <f t="shared" ref="T11:T15" si="0">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IFERROR(IF(AND(Q10="Probabilidad",Q11="Probabilidad"),(Z10-(+Z10*T11)),IF(Q11="Probabilidad",(I10-(+I10*T11)),IF(Q11="Impacto",Z10,""))),"")</f>
        <v>0.36</v>
      </c>
      <c r="Y11" s="129" t="str">
        <f t="shared" ref="Y11:Y69" si="1">IFERROR(IF(X11="","",IF(X11&lt;=0.2,"Muy Baja",IF(X11&lt;=0.4,"Baja",IF(X11&lt;=0.6,"Media",IF(X11&lt;=0.8,"Alta","Muy Alta"))))),"")</f>
        <v>Baja</v>
      </c>
      <c r="Z11" s="130">
        <f t="shared" ref="Z11:Z15" si="2">+X11</f>
        <v>0.36</v>
      </c>
      <c r="AA11" s="129" t="str">
        <f ca="1">IFERROR(IF(AB11="","",IF(AB11&lt;=0.2,"Leve",IF(AB11&lt;=0.4,"Menor",IF(AB11&lt;=0.6,"Moderado",IF(AB11&lt;=0.8,"Mayor","Catastrófico"))))),"")</f>
        <v>Menor</v>
      </c>
      <c r="AB11" s="130">
        <f ca="1">IFERROR(IF(AND(Q10="Impacto",Q11="Impacto"),(AB10-(+AB10*T11)),IF(Q11="Impacto",($M$10-(+$M$10*T11)),IF(Q11="Probabilidad",AB10,""))),"")</f>
        <v>0.30000000000000004</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266</v>
      </c>
      <c r="AF11" s="134" t="s">
        <v>267</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2:AA69" si="3">IFERROR(IF(AB12="","",IF(AB12&lt;=0.2,"Leve",IF(AB12&lt;=0.4,"Menor",IF(AB12&lt;=0.6,"Moderado",IF(AB12&lt;=0.8,"Mayor","Catastrófico"))))),"")</f>
        <v/>
      </c>
      <c r="AB12" s="130" t="str">
        <f>IFERROR(IF(AND(Q11="Impacto",Q12="Impacto"),(AB11-(+AB11*T12)),IF(AND(Q11="Probabilidad",Q12="Impacto"),(AB10-(+AB10*T12)),IF(Q12="Probabilidad",AB11,""))),"")</f>
        <v/>
      </c>
      <c r="AC12" s="131"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258</v>
      </c>
      <c r="D16" s="203" t="s">
        <v>259</v>
      </c>
      <c r="E16" s="206" t="s">
        <v>275</v>
      </c>
      <c r="F16" s="203" t="s">
        <v>123</v>
      </c>
      <c r="G16" s="209">
        <v>60</v>
      </c>
      <c r="H16" s="212" t="str">
        <f>IF(G16&lt;=0,"",IF(G16&lt;=2,"Muy Baja",IF(G16&lt;=24,"Baja",IF(G16&lt;=500,"Media",IF(G16&lt;=5000,"Alta","Muy Alta")))))</f>
        <v>Media</v>
      </c>
      <c r="I16" s="194">
        <f>IF(H16="","",IF(H16="Muy Baja",0.2,IF(H16="Baja",0.4,IF(H16="Media",0.6,IF(H16="Alta",0.8,IF(H16="Muy Alta",1,))))))</f>
        <v>0.6</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297</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20</v>
      </c>
      <c r="V16" s="126" t="s">
        <v>22</v>
      </c>
      <c r="W16" s="126" t="s">
        <v>120</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266</v>
      </c>
      <c r="AF16" s="134" t="s">
        <v>267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134</v>
      </c>
      <c r="C22" s="203" t="s">
        <v>264</v>
      </c>
      <c r="D22" s="203" t="s">
        <v>260</v>
      </c>
      <c r="E22" s="206" t="s">
        <v>278</v>
      </c>
      <c r="F22" s="203" t="s">
        <v>123</v>
      </c>
      <c r="G22" s="209">
        <v>60</v>
      </c>
      <c r="H22" s="212" t="str">
        <f>IF(G22&lt;=0,"",IF(G22&lt;=2,"Muy Baja",IF(G22&lt;=24,"Baja",IF(G22&lt;=500,"Media",IF(G22&lt;=5000,"Alta","Muy Alta")))))</f>
        <v>Media</v>
      </c>
      <c r="I22" s="194">
        <f>IF(H22="","",IF(H22="Muy Baja",0.2,IF(H22="Baja",0.4,IF(H22="Media",0.6,IF(H22="Alta",0.8,IF(H22="Muy Alta",1,))))))</f>
        <v>0.6</v>
      </c>
      <c r="J22" s="215" t="s">
        <v>149</v>
      </c>
      <c r="K22" s="194" t="str">
        <f ca="1">IF(NOT(ISERROR(MATCH(J22,'Tabla Impacto'!$B$221:$B$223,0))),'Tabla Impacto'!$F$223&amp;"Por favor no seleccionar los criterios de impacto(Afectación Económica o presupuestal y Pérdida Reputacional)",J22)</f>
        <v xml:space="preserve">     Entre 50 y 100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298</v>
      </c>
      <c r="Q22" s="125" t="str">
        <f>IF(OR(R22="Preventivo",R22="Detectivo"),"Probabilidad",IF(R22="Correctivo","Impacto",""))</f>
        <v>Probabilidad</v>
      </c>
      <c r="R22" s="126" t="s">
        <v>14</v>
      </c>
      <c r="S22" s="126" t="s">
        <v>10</v>
      </c>
      <c r="T22" s="127" t="str">
        <f>IF(AND(R22="Preventivo",S22="Automático"),"50%",IF(AND(R22="Preventivo",S22="Manual"),"40%",IF(AND(R22="Detectivo",S22="Automático"),"40%",IF(AND(R22="Detectivo",S22="Manual"),"30%",IF(AND(R22="Correctivo",S22="Automático"),"35%",IF(AND(R22="Correctivo",S22="Manual"),"25%",""))))))</f>
        <v>50%</v>
      </c>
      <c r="U22" s="126" t="s">
        <v>20</v>
      </c>
      <c r="V22" s="126" t="s">
        <v>22</v>
      </c>
      <c r="W22" s="126" t="s">
        <v>119</v>
      </c>
      <c r="X22" s="128">
        <f>IFERROR(IF(Q22="Probabilidad",(I22-(+I22*T22)),IF(Q22="Impacto",I22,"")),"")</f>
        <v>0.3</v>
      </c>
      <c r="Y22" s="129" t="str">
        <f>IFERROR(IF(X22="","",IF(X22&lt;=0.2,"Muy Baja",IF(X22&lt;=0.4,"Baja",IF(X22&lt;=0.6,"Media",IF(X22&lt;=0.8,"Alta","Muy Alta"))))),"")</f>
        <v>Baja</v>
      </c>
      <c r="Z22" s="130">
        <f>+X22</f>
        <v>0.3</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136</v>
      </c>
      <c r="AE22" s="133" t="s">
        <v>266</v>
      </c>
      <c r="AF22" s="134" t="s">
        <v>267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t="s">
        <v>299</v>
      </c>
      <c r="Q23" s="125" t="str">
        <f>IF(OR(R23="Preventivo",R23="Detectivo"),"Probabilidad",IF(R23="Correctivo","Impacto",""))</f>
        <v>Probabilidad</v>
      </c>
      <c r="R23" s="126" t="s">
        <v>14</v>
      </c>
      <c r="S23" s="126" t="s">
        <v>10</v>
      </c>
      <c r="T23" s="127" t="str">
        <f t="shared" ref="T23:T27" si="15">IF(AND(R23="Preventivo",S23="Automático"),"50%",IF(AND(R23="Preventivo",S23="Manual"),"40%",IF(AND(R23="Detectivo",S23="Automático"),"40%",IF(AND(R23="Detectivo",S23="Manual"),"30%",IF(AND(R23="Correctivo",S23="Automático"),"35%",IF(AND(R23="Correctivo",S23="Manual"),"25%",""))))))</f>
        <v>50%</v>
      </c>
      <c r="U23" s="126" t="s">
        <v>20</v>
      </c>
      <c r="V23" s="126" t="s">
        <v>22</v>
      </c>
      <c r="W23" s="126" t="s">
        <v>119</v>
      </c>
      <c r="X23" s="137">
        <f>IFERROR(IF(AND(Q22="Probabilidad",Q23="Probabilidad"),(Z22-(+Z22*T23)),IF(Q23="Probabilidad",(I22-(+I22*T23)),IF(Q23="Impacto",Z22,""))),"")</f>
        <v>0.15</v>
      </c>
      <c r="Y23" s="129" t="str">
        <f t="shared" si="1"/>
        <v>Muy Baja</v>
      </c>
      <c r="Z23" s="130">
        <f t="shared" ref="Z23:Z27" si="16">+X23</f>
        <v>0.15</v>
      </c>
      <c r="AA23" s="129" t="str">
        <f ca="1">IFERROR(IF(AB23="","",IF(AB23&lt;=0.2,"Leve",IF(AB23&lt;=0.4,"Menor",IF(AB23&lt;=0.6,"Moderado",IF(AB23&lt;=0.8,"Mayor","Catastrófico"))))),"")</f>
        <v>Menor</v>
      </c>
      <c r="AB23" s="130">
        <f ca="1">IFERROR(IF(AND(Q22="Impacto",Q23="Impacto"),(AB16-(+AB16*T23)),IF(Q23="Impacto",($M$22-(+$M$22*T23)),IF(Q23="Probabilidad",AB16,""))),"")</f>
        <v>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Bajo</v>
      </c>
      <c r="AD23" s="132" t="s">
        <v>31</v>
      </c>
      <c r="AE23" s="133" t="s">
        <v>266</v>
      </c>
      <c r="AF23" s="134" t="s">
        <v>267</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261</v>
      </c>
      <c r="D28" s="203" t="s">
        <v>276</v>
      </c>
      <c r="E28" s="206" t="s">
        <v>279</v>
      </c>
      <c r="F28" s="203" t="s">
        <v>123</v>
      </c>
      <c r="G28" s="209">
        <v>60</v>
      </c>
      <c r="H28" s="212" t="str">
        <f>IF(G28&lt;=0,"",IF(G28&lt;=2,"Muy Baja",IF(G28&lt;=24,"Baja",IF(G28&lt;=500,"Media",IF(G28&lt;=5000,"Alta","Muy Alta")))))</f>
        <v>Media</v>
      </c>
      <c r="I28" s="194">
        <f>IF(H28="","",IF(H28="Muy Baja",0.2,IF(H28="Baja",0.4,IF(H28="Media",0.6,IF(H28="Alta",0.8,IF(H28="Muy Alta",1,))))))</f>
        <v>0.6</v>
      </c>
      <c r="J28" s="215" t="s">
        <v>149</v>
      </c>
      <c r="K28" s="194" t="str">
        <f ca="1">IF(NOT(ISERROR(MATCH(J28,'Tabla Impacto'!$B$221:$B$223,0))),'Tabla Impacto'!$F$223&amp;"Por favor no seleccionar los criterios de impacto(Afectación Económica o presupuestal y Pérdida Reputacional)",J28)</f>
        <v xml:space="preserve">     Entre 50 y 100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300</v>
      </c>
      <c r="Q28" s="125" t="str">
        <f>IF(OR(R28="Preventivo",R28="Detectivo"),"Probabilidad",IF(R28="Correctivo","Impacto",""))</f>
        <v>Probabilidad</v>
      </c>
      <c r="R28" s="126" t="s">
        <v>14</v>
      </c>
      <c r="S28" s="126" t="s">
        <v>10</v>
      </c>
      <c r="T28" s="127" t="str">
        <f>IF(AND(R28="Preventivo",S28="Automático"),"50%",IF(AND(R28="Preventivo",S28="Manual"),"40%",IF(AND(R28="Detectivo",S28="Automático"),"40%",IF(AND(R28="Detectivo",S28="Manual"),"30%",IF(AND(R28="Correctivo",S28="Automático"),"35%",IF(AND(R28="Correctivo",S28="Manual"),"25%",""))))))</f>
        <v>50%</v>
      </c>
      <c r="U28" s="126" t="s">
        <v>19</v>
      </c>
      <c r="V28" s="126" t="s">
        <v>22</v>
      </c>
      <c r="W28" s="126" t="s">
        <v>119</v>
      </c>
      <c r="X28" s="128">
        <f>IFERROR(IF(Q28="Probabilidad",(I28-(+I28*T28)),IF(Q28="Impacto",I28,"")),"")</f>
        <v>0.3</v>
      </c>
      <c r="Y28" s="129" t="str">
        <f>IFERROR(IF(X28="","",IF(X28&lt;=0.2,"Muy Baja",IF(X28&lt;=0.4,"Baja",IF(X28&lt;=0.6,"Media",IF(X28&lt;=0.8,"Alta","Muy Alta"))))),"")</f>
        <v>Baja</v>
      </c>
      <c r="Z28" s="130">
        <f>+X28</f>
        <v>0.3</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266</v>
      </c>
      <c r="AF28" s="134" t="s">
        <v>267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t="s">
        <v>301</v>
      </c>
      <c r="Q29" s="125" t="str">
        <f>IF(OR(R29="Preventivo",R29="Detectivo"),"Probabilidad",IF(R29="Correctivo","Impacto",""))</f>
        <v>Probabilidad</v>
      </c>
      <c r="R29" s="126" t="s">
        <v>14</v>
      </c>
      <c r="S29" s="126" t="s">
        <v>9</v>
      </c>
      <c r="T29" s="127" t="str">
        <f t="shared" ref="T29:T33" si="22">IF(AND(R29="Preventivo",S29="Automático"),"50%",IF(AND(R29="Preventivo",S29="Manual"),"40%",IF(AND(R29="Detectivo",S29="Automático"),"40%",IF(AND(R29="Detectivo",S29="Manual"),"30%",IF(AND(R29="Correctivo",S29="Automático"),"35%",IF(AND(R29="Correctivo",S29="Manual"),"25%",""))))))</f>
        <v>40%</v>
      </c>
      <c r="U29" s="126" t="s">
        <v>20</v>
      </c>
      <c r="V29" s="126" t="s">
        <v>22</v>
      </c>
      <c r="W29" s="126" t="s">
        <v>119</v>
      </c>
      <c r="X29" s="128">
        <f>IFERROR(IF(AND(Q28="Probabilidad",Q29="Probabilidad"),(Z28-(+Z28*T29)),IF(Q29="Probabilidad",(I28-(+I28*T29)),IF(Q29="Impacto",Z28,""))),"")</f>
        <v>0.18</v>
      </c>
      <c r="Y29" s="129" t="str">
        <f t="shared" si="1"/>
        <v>Muy Baja</v>
      </c>
      <c r="Z29" s="130">
        <f t="shared" ref="Z29:Z33" si="23">+X29</f>
        <v>0.18</v>
      </c>
      <c r="AA29" s="129" t="str">
        <f ca="1">IFERROR(IF(AB29="","",IF(AB29&lt;=0.2,"Leve",IF(AB29&lt;=0.4,"Menor",IF(AB29&lt;=0.6,"Moderado",IF(AB29&lt;=0.8,"Mayor","Catastrófico"))))),"")</f>
        <v>Moderado</v>
      </c>
      <c r="AB29" s="130">
        <f ca="1">IFERROR(IF(AND(Q28="Impacto",Q29="Impacto"),(AB22-(+AB22*T29)),IF(Q29="Impacto",($M$28-(+$M$28*T29)),IF(Q29="Probabilidad",AB22,""))),"")</f>
        <v>0.6</v>
      </c>
      <c r="AC29" s="131" t="str">
        <f ca="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132" t="s">
        <v>136</v>
      </c>
      <c r="AE29" s="133" t="s">
        <v>266</v>
      </c>
      <c r="AF29" s="134" t="s">
        <v>267</v>
      </c>
      <c r="AG29" s="135">
        <v>44927</v>
      </c>
      <c r="AH29" s="135">
        <v>45291</v>
      </c>
      <c r="AI29" s="133"/>
      <c r="AJ29" s="134" t="s">
        <v>41</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ref="AC30" si="24">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262</v>
      </c>
      <c r="D34" s="203" t="s">
        <v>263</v>
      </c>
      <c r="E34" s="206" t="s">
        <v>280</v>
      </c>
      <c r="F34" s="203" t="s">
        <v>123</v>
      </c>
      <c r="G34" s="209">
        <v>700</v>
      </c>
      <c r="H34" s="212" t="str">
        <f>IF(G34&lt;=0,"",IF(G34&lt;=2,"Muy Baja",IF(G34&lt;=24,"Baja",IF(G34&lt;=500,"Media",IF(G34&lt;=5000,"Alta","Muy Alta")))))</f>
        <v>Alta</v>
      </c>
      <c r="I34" s="194">
        <f>IF(H34="","",IF(H34="Muy Baja",0.2,IF(H34="Baja",0.4,IF(H34="Media",0.6,IF(H34="Alta",0.8,IF(H34="Muy Alta",1,))))))</f>
        <v>0.8</v>
      </c>
      <c r="J34" s="215" t="s">
        <v>151</v>
      </c>
      <c r="K34" s="194" t="str">
        <f ca="1">IF(NOT(ISERROR(MATCH(J34,'Tabla Impacto'!$B$221:$B$223,0))),'Tabla Impacto'!$F$223&amp;"Por favor no seleccionar los criterios de impacto(Afectación Económica o presupuestal y Pérdida Reputacional)",J34)</f>
        <v xml:space="preserve">     Entre 100 y 500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Mayor</v>
      </c>
      <c r="M34" s="194">
        <f ca="1">IF(L34="","",IF(L34="Leve",0.2,IF(L34="Menor",0.4,IF(L34="Moderado",0.6,IF(L34="Mayor",0.8,IF(L34="Catastrófico",1,))))))</f>
        <v>0.8</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289</v>
      </c>
      <c r="Q34" s="125" t="str">
        <f>IF(OR(R34="Preventivo",R34="Detectivo"),"Probabilidad",IF(R34="Correctivo","Impacto",""))</f>
        <v>Impacto</v>
      </c>
      <c r="R34" s="126" t="s">
        <v>16</v>
      </c>
      <c r="S34" s="126" t="s">
        <v>9</v>
      </c>
      <c r="T34" s="127" t="str">
        <f>IF(AND(R34="Preventivo",S34="Automático"),"50%",IF(AND(R34="Preventivo",S34="Manual"),"40%",IF(AND(R34="Detectivo",S34="Automático"),"40%",IF(AND(R34="Detectivo",S34="Manual"),"30%",IF(AND(R34="Correctivo",S34="Automático"),"35%",IF(AND(R34="Correctivo",S34="Manual"),"25%",""))))))</f>
        <v>25%</v>
      </c>
      <c r="U34" s="126" t="s">
        <v>20</v>
      </c>
      <c r="V34" s="126" t="s">
        <v>22</v>
      </c>
      <c r="W34" s="126" t="s">
        <v>119</v>
      </c>
      <c r="X34" s="128">
        <f>IFERROR(IF(Q34="Probabilidad",(I34-(+I34*T34)),IF(Q34="Impacto",I34,"")),"")</f>
        <v>0.8</v>
      </c>
      <c r="Y34" s="129" t="str">
        <f>IFERROR(IF(X34="","",IF(X34&lt;=0.2,"Muy Baja",IF(X34&lt;=0.4,"Baja",IF(X34&lt;=0.6,"Media",IF(X34&lt;=0.8,"Alta","Muy Alta"))))),"")</f>
        <v>Alta</v>
      </c>
      <c r="Z34" s="130">
        <f>+X34</f>
        <v>0.8</v>
      </c>
      <c r="AA34" s="129" t="str">
        <f ca="1">IFERROR(IF(AB34="","",IF(AB34&lt;=0.2,"Leve",IF(AB34&lt;=0.4,"Menor",IF(AB34&lt;=0.6,"Moderado",IF(AB34&lt;=0.8,"Mayor","Catastrófico"))))),"")</f>
        <v>Moderado</v>
      </c>
      <c r="AB34" s="130">
        <f ca="1">IFERROR(IF(Q34="Impacto",(M34-(+M34*T34)),IF(Q34="Probabilidad",M34,"")),"")</f>
        <v>0.60000000000000009</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292</v>
      </c>
      <c r="AF34" s="134" t="s">
        <v>267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t="s">
        <v>134</v>
      </c>
      <c r="C40" s="203" t="s">
        <v>265</v>
      </c>
      <c r="D40" s="203" t="s">
        <v>282</v>
      </c>
      <c r="E40" s="206" t="s">
        <v>281</v>
      </c>
      <c r="F40" s="203" t="s">
        <v>123</v>
      </c>
      <c r="G40" s="209">
        <v>60</v>
      </c>
      <c r="H40" s="212" t="str">
        <f>IF(G40&lt;=0,"",IF(G40&lt;=2,"Muy Baja",IF(G40&lt;=24,"Baja",IF(G40&lt;=500,"Media",IF(G40&lt;=5000,"Alta","Muy Alta")))))</f>
        <v>Media</v>
      </c>
      <c r="I40" s="194">
        <f>IF(H40="","",IF(H40="Muy Baja",0.2,IF(H40="Baja",0.4,IF(H40="Media",0.6,IF(H40="Alta",0.8,IF(H40="Muy Alta",1,))))))</f>
        <v>0.6</v>
      </c>
      <c r="J40" s="215" t="s">
        <v>150</v>
      </c>
      <c r="K40" s="194" t="str">
        <f ca="1">IF(NOT(ISERROR(MATCH(J40,'Tabla Impacto'!$B$221:$B$223,0))),'Tabla Impacto'!$F$223&amp;"Por favor no seleccionar los criterios de impacto(Afectación Económica o presupuestal y Pérdida Reputacional)",J40)</f>
        <v xml:space="preserve">     Entre 10 y 50 SMLMV </v>
      </c>
      <c r="L40" s="212" t="str">
        <f ca="1">IF(OR(K40='Tabla Impacto'!$C$11,K40='Tabla Impacto'!$D$11),"Leve",IF(OR(K40='Tabla Impacto'!$C$12,K40='Tabla Impacto'!$D$12),"Menor",IF(OR(K40='Tabla Impacto'!$C$13,K40='Tabla Impacto'!$D$13),"Moderado",IF(OR(K40='Tabla Impacto'!$C$14,K40='Tabla Impacto'!$D$14),"Mayor",IF(OR(K40='Tabla Impacto'!$C$15,K40='Tabla Impacto'!$D$15),"Catastrófico","")))))</f>
        <v>Menor</v>
      </c>
      <c r="M40" s="194">
        <f ca="1">IF(L40="","",IF(L40="Leve",0.2,IF(L40="Menor",0.4,IF(L40="Moderado",0.6,IF(L40="Mayor",0.8,IF(L40="Catastrófico",1,))))))</f>
        <v>0.4</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303</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266</v>
      </c>
      <c r="AF40" s="134" t="s">
        <v>267</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t="s">
        <v>302</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Moderado</v>
      </c>
      <c r="AB41" s="130">
        <f ca="1">IFERROR(IF(AND(Q40="Impacto",Q41="Impacto"),(AB34-(+AB34*T41)),IF(Q41="Impacto",($M$40-(+$M$40*T41)),IF(Q41="Probabilidad",AB34,""))),"")</f>
        <v>0.60000000000000009</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266</v>
      </c>
      <c r="AF41" s="134" t="s">
        <v>267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ref="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t="s">
        <v>133</v>
      </c>
      <c r="C46" s="203" t="s">
        <v>293</v>
      </c>
      <c r="D46" s="203" t="s">
        <v>283</v>
      </c>
      <c r="E46" s="206" t="s">
        <v>294</v>
      </c>
      <c r="F46" s="203" t="s">
        <v>123</v>
      </c>
      <c r="G46" s="209">
        <v>20</v>
      </c>
      <c r="H46" s="212" t="str">
        <f>IF(G46&lt;=0,"",IF(G46&lt;=2,"Muy Baja",IF(G46&lt;=24,"Baja",IF(G46&lt;=500,"Media",IF(G46&lt;=5000,"Alta","Muy Alta")))))</f>
        <v>Baja</v>
      </c>
      <c r="I46" s="194">
        <f>IF(H46="","",IF(H46="Muy Baja",0.2,IF(H46="Baja",0.4,IF(H46="Media",0.6,IF(H46="Alta",0.8,IF(H46="Muy Alta",1,))))))</f>
        <v>0.4</v>
      </c>
      <c r="J46" s="215" t="s">
        <v>150</v>
      </c>
      <c r="K46" s="194" t="str">
        <f ca="1">IF(NOT(ISERROR(MATCH(J46,'Tabla Impacto'!$B$221:$B$223,0))),'Tabla Impacto'!$F$223&amp;"Por favor no seleccionar los criterios de impacto(Afectación Económica o presupuestal y Pérdida Reputacional)",J46)</f>
        <v xml:space="preserve">     Entre 10 y 50 SMLMV </v>
      </c>
      <c r="L46" s="212" t="str">
        <f ca="1">IF(OR(K46='Tabla Impacto'!$C$11,K46='Tabla Impacto'!$D$11),"Leve",IF(OR(K46='Tabla Impacto'!$C$12,K46='Tabla Impacto'!$D$12),"Menor",IF(OR(K46='Tabla Impacto'!$C$13,K46='Tabla Impacto'!$D$13),"Moderado",IF(OR(K46='Tabla Impacto'!$C$14,K46='Tabla Impacto'!$D$14),"Mayor",IF(OR(K46='Tabla Impacto'!$C$15,K46='Tabla Impacto'!$D$15),"Catastrófico","")))))</f>
        <v>Menor</v>
      </c>
      <c r="M46" s="194">
        <f ca="1">IF(L46="","",IF(L46="Leve",0.2,IF(L46="Menor",0.4,IF(L46="Moderado",0.6,IF(L46="Mayor",0.8,IF(L46="Catastrófico",1,))))))</f>
        <v>0.4</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304</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266</v>
      </c>
      <c r="AF46" s="134" t="s">
        <v>267</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t="s">
        <v>305</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Menor</v>
      </c>
      <c r="AB47" s="130">
        <f ca="1">IFERROR(IF(AND(Q46="Impacto",Q47="Impacto"),(AB40-(+AB40*T47)),IF(Q47="Impacto",($M$46-(+$M$46*T47)),IF(Q47="Probabilidad",AB40,""))),"")</f>
        <v>0.4</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Bajo</v>
      </c>
      <c r="AD47" s="132" t="s">
        <v>31</v>
      </c>
      <c r="AE47" s="133" t="s">
        <v>266</v>
      </c>
      <c r="AF47" s="134" t="s">
        <v>267</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t="s">
        <v>132</v>
      </c>
      <c r="C52" s="203" t="s">
        <v>268</v>
      </c>
      <c r="D52" s="203" t="s">
        <v>273</v>
      </c>
      <c r="E52" s="206" t="s">
        <v>284</v>
      </c>
      <c r="F52" s="203" t="s">
        <v>123</v>
      </c>
      <c r="G52" s="209">
        <v>20</v>
      </c>
      <c r="H52" s="212" t="str">
        <f>IF(G52&lt;=0,"",IF(G52&lt;=2,"Muy Baja",IF(G52&lt;=24,"Baja",IF(G52&lt;=500,"Media",IF(G52&lt;=5000,"Alta","Muy Alta")))))</f>
        <v>Baja</v>
      </c>
      <c r="I52" s="194">
        <f>IF(H52="","",IF(H52="Muy Baja",0.2,IF(H52="Baja",0.4,IF(H52="Media",0.6,IF(H52="Alta",0.8,IF(H52="Muy Alta",1,))))))</f>
        <v>0.4</v>
      </c>
      <c r="J52" s="215" t="s">
        <v>154</v>
      </c>
      <c r="K52" s="194" t="str">
        <f ca="1">IF(NOT(ISERROR(MATCH(J52,'Tabla Impacto'!$B$221:$B$223,0))),'Tabla Impacto'!$F$223&amp;"Por favor no seleccionar los criterios de impacto(Afectación Económica o presupuestal y Pérdida Reputacional)",J52)</f>
        <v xml:space="preserve">     El riesgo afecta la imagen de la entidad internamente, de conocimiento general, nivel interno, de junta dircetiva y accionistas y/o de provedores</v>
      </c>
      <c r="L52" s="212" t="str">
        <f ca="1">IF(OR(K52='Tabla Impacto'!$C$11,K52='Tabla Impacto'!$D$11),"Leve",IF(OR(K52='Tabla Impacto'!$C$12,K52='Tabla Impacto'!$D$12),"Menor",IF(OR(K52='Tabla Impacto'!$C$13,K52='Tabla Impacto'!$D$13),"Moderado",IF(OR(K52='Tabla Impacto'!$C$14,K52='Tabla Impacto'!$D$14),"Mayor",IF(OR(K52='Tabla Impacto'!$C$15,K52='Tabla Impacto'!$D$15),"Catastrófico","")))))</f>
        <v>Menor</v>
      </c>
      <c r="M52" s="194">
        <f ca="1">IF(L52="","",IF(L52="Leve",0.2,IF(L52="Menor",0.4,IF(L52="Moderado",0.6,IF(L52="Mayor",0.8,IF(L52="Catastrófico",1,))))))</f>
        <v>0.4</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290</v>
      </c>
      <c r="Q52" s="125" t="str">
        <f>IF(OR(R52="Preventivo",R52="Detectivo"),"Probabilidad",IF(R52="Correctivo","Impacto",""))</f>
        <v>Probabilidad</v>
      </c>
      <c r="R52" s="126" t="s">
        <v>15</v>
      </c>
      <c r="S52" s="126" t="s">
        <v>9</v>
      </c>
      <c r="T52" s="127" t="str">
        <f>IF(AND(R52="Preventivo",S52="Automático"),"50%",IF(AND(R52="Preventivo",S52="Manual"),"40%",IF(AND(R52="Detectivo",S52="Automático"),"40%",IF(AND(R52="Detectivo",S52="Manual"),"30%",IF(AND(R52="Correctivo",S52="Automático"),"35%",IF(AND(R52="Correctivo",S52="Manual"),"25%",""))))))</f>
        <v>30%</v>
      </c>
      <c r="U52" s="126" t="s">
        <v>19</v>
      </c>
      <c r="V52" s="126" t="s">
        <v>22</v>
      </c>
      <c r="W52" s="126" t="s">
        <v>119</v>
      </c>
      <c r="X52" s="128">
        <f>IFERROR(IF(Q52="Probabilidad",(I52-(+I52*T52)),IF(Q52="Impacto",I52,"")),"")</f>
        <v>0.28000000000000003</v>
      </c>
      <c r="Y52" s="129" t="str">
        <f>IFERROR(IF(X52="","",IF(X52&lt;=0.2,"Muy Baja",IF(X52&lt;=0.4,"Baja",IF(X52&lt;=0.6,"Media",IF(X52&lt;=0.8,"Alta","Muy Alta"))))),"")</f>
        <v>Baja</v>
      </c>
      <c r="Z52" s="130">
        <f>+X52</f>
        <v>0.28000000000000003</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266</v>
      </c>
      <c r="AF52" s="134" t="s">
        <v>267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t="s">
        <v>134</v>
      </c>
      <c r="C58" s="203" t="s">
        <v>269</v>
      </c>
      <c r="D58" s="203" t="s">
        <v>285</v>
      </c>
      <c r="E58" s="206" t="s">
        <v>286</v>
      </c>
      <c r="F58" s="203" t="s">
        <v>123</v>
      </c>
      <c r="G58" s="209">
        <v>20</v>
      </c>
      <c r="H58" s="212" t="str">
        <f>IF(G58&lt;=0,"",IF(G58&lt;=2,"Muy Baja",IF(G58&lt;=24,"Baja",IF(G58&lt;=500,"Media",IF(G58&lt;=5000,"Alta","Muy Alta")))))</f>
        <v>Baja</v>
      </c>
      <c r="I58" s="194">
        <f>IF(H58="","",IF(H58="Muy Baja",0.2,IF(H58="Baja",0.4,IF(H58="Media",0.6,IF(H58="Alta",0.8,IF(H58="Muy Alta",1,))))))</f>
        <v>0.4</v>
      </c>
      <c r="J58" s="215" t="s">
        <v>150</v>
      </c>
      <c r="K58" s="194" t="str">
        <f ca="1">IF(NOT(ISERROR(MATCH(J58,'Tabla Impacto'!$B$221:$B$223,0))),'Tabla Impacto'!$F$223&amp;"Por favor no seleccionar los criterios de impacto(Afectación Económica o presupuestal y Pérdida Reputacional)",J58)</f>
        <v xml:space="preserve">     Entre 10 y 50 SMLMV </v>
      </c>
      <c r="L58" s="212" t="str">
        <f ca="1">IF(OR(K58='Tabla Impacto'!$C$11,K58='Tabla Impacto'!$D$11),"Leve",IF(OR(K58='Tabla Impacto'!$C$12,K58='Tabla Impacto'!$D$12),"Menor",IF(OR(K58='Tabla Impacto'!$C$13,K58='Tabla Impacto'!$D$13),"Moderado",IF(OR(K58='Tabla Impacto'!$C$14,K58='Tabla Impacto'!$D$14),"Mayor",IF(OR(K58='Tabla Impacto'!$C$15,K58='Tabla Impacto'!$D$15),"Catastrófico","")))))</f>
        <v>Menor</v>
      </c>
      <c r="M58" s="194">
        <f ca="1">IF(L58="","",IF(L58="Leve",0.2,IF(L58="Menor",0.4,IF(L58="Moderado",0.6,IF(L58="Mayor",0.8,IF(L58="Catastrófico",1,))))))</f>
        <v>0.4</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306</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0.24</v>
      </c>
      <c r="Y58" s="129" t="str">
        <f>IFERROR(IF(X58="","",IF(X58&lt;=0.2,"Muy Baja",IF(X58&lt;=0.4,"Baja",IF(X58&lt;=0.6,"Media",IF(X58&lt;=0.8,"Alta","Muy Alta"))))),"")</f>
        <v>Baja</v>
      </c>
      <c r="Z58" s="130">
        <f>+X58</f>
        <v>0.24</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266</v>
      </c>
      <c r="AF58" s="134" t="s">
        <v>267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t="s">
        <v>134</v>
      </c>
      <c r="C64" s="203" t="s">
        <v>270</v>
      </c>
      <c r="D64" s="203" t="s">
        <v>271</v>
      </c>
      <c r="E64" s="206" t="s">
        <v>277</v>
      </c>
      <c r="F64" s="203" t="s">
        <v>123</v>
      </c>
      <c r="G64" s="209">
        <v>60</v>
      </c>
      <c r="H64" s="212" t="str">
        <f>IF(G64&lt;=0,"",IF(G64&lt;=2,"Muy Baja",IF(G64&lt;=24,"Baja",IF(G64&lt;=500,"Media",IF(G64&lt;=5000,"Alta","Muy Alta")))))</f>
        <v>Media</v>
      </c>
      <c r="I64" s="194">
        <f>IF(H64="","",IF(H64="Muy Baja",0.2,IF(H64="Baja",0.4,IF(H64="Media",0.6,IF(H64="Alta",0.8,IF(H64="Muy Alta",1,))))))</f>
        <v>0.6</v>
      </c>
      <c r="J64" s="215" t="s">
        <v>150</v>
      </c>
      <c r="K64" s="194" t="str">
        <f ca="1">IF(NOT(ISERROR(MATCH(J64,'Tabla Impacto'!$B$221:$B$223,0))),'Tabla Impacto'!$F$223&amp;"Por favor no seleccionar los criterios de impacto(Afectación Económica o presupuestal y Pérdida Reputacional)",J64)</f>
        <v xml:space="preserve">     Entre 10 y 50 SMLMV </v>
      </c>
      <c r="L64" s="212" t="str">
        <f ca="1">IF(OR(K64='Tabla Impacto'!$C$11,K64='Tabla Impacto'!$D$11),"Leve",IF(OR(K64='Tabla Impacto'!$C$12,K64='Tabla Impacto'!$D$12),"Menor",IF(OR(K64='Tabla Impacto'!$C$13,K64='Tabla Impacto'!$D$13),"Moderado",IF(OR(K64='Tabla Impacto'!$C$14,K64='Tabla Impacto'!$D$14),"Mayor",IF(OR(K64='Tabla Impacto'!$C$15,K64='Tabla Impacto'!$D$15),"Catastrófico","")))))</f>
        <v>Menor</v>
      </c>
      <c r="M64" s="194">
        <f ca="1">IF(L64="","",IF(L64="Leve",0.2,IF(L64="Menor",0.4,IF(L64="Moderado",0.6,IF(L64="Mayor",0.8,IF(L64="Catastrófico",1,))))))</f>
        <v>0.4</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291</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0.36</v>
      </c>
      <c r="Y64" s="129" t="str">
        <f>IFERROR(IF(X64="","",IF(X64&lt;=0.2,"Muy Baja",IF(X64&lt;=0.4,"Baja",IF(X64&lt;=0.6,"Media",IF(X64&lt;=0.8,"Alta","Muy Alta"))))),"")</f>
        <v>Baja</v>
      </c>
      <c r="Z64" s="130">
        <f>+X64</f>
        <v>0.36</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266</v>
      </c>
      <c r="AF64" s="134" t="s">
        <v>267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38"/>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R5</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R2</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R3</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R6</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R10</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R7</v>
      </c>
      <c r="Q34" s="305"/>
      <c r="R34" s="305" t="str">
        <f ca="1">IF(AND('Mapa final'!$H$52="Baja",'Mapa final'!$L$52="Menor"),CONCATENATE("R",'Mapa final'!$A$52),"")</f>
        <v>R8</v>
      </c>
      <c r="S34" s="305"/>
      <c r="T34" s="305" t="str">
        <f ca="1">IF(AND('Mapa final'!$H$58="Baja",'Mapa final'!$L$58="Menor"),CONCATENATE("R",'Mapa final'!$A$58),"")</f>
        <v>R9</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46" zoomScaleNormal="46" workbookViewId="0">
      <selection activeCell="J8" sqref="J8"/>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 ca="1">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 ca="1">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 ca="1">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R5C1</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 ca="1">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 ca="1">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 ca="1">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 ca="1">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 ca="1">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 ca="1">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R6C1</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R6C2</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R10C1</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R3C2</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 ca="1">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 ca="1">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 ca="1">IF(AND('Mapa final'!$Y$29="Muy Baja",'Mapa final'!$AA$29="Moderado"),CONCATENATE("R4C",'Mapa final'!$O$29),"")</f>
        <v>R4C2</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R7C2</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20" sqref="C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2024-04-16T23:19:10Z</dcterms:modified>
</cp:coreProperties>
</file>