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RIESGOS\MATERIALIZACIÓN MATRIZ RIESGOS G.I\"/>
    </mc:Choice>
  </mc:AlternateContent>
  <xr:revisionPtr revIDLastSave="0" documentId="13_ncr:1_{E5DB87A5-D60C-4275-B924-62C0961255A0}" xr6:coauthVersionLast="47" xr6:coauthVersionMax="47" xr10:uidLastSave="{00000000-0000-0000-0000-000000000000}"/>
  <bookViews>
    <workbookView xWindow="-120" yWindow="-120" windowWidth="20730" windowHeight="1116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 r:id="rId12"/>
  </pivotCaches>
</workbook>
</file>

<file path=xl/calcChain.xml><?xml version="1.0" encoding="utf-8"?>
<calcChain xmlns="http://schemas.openxmlformats.org/spreadsheetml/2006/main">
  <c r="T10" i="1" l="1"/>
  <c r="Q10" i="1"/>
  <c r="H10" i="1"/>
  <c r="I10" i="1" s="1"/>
  <c r="K23" i="1"/>
  <c r="K17" i="1"/>
  <c r="K51" i="1"/>
  <c r="K21" i="1"/>
  <c r="K29" i="1"/>
  <c r="K31" i="1"/>
  <c r="K25" i="1"/>
  <c r="K20" i="1"/>
  <c r="K33" i="1"/>
  <c r="K38" i="1"/>
  <c r="K55" i="1"/>
  <c r="K54" i="1"/>
  <c r="K49" i="1"/>
  <c r="K44" i="1"/>
  <c r="K18" i="1"/>
  <c r="K60" i="1"/>
  <c r="K36" i="1"/>
  <c r="K27" i="1"/>
  <c r="K65" i="1"/>
  <c r="K32" i="1"/>
  <c r="K66" i="1"/>
  <c r="K48" i="1"/>
  <c r="K35" i="1"/>
  <c r="K57" i="1"/>
  <c r="K42" i="1"/>
  <c r="K62" i="1"/>
  <c r="K68" i="1"/>
  <c r="K69" i="1"/>
  <c r="K59" i="1"/>
  <c r="K30" i="1"/>
  <c r="K41" i="1"/>
  <c r="K63" i="1"/>
  <c r="K61" i="1"/>
  <c r="K39" i="1"/>
  <c r="K19" i="1"/>
  <c r="K67" i="1"/>
  <c r="K47" i="1"/>
  <c r="K24" i="1"/>
  <c r="K56" i="1"/>
  <c r="K50" i="1"/>
  <c r="K45" i="1"/>
  <c r="K37" i="1"/>
  <c r="K43" i="1"/>
  <c r="K26" i="1"/>
  <c r="K53" i="1"/>
  <c r="F221" i="13" l="1"/>
  <c r="F211" i="13"/>
  <c r="F212" i="13"/>
  <c r="F213" i="13"/>
  <c r="F214" i="13"/>
  <c r="F215" i="13"/>
  <c r="F216" i="13"/>
  <c r="F217" i="13"/>
  <c r="F218" i="13"/>
  <c r="F219" i="13"/>
  <c r="F220" i="13"/>
  <c r="F210" i="13"/>
  <c r="K14" i="1"/>
  <c r="K11" i="1"/>
  <c r="B221" i="13" a="1"/>
  <c r="K12" i="1"/>
  <c r="K15"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I16" i="1" l="1"/>
  <c r="X16" i="1" s="1"/>
  <c r="X64" i="1"/>
  <c r="X58" i="1"/>
  <c r="X52" i="1"/>
  <c r="X46" i="1"/>
  <c r="X40" i="1"/>
  <c r="X34" i="1"/>
  <c r="X28" i="1"/>
  <c r="X22" i="1"/>
  <c r="Y64" i="1" l="1"/>
  <c r="Z64" i="1"/>
  <c r="X65" i="1" s="1"/>
  <c r="Y65" i="1" s="1"/>
  <c r="Y58" i="1"/>
  <c r="Z58" i="1"/>
  <c r="X59" i="1" s="1"/>
  <c r="Z59" i="1" s="1"/>
  <c r="X60" i="1" s="1"/>
  <c r="Y52" i="1"/>
  <c r="Z52" i="1"/>
  <c r="X53" i="1" s="1"/>
  <c r="Z53" i="1" s="1"/>
  <c r="X54" i="1" s="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Z30" i="1"/>
  <c r="T11" i="1"/>
  <c r="T12" i="1"/>
  <c r="T13" i="1"/>
  <c r="T14" i="1"/>
  <c r="T15" i="1"/>
  <c r="Y61" i="1" l="1"/>
  <c r="Z61" i="1"/>
  <c r="Y55" i="1"/>
  <c r="Z55" i="1"/>
  <c r="X56" i="1" s="1"/>
  <c r="Z24" i="1"/>
  <c r="X25" i="1" s="1"/>
  <c r="Z25" i="1" s="1"/>
  <c r="Y66" i="1"/>
  <c r="Z66" i="1"/>
  <c r="X67" i="1" s="1"/>
  <c r="Y47" i="1"/>
  <c r="Z47" i="1"/>
  <c r="X48" i="1" s="1"/>
  <c r="Y48" i="1" s="1"/>
  <c r="X43" i="1"/>
  <c r="Y35" i="1"/>
  <c r="Z35" i="1"/>
  <c r="X36" i="1" s="1"/>
  <c r="Y36" i="1" s="1"/>
  <c r="X32" i="1"/>
  <c r="Y32" i="1" s="1"/>
  <c r="X31" i="1"/>
  <c r="Y17" i="1"/>
  <c r="Z17" i="1"/>
  <c r="X18" i="1" s="1"/>
  <c r="Y18" i="1" s="1"/>
  <c r="Z48" i="1" l="1"/>
  <c r="X49" i="1" s="1"/>
  <c r="Y49" i="1" s="1"/>
  <c r="Z36" i="1"/>
  <c r="X37" i="1" s="1"/>
  <c r="Z37" i="1" s="1"/>
  <c r="X38" i="1" s="1"/>
  <c r="Y56" i="1"/>
  <c r="Z56" i="1"/>
  <c r="X57" i="1" s="1"/>
  <c r="X62" i="1"/>
  <c r="X63" i="1"/>
  <c r="Y25" i="1"/>
  <c r="Y43" i="1"/>
  <c r="Z43" i="1"/>
  <c r="X44" i="1" s="1"/>
  <c r="Y44" i="1" s="1"/>
  <c r="X26" i="1"/>
  <c r="Z67" i="1"/>
  <c r="Y67" i="1"/>
  <c r="Y31" i="1"/>
  <c r="Z31" i="1"/>
  <c r="Z32" i="1"/>
  <c r="X33" i="1" s="1"/>
  <c r="Z18" i="1"/>
  <c r="X19" i="1" s="1"/>
  <c r="Y19" i="1" s="1"/>
  <c r="Q12" i="1"/>
  <c r="Z49" i="1" l="1"/>
  <c r="X50" i="1"/>
  <c r="Y37" i="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50" i="1" l="1"/>
  <c r="Z50" i="1"/>
  <c r="X51" i="1" s="1"/>
  <c r="Z51" i="1" s="1"/>
  <c r="Y69" i="1"/>
  <c r="Z69" i="1"/>
  <c r="Y68" i="1"/>
  <c r="Z68" i="1"/>
  <c r="Y39" i="1"/>
  <c r="Z39" i="1"/>
  <c r="Z45" i="1"/>
  <c r="Z27" i="1"/>
  <c r="Y20" i="1"/>
  <c r="Y21" i="1"/>
  <c r="Z21" i="1"/>
  <c r="Q11" i="1"/>
  <c r="Y51" i="1" l="1"/>
  <c r="Z10" i="1"/>
  <c r="X11" i="1" s="1"/>
  <c r="Y11" i="1" l="1"/>
  <c r="Z11" i="1" l="1"/>
  <c r="X12" i="1" s="1"/>
  <c r="Y12" i="1" s="1"/>
  <c r="Z12" i="1" l="1"/>
  <c r="X13" i="1" s="1"/>
  <c r="Z13" i="1" l="1"/>
  <c r="X14" i="1" s="1"/>
  <c r="Y14" i="1" l="1"/>
  <c r="Z14" i="1"/>
  <c r="X15" i="1" s="1"/>
  <c r="Y13" i="1"/>
  <c r="Y15" i="1" l="1"/>
  <c r="Z15" i="1"/>
  <c r="AB29" i="1" l="1"/>
  <c r="AB11" i="1"/>
  <c r="AB35" i="1"/>
  <c r="AB12" i="1" l="1"/>
  <c r="AA11" i="1"/>
  <c r="AB36" i="1"/>
  <c r="AA35" i="1"/>
  <c r="AB54" i="1"/>
  <c r="AB60" i="1"/>
  <c r="AA29" i="1"/>
  <c r="AB30" i="1"/>
  <c r="AB19" i="1" l="1"/>
  <c r="AA30" i="1"/>
  <c r="AB31" i="1"/>
  <c r="AA54" i="1"/>
  <c r="AB55" i="1"/>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AB45" i="1"/>
  <c r="AA45" i="1" s="1"/>
  <c r="AA36" i="1"/>
  <c r="AB37" i="1"/>
  <c r="AB13" i="1"/>
  <c r="AA13" i="1" s="1"/>
  <c r="AA12" i="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46" i="1"/>
  <c r="L46" i="1" s="1"/>
  <c r="K10" i="1"/>
  <c r="L10" i="1" s="1"/>
  <c r="K28" i="1"/>
  <c r="L28" i="1" s="1"/>
  <c r="K34" i="1"/>
  <c r="L34" i="1" s="1"/>
  <c r="K16" i="1"/>
  <c r="L16" i="1" s="1"/>
  <c r="K22" i="1"/>
  <c r="L22" i="1" s="1"/>
  <c r="K64" i="1"/>
  <c r="L64" i="1" s="1"/>
  <c r="K58" i="1"/>
  <c r="L58" i="1" s="1"/>
  <c r="K52" i="1"/>
  <c r="L52" i="1" s="1"/>
  <c r="AH12" i="18" l="1"/>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J40" i="18"/>
  <c r="J8" i="18"/>
  <c r="AB40" i="18"/>
  <c r="AB32" i="18"/>
  <c r="AH32" i="18"/>
  <c r="AB8" i="18"/>
  <c r="AB24" i="18"/>
  <c r="J16" i="18"/>
  <c r="J24" i="18"/>
  <c r="P32" i="18"/>
  <c r="J32" i="18"/>
  <c r="V24" i="18"/>
  <c r="P8" i="18"/>
  <c r="P24" i="18"/>
  <c r="P16" i="18"/>
  <c r="AH16" i="18"/>
  <c r="P40" i="18"/>
  <c r="V16" i="18"/>
  <c r="V32" i="18"/>
  <c r="N28" i="1"/>
  <c r="M28" i="1"/>
  <c r="AB28" i="1" s="1"/>
  <c r="AA28" i="1" s="1"/>
  <c r="V8" i="18"/>
  <c r="AB16" i="18"/>
  <c r="AH24" i="18"/>
  <c r="V40" i="18"/>
  <c r="AH8" i="18"/>
  <c r="AH40" i="18"/>
  <c r="P14" i="18"/>
  <c r="J38" i="18"/>
  <c r="V22" i="18"/>
  <c r="AH6" i="18"/>
  <c r="V14" i="18"/>
  <c r="V6" i="18"/>
  <c r="J6" i="18"/>
  <c r="AH14" i="18"/>
  <c r="P30" i="18"/>
  <c r="AH38" i="18"/>
  <c r="AH22" i="18"/>
  <c r="J14" i="18"/>
  <c r="P6" i="18"/>
  <c r="AB38" i="18"/>
  <c r="AB22" i="18"/>
  <c r="P22" i="18"/>
  <c r="V30" i="18"/>
  <c r="AB30" i="18"/>
  <c r="AB14" i="18"/>
  <c r="M10" i="1"/>
  <c r="AB10" i="1" s="1"/>
  <c r="AH30" i="18"/>
  <c r="J30" i="18"/>
  <c r="J22" i="18"/>
  <c r="P38" i="18"/>
  <c r="V38" i="18"/>
  <c r="AB6" i="18"/>
  <c r="N10" i="1"/>
  <c r="AF30" i="18"/>
  <c r="T14" i="18"/>
  <c r="Z22" i="18"/>
  <c r="AL38" i="18"/>
  <c r="T30" i="18"/>
  <c r="N14" i="18"/>
  <c r="T38" i="18"/>
  <c r="AL6" i="18"/>
  <c r="T22" i="18"/>
  <c r="Z14" i="18"/>
  <c r="AL14" i="18"/>
  <c r="Z38" i="18"/>
  <c r="N22" i="18"/>
  <c r="AF22" i="18"/>
  <c r="Z6" i="18"/>
  <c r="N6" i="18"/>
  <c r="M22" i="1"/>
  <c r="AB22" i="1" s="1"/>
  <c r="AA22" i="1" s="1"/>
  <c r="AF6" i="18"/>
  <c r="AF14" i="18"/>
  <c r="AF38" i="18"/>
  <c r="N38" i="18"/>
  <c r="N22" i="1"/>
  <c r="AL30" i="18"/>
  <c r="Z30" i="18"/>
  <c r="AL22" i="18"/>
  <c r="N30" i="18"/>
  <c r="T6" i="18"/>
  <c r="R34" i="18"/>
  <c r="X42" i="18"/>
  <c r="L34" i="18"/>
  <c r="AD34" i="18"/>
  <c r="AJ42" i="18"/>
  <c r="AD10" i="18"/>
  <c r="R10" i="18"/>
  <c r="R42" i="18"/>
  <c r="L42" i="18"/>
  <c r="X26" i="18"/>
  <c r="L26" i="18"/>
  <c r="AJ18" i="18"/>
  <c r="X18" i="18"/>
  <c r="N52" i="1"/>
  <c r="AJ26" i="18"/>
  <c r="R18" i="18"/>
  <c r="X34" i="18"/>
  <c r="AJ10" i="18"/>
  <c r="AD26" i="18"/>
  <c r="AD42" i="18"/>
  <c r="AJ34" i="18"/>
  <c r="X10" i="18"/>
  <c r="R26" i="18"/>
  <c r="AD18" i="18"/>
  <c r="M52" i="1"/>
  <c r="AB52" i="1" s="1"/>
  <c r="L10" i="18"/>
  <c r="L18" i="18"/>
  <c r="AD30" i="18"/>
  <c r="X6" i="18"/>
  <c r="AJ38" i="18"/>
  <c r="AJ30" i="18"/>
  <c r="AJ22" i="18"/>
  <c r="R22" i="18"/>
  <c r="X30" i="18"/>
  <c r="AJ6" i="18"/>
  <c r="L6" i="18"/>
  <c r="L38" i="18"/>
  <c r="R30" i="18"/>
  <c r="AD14" i="18"/>
  <c r="X22" i="18"/>
  <c r="AD38" i="18"/>
  <c r="L14" i="18"/>
  <c r="N16" i="1"/>
  <c r="AD6" i="18"/>
  <c r="AD22" i="18"/>
  <c r="X38" i="18"/>
  <c r="M16" i="1"/>
  <c r="AB16" i="1" s="1"/>
  <c r="L30" i="18"/>
  <c r="L22" i="18"/>
  <c r="R38" i="18"/>
  <c r="R6" i="18"/>
  <c r="AJ14" i="18"/>
  <c r="X14" i="18"/>
  <c r="R14" i="18"/>
  <c r="M46" i="1"/>
  <c r="AB46" i="1" s="1"/>
  <c r="AB10" i="18"/>
  <c r="J42" i="18"/>
  <c r="J18" i="18"/>
  <c r="P34" i="18"/>
  <c r="N46" i="1"/>
  <c r="AB18" i="18"/>
  <c r="AH34" i="18"/>
  <c r="J26" i="18"/>
  <c r="P10" i="18"/>
  <c r="AH10" i="18"/>
  <c r="V34" i="18"/>
  <c r="P18" i="18"/>
  <c r="P42" i="18"/>
  <c r="AH42" i="18"/>
  <c r="V18" i="18"/>
  <c r="AB26" i="18"/>
  <c r="AB34" i="18"/>
  <c r="AH26" i="18"/>
  <c r="AB42" i="18"/>
  <c r="V26" i="18"/>
  <c r="AH18" i="18"/>
  <c r="V42" i="18"/>
  <c r="J34" i="18"/>
  <c r="P26" i="18"/>
  <c r="J10" i="18"/>
  <c r="V10" i="18"/>
  <c r="Z42" i="18"/>
  <c r="AF18" i="18"/>
  <c r="T18" i="18"/>
  <c r="Z26" i="18"/>
  <c r="AF34" i="18"/>
  <c r="AL34" i="18"/>
  <c r="AF42" i="18"/>
  <c r="N42" i="18"/>
  <c r="T10" i="18"/>
  <c r="Z18" i="18"/>
  <c r="N58" i="1"/>
  <c r="AL10" i="18"/>
  <c r="AL42" i="18"/>
  <c r="AL26" i="18"/>
  <c r="AF26" i="18"/>
  <c r="N34" i="18"/>
  <c r="Z10" i="18"/>
  <c r="M58" i="1"/>
  <c r="AB58" i="1" s="1"/>
  <c r="N18" i="18"/>
  <c r="AF10" i="18"/>
  <c r="T26" i="18"/>
  <c r="N26" i="18"/>
  <c r="T34" i="18"/>
  <c r="AL18" i="18"/>
  <c r="T42" i="18"/>
  <c r="N10" i="18"/>
  <c r="Z34" i="18"/>
  <c r="M34" i="1"/>
  <c r="AB34" i="1" s="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N24" i="18"/>
  <c r="AF24" i="18"/>
  <c r="T32" i="18"/>
  <c r="AF32" i="18"/>
  <c r="T16" i="18"/>
  <c r="AF40" i="18"/>
  <c r="AL32" i="18"/>
  <c r="Z40" i="18"/>
  <c r="N40" i="18"/>
  <c r="AL8" i="18"/>
  <c r="Z24" i="18"/>
  <c r="AF8" i="18"/>
  <c r="AL16" i="18"/>
  <c r="AL40" i="18"/>
  <c r="T8" i="18"/>
  <c r="AF16" i="18"/>
  <c r="AL24" i="18"/>
  <c r="N32" i="18"/>
  <c r="N40" i="1"/>
  <c r="Z16" i="18"/>
  <c r="T24" i="18"/>
  <c r="M40" i="1"/>
  <c r="AB40" i="1" s="1"/>
  <c r="Z8" i="18"/>
  <c r="Z32" i="18"/>
  <c r="N8" i="18"/>
  <c r="N16" i="18"/>
  <c r="T40" i="18"/>
  <c r="AA58" i="1" l="1"/>
  <c r="AB54" i="19" s="1"/>
  <c r="AB65" i="1"/>
  <c r="AA16" i="1"/>
  <c r="J27" i="19" s="1"/>
  <c r="AB23" i="1"/>
  <c r="AA10" i="1"/>
  <c r="P16" i="19" s="1"/>
  <c r="AB17" i="1"/>
  <c r="AA46" i="1"/>
  <c r="AH42" i="19" s="1"/>
  <c r="AB53" i="1"/>
  <c r="AA53" i="1" s="1"/>
  <c r="AA40" i="1"/>
  <c r="AC40" i="1" s="1"/>
  <c r="AB47" i="1"/>
  <c r="AC28" i="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A34" i="1"/>
  <c r="AB41" i="1"/>
  <c r="AA52" i="1"/>
  <c r="AB59" i="1"/>
  <c r="AA59" i="1" s="1"/>
  <c r="P54" i="19" l="1"/>
  <c r="AA47" i="1"/>
  <c r="AC52" i="19" s="1"/>
  <c r="AB48" i="1"/>
  <c r="V44" i="19"/>
  <c r="V54" i="19"/>
  <c r="AH34" i="19"/>
  <c r="AH54" i="19"/>
  <c r="P17" i="19"/>
  <c r="J14" i="19"/>
  <c r="J34" i="19"/>
  <c r="J32" i="19"/>
  <c r="AB24" i="19"/>
  <c r="P14" i="19"/>
  <c r="AB34" i="19"/>
  <c r="P24" i="19"/>
  <c r="AC58" i="1"/>
  <c r="V24" i="19"/>
  <c r="AH14" i="19"/>
  <c r="AH24" i="19"/>
  <c r="V34" i="19"/>
  <c r="AB14" i="19"/>
  <c r="J24" i="19"/>
  <c r="J54" i="19"/>
  <c r="J44" i="19"/>
  <c r="V14" i="19"/>
  <c r="AB44" i="19"/>
  <c r="P44" i="19"/>
  <c r="AH44" i="19"/>
  <c r="P34" i="19"/>
  <c r="V37" i="19"/>
  <c r="AA65" i="1"/>
  <c r="AC55" i="19" s="1"/>
  <c r="AB66" i="1"/>
  <c r="AH16" i="19"/>
  <c r="P37" i="19"/>
  <c r="V16" i="19"/>
  <c r="J17" i="19"/>
  <c r="V6" i="19"/>
  <c r="AH37" i="19"/>
  <c r="V27" i="19"/>
  <c r="AH47" i="19"/>
  <c r="AB27" i="19"/>
  <c r="V7" i="19"/>
  <c r="AB7" i="19"/>
  <c r="P27" i="19"/>
  <c r="J7" i="19"/>
  <c r="J47" i="19"/>
  <c r="J37" i="19"/>
  <c r="V47" i="19"/>
  <c r="AB47" i="19"/>
  <c r="AB37" i="19"/>
  <c r="V17" i="19"/>
  <c r="P7" i="19"/>
  <c r="AH17" i="19"/>
  <c r="AH7" i="19"/>
  <c r="AB46" i="19"/>
  <c r="AH27" i="19"/>
  <c r="AC16" i="1"/>
  <c r="AB17" i="19"/>
  <c r="P47" i="19"/>
  <c r="P46" i="19"/>
  <c r="AH36" i="19"/>
  <c r="AC10" i="1"/>
  <c r="AB24" i="1"/>
  <c r="AA23" i="1"/>
  <c r="AB32" i="19"/>
  <c r="AH32" i="19"/>
  <c r="V46" i="19"/>
  <c r="P6" i="19"/>
  <c r="J26" i="19"/>
  <c r="J6" i="19"/>
  <c r="V36" i="19"/>
  <c r="V26" i="19"/>
  <c r="AH26" i="19"/>
  <c r="J36" i="19"/>
  <c r="AB6" i="19"/>
  <c r="J46" i="19"/>
  <c r="AB26" i="19"/>
  <c r="P26" i="19"/>
  <c r="J16" i="19"/>
  <c r="AB16" i="19"/>
  <c r="P36" i="19"/>
  <c r="AB36" i="19"/>
  <c r="AH46" i="19"/>
  <c r="AH6" i="19"/>
  <c r="V42" i="19"/>
  <c r="AB52" i="19"/>
  <c r="AA17" i="1"/>
  <c r="AI47" i="19" s="1"/>
  <c r="AB18" i="1"/>
  <c r="AA18" i="1" s="1"/>
  <c r="AB12" i="19"/>
  <c r="V12" i="19"/>
  <c r="P42" i="19"/>
  <c r="J22" i="19"/>
  <c r="AB22" i="19"/>
  <c r="P52" i="19"/>
  <c r="P12" i="19"/>
  <c r="P22" i="19"/>
  <c r="J52" i="19"/>
  <c r="V22" i="19"/>
  <c r="AH22" i="19"/>
  <c r="J12" i="19"/>
  <c r="AH12" i="19"/>
  <c r="P32" i="19"/>
  <c r="V52" i="19"/>
  <c r="V11" i="19"/>
  <c r="AB11" i="19"/>
  <c r="V21" i="19"/>
  <c r="AB51" i="19"/>
  <c r="J51" i="19"/>
  <c r="J11" i="19"/>
  <c r="V31" i="19"/>
  <c r="AB41" i="19"/>
  <c r="AH11" i="19"/>
  <c r="AB21" i="19"/>
  <c r="J42" i="19"/>
  <c r="AH52" i="19"/>
  <c r="AC46" i="1"/>
  <c r="AB42" i="19"/>
  <c r="V32" i="19"/>
  <c r="P51" i="19"/>
  <c r="P21" i="19"/>
  <c r="AH41" i="19"/>
  <c r="AC43" i="19"/>
  <c r="Q53" i="19"/>
  <c r="AI33" i="19"/>
  <c r="AI23" i="19"/>
  <c r="W23" i="19"/>
  <c r="AI13" i="19"/>
  <c r="K33" i="19"/>
  <c r="AC23" i="19"/>
  <c r="Q13" i="19"/>
  <c r="AC53" i="19"/>
  <c r="AI53" i="19"/>
  <c r="AC33" i="19"/>
  <c r="K53" i="19"/>
  <c r="W33" i="19"/>
  <c r="Q43" i="19"/>
  <c r="W43" i="19"/>
  <c r="AC53" i="1"/>
  <c r="Q23" i="19"/>
  <c r="AI43" i="19"/>
  <c r="K13" i="19"/>
  <c r="K43" i="19"/>
  <c r="Q33" i="19"/>
  <c r="AC13" i="19"/>
  <c r="W13" i="19"/>
  <c r="W53" i="19"/>
  <c r="K23" i="19"/>
  <c r="V41" i="19"/>
  <c r="J41" i="19"/>
  <c r="P41" i="19"/>
  <c r="AH31" i="19"/>
  <c r="P31" i="19"/>
  <c r="AB31" i="19"/>
  <c r="P11" i="19"/>
  <c r="J21" i="19"/>
  <c r="V51" i="19"/>
  <c r="J31" i="19"/>
  <c r="AH21" i="19"/>
  <c r="AH51" i="19"/>
  <c r="AI52" i="19"/>
  <c r="Q22" i="19"/>
  <c r="AI22" i="19"/>
  <c r="Q12" i="19"/>
  <c r="K42" i="19"/>
  <c r="K22" i="19"/>
  <c r="Q42" i="19"/>
  <c r="W12" i="19"/>
  <c r="Q52" i="19"/>
  <c r="K52" i="19"/>
  <c r="Q32" i="19"/>
  <c r="AC42" i="19"/>
  <c r="AI42" i="19"/>
  <c r="AC47" i="1"/>
  <c r="AC22" i="19"/>
  <c r="W42" i="19"/>
  <c r="K12" i="19"/>
  <c r="W32" i="19"/>
  <c r="AC12" i="19"/>
  <c r="AA41" i="1"/>
  <c r="W51" i="19" s="1"/>
  <c r="AB42" i="1"/>
  <c r="AI54" i="19"/>
  <c r="W24" i="19"/>
  <c r="W14" i="19"/>
  <c r="AI24" i="19"/>
  <c r="AC59" i="1"/>
  <c r="K14" i="19"/>
  <c r="Q54" i="19"/>
  <c r="AC44" i="19"/>
  <c r="K24" i="19"/>
  <c r="W44" i="19"/>
  <c r="K44" i="19"/>
  <c r="W54" i="19"/>
  <c r="AC14" i="19"/>
  <c r="Q24" i="19"/>
  <c r="K54" i="19"/>
  <c r="AC24" i="19"/>
  <c r="Q44" i="19"/>
  <c r="Q34" i="19"/>
  <c r="K34" i="19"/>
  <c r="Q14" i="19"/>
  <c r="AI14" i="19"/>
  <c r="AI34" i="19"/>
  <c r="AI44" i="19"/>
  <c r="AC54" i="19"/>
  <c r="W34" i="19"/>
  <c r="AC34" i="19"/>
  <c r="AC52" i="1"/>
  <c r="J23" i="19"/>
  <c r="V33" i="19"/>
  <c r="J53" i="19"/>
  <c r="V43" i="19"/>
  <c r="V53" i="19"/>
  <c r="P23" i="19"/>
  <c r="AB33" i="19"/>
  <c r="AB43" i="19"/>
  <c r="P13" i="19"/>
  <c r="AH43" i="19"/>
  <c r="J13" i="19"/>
  <c r="AH33" i="19"/>
  <c r="AB13" i="19"/>
  <c r="V13" i="19"/>
  <c r="P43" i="19"/>
  <c r="J43" i="19"/>
  <c r="AH13" i="19"/>
  <c r="P33" i="19"/>
  <c r="AB23" i="19"/>
  <c r="AH23" i="19"/>
  <c r="AB53" i="19"/>
  <c r="V23" i="19"/>
  <c r="P53" i="19"/>
  <c r="J33" i="19"/>
  <c r="AH53" i="19"/>
  <c r="J40" i="19"/>
  <c r="V20" i="19"/>
  <c r="J50" i="19"/>
  <c r="P50" i="19"/>
  <c r="J10" i="19"/>
  <c r="V10" i="19"/>
  <c r="V40" i="19"/>
  <c r="V30" i="19"/>
  <c r="AH10" i="19"/>
  <c r="AB40" i="19"/>
  <c r="AB10" i="19"/>
  <c r="AB20" i="19"/>
  <c r="P20" i="19"/>
  <c r="AB30" i="19"/>
  <c r="AH20" i="19"/>
  <c r="P10" i="19"/>
  <c r="P30" i="19"/>
  <c r="AH30" i="19"/>
  <c r="AH50" i="19"/>
  <c r="J20" i="19"/>
  <c r="J30" i="19"/>
  <c r="AB50" i="19"/>
  <c r="V50" i="19"/>
  <c r="AH40" i="19"/>
  <c r="AC34" i="1"/>
  <c r="P40" i="19"/>
  <c r="K32" i="19" l="1"/>
  <c r="AI12" i="19"/>
  <c r="AI32" i="19"/>
  <c r="AC32" i="19"/>
  <c r="W52" i="19"/>
  <c r="W22" i="19"/>
  <c r="AA48" i="1"/>
  <c r="R52" i="19" s="1"/>
  <c r="AB49" i="1"/>
  <c r="AC65" i="1"/>
  <c r="K25" i="19"/>
  <c r="Q15" i="19"/>
  <c r="AI55" i="19"/>
  <c r="K15" i="19"/>
  <c r="AI45" i="19"/>
  <c r="Q25" i="19"/>
  <c r="Q55" i="19"/>
  <c r="Q35" i="19"/>
  <c r="K35" i="19"/>
  <c r="AC45" i="19"/>
  <c r="AI35" i="19"/>
  <c r="AA66" i="1"/>
  <c r="X55" i="19" s="1"/>
  <c r="AB67" i="1"/>
  <c r="AI15" i="19"/>
  <c r="AC35" i="19"/>
  <c r="W55" i="19"/>
  <c r="W45" i="19"/>
  <c r="W15" i="19"/>
  <c r="Q45" i="19"/>
  <c r="K55" i="19"/>
  <c r="K45" i="19"/>
  <c r="W25" i="19"/>
  <c r="AC25" i="19"/>
  <c r="AI25" i="19"/>
  <c r="W35" i="19"/>
  <c r="AC15" i="19"/>
  <c r="W38" i="19"/>
  <c r="AI28" i="19"/>
  <c r="K38" i="19"/>
  <c r="W48" i="19"/>
  <c r="Q38" i="19"/>
  <c r="AI38" i="19"/>
  <c r="K18" i="19"/>
  <c r="K8" i="19"/>
  <c r="AC28" i="19"/>
  <c r="AI18" i="19"/>
  <c r="K28" i="19"/>
  <c r="AC18" i="19"/>
  <c r="AC8" i="19"/>
  <c r="W18" i="19"/>
  <c r="AI8" i="19"/>
  <c r="Q48" i="19"/>
  <c r="AC38" i="19"/>
  <c r="Q28" i="19"/>
  <c r="W28" i="19"/>
  <c r="AI48" i="19"/>
  <c r="W8" i="19"/>
  <c r="Q8" i="19"/>
  <c r="K48" i="19"/>
  <c r="AC48" i="19"/>
  <c r="AC23" i="1"/>
  <c r="Q18" i="19"/>
  <c r="AB25" i="1"/>
  <c r="AA24" i="1"/>
  <c r="K47" i="19"/>
  <c r="Q17" i="19"/>
  <c r="K17" i="19"/>
  <c r="Q27" i="19"/>
  <c r="AC17" i="1"/>
  <c r="AI27" i="19"/>
  <c r="K27" i="19"/>
  <c r="AC7" i="19"/>
  <c r="AC37" i="19"/>
  <c r="AC17" i="19"/>
  <c r="AI17" i="19"/>
  <c r="AI7" i="19"/>
  <c r="Q47" i="19"/>
  <c r="Q37" i="19"/>
  <c r="W27" i="19"/>
  <c r="AC27" i="19"/>
  <c r="Q7" i="19"/>
  <c r="W7" i="19"/>
  <c r="K37" i="19"/>
  <c r="W37" i="19"/>
  <c r="AC47" i="19"/>
  <c r="W47" i="19"/>
  <c r="W17" i="19"/>
  <c r="AI37" i="19"/>
  <c r="K7" i="19"/>
  <c r="AD47" i="19"/>
  <c r="AJ37" i="19"/>
  <c r="R17" i="19"/>
  <c r="L7" i="19"/>
  <c r="R7" i="19"/>
  <c r="R37" i="19"/>
  <c r="R47" i="19"/>
  <c r="AJ27" i="19"/>
  <c r="L27" i="19"/>
  <c r="AJ17" i="19"/>
  <c r="L17" i="19"/>
  <c r="X17" i="19"/>
  <c r="AD7" i="19"/>
  <c r="AD37" i="19"/>
  <c r="AD27" i="19"/>
  <c r="AD17" i="19"/>
  <c r="X7" i="19"/>
  <c r="R27" i="19"/>
  <c r="AJ47" i="19"/>
  <c r="X37" i="19"/>
  <c r="AJ7" i="19"/>
  <c r="L37" i="19"/>
  <c r="X47" i="19"/>
  <c r="X27" i="19"/>
  <c r="L47" i="19"/>
  <c r="AC18" i="1"/>
  <c r="AI41" i="19"/>
  <c r="AC21" i="19"/>
  <c r="AI51" i="19"/>
  <c r="Q41" i="19"/>
  <c r="W21" i="19"/>
  <c r="K51" i="19"/>
  <c r="AC31" i="19"/>
  <c r="AI31" i="19"/>
  <c r="Q21" i="19"/>
  <c r="AI11" i="19"/>
  <c r="K31" i="19"/>
  <c r="Q51" i="19"/>
  <c r="Q11" i="19"/>
  <c r="AA42" i="1"/>
  <c r="L11" i="19" s="1"/>
  <c r="AB43" i="1"/>
  <c r="W31" i="19"/>
  <c r="K41" i="19"/>
  <c r="Q31" i="19"/>
  <c r="AC41" i="1"/>
  <c r="AC41" i="19"/>
  <c r="K11" i="19"/>
  <c r="AC11" i="19"/>
  <c r="AI21" i="19"/>
  <c r="AC51" i="19"/>
  <c r="W41" i="19"/>
  <c r="K21" i="19"/>
  <c r="W11" i="19"/>
  <c r="AA49" i="1" l="1"/>
  <c r="S22" i="19" s="1"/>
  <c r="AB50" i="1"/>
  <c r="AD12" i="19"/>
  <c r="AJ42" i="19"/>
  <c r="L52" i="19"/>
  <c r="L32" i="19"/>
  <c r="AJ12" i="19"/>
  <c r="L42" i="19"/>
  <c r="L22" i="19"/>
  <c r="X32" i="19"/>
  <c r="AD22" i="19"/>
  <c r="AC48" i="1"/>
  <c r="R32" i="19"/>
  <c r="AD42" i="19"/>
  <c r="AD52" i="19"/>
  <c r="R12" i="19"/>
  <c r="X22" i="19"/>
  <c r="R42" i="19"/>
  <c r="X42" i="19"/>
  <c r="AD32" i="19"/>
  <c r="L12" i="19"/>
  <c r="AJ52" i="19"/>
  <c r="AJ22" i="19"/>
  <c r="X52" i="19"/>
  <c r="X12" i="19"/>
  <c r="R22" i="19"/>
  <c r="AJ32" i="19"/>
  <c r="AJ25" i="19"/>
  <c r="AD35" i="19"/>
  <c r="R15" i="19"/>
  <c r="R45" i="19"/>
  <c r="L45" i="19"/>
  <c r="R35" i="19"/>
  <c r="AD45" i="19"/>
  <c r="L35" i="19"/>
  <c r="AD25" i="19"/>
  <c r="L55" i="19"/>
  <c r="X45" i="19"/>
  <c r="R25" i="19"/>
  <c r="AJ55" i="19"/>
  <c r="L15" i="19"/>
  <c r="L25" i="19"/>
  <c r="AD55" i="19"/>
  <c r="X25" i="19"/>
  <c r="AC66" i="1"/>
  <c r="X35" i="19"/>
  <c r="AJ35" i="19"/>
  <c r="AJ45" i="19"/>
  <c r="X15" i="19"/>
  <c r="R55" i="19"/>
  <c r="AD15" i="19"/>
  <c r="AJ15" i="19"/>
  <c r="AA67" i="1"/>
  <c r="M45" i="19" s="1"/>
  <c r="AB68" i="1"/>
  <c r="X8" i="19"/>
  <c r="AD48" i="19"/>
  <c r="AC24" i="1"/>
  <c r="R28" i="19"/>
  <c r="X38" i="19"/>
  <c r="L48" i="19"/>
  <c r="AD28" i="19"/>
  <c r="R48" i="19"/>
  <c r="AD8" i="19"/>
  <c r="AJ28" i="19"/>
  <c r="L18" i="19"/>
  <c r="AJ8" i="19"/>
  <c r="AJ48" i="19"/>
  <c r="L28" i="19"/>
  <c r="L8" i="19"/>
  <c r="R18" i="19"/>
  <c r="X18" i="19"/>
  <c r="X28" i="19"/>
  <c r="AD18" i="19"/>
  <c r="AJ18" i="19"/>
  <c r="AD38" i="19"/>
  <c r="L38" i="19"/>
  <c r="X48" i="19"/>
  <c r="R8" i="19"/>
  <c r="AJ38" i="19"/>
  <c r="R38" i="19"/>
  <c r="AA25" i="1"/>
  <c r="AB26" i="1"/>
  <c r="AA26" i="1" s="1"/>
  <c r="R31" i="19"/>
  <c r="X21" i="19"/>
  <c r="AD31" i="19"/>
  <c r="AJ21" i="19"/>
  <c r="AC42" i="1"/>
  <c r="R51" i="19"/>
  <c r="L41" i="19"/>
  <c r="AJ51" i="19"/>
  <c r="R41" i="19"/>
  <c r="AJ31" i="19"/>
  <c r="L31" i="19"/>
  <c r="X51" i="19"/>
  <c r="AD51" i="19"/>
  <c r="R21" i="19"/>
  <c r="R11" i="19"/>
  <c r="AD21" i="19"/>
  <c r="AD11" i="19"/>
  <c r="X11" i="19"/>
  <c r="AD41" i="19"/>
  <c r="X31" i="19"/>
  <c r="L51" i="19"/>
  <c r="L21" i="19"/>
  <c r="X41" i="19"/>
  <c r="AJ11" i="19"/>
  <c r="AJ41" i="19"/>
  <c r="AA43" i="1"/>
  <c r="AK41" i="19" s="1"/>
  <c r="AB44" i="1"/>
  <c r="AA44" i="1" s="1"/>
  <c r="S42" i="19" l="1"/>
  <c r="AE52" i="19"/>
  <c r="S52" i="19"/>
  <c r="Y22" i="19"/>
  <c r="Y12" i="19"/>
  <c r="AE12" i="19"/>
  <c r="AK32" i="19"/>
  <c r="M12" i="19"/>
  <c r="AK12" i="19"/>
  <c r="M32" i="19"/>
  <c r="AC49" i="1"/>
  <c r="S32" i="19"/>
  <c r="AK42" i="19"/>
  <c r="Y52" i="19"/>
  <c r="AE42" i="19"/>
  <c r="AE32" i="19"/>
  <c r="Y42" i="19"/>
  <c r="M22" i="19"/>
  <c r="AE22" i="19"/>
  <c r="AK52" i="19"/>
  <c r="M42" i="19"/>
  <c r="S12" i="19"/>
  <c r="AK22" i="19"/>
  <c r="M52" i="19"/>
  <c r="Y32" i="19"/>
  <c r="AA50" i="1"/>
  <c r="N52" i="19" s="1"/>
  <c r="AB51" i="1"/>
  <c r="AA51" i="1" s="1"/>
  <c r="AK45" i="19"/>
  <c r="AE15" i="19"/>
  <c r="AE35" i="19"/>
  <c r="Y15" i="19"/>
  <c r="AE25" i="19"/>
  <c r="M25" i="19"/>
  <c r="Y35" i="19"/>
  <c r="AC67" i="1"/>
  <c r="Y25" i="19"/>
  <c r="AK25" i="19"/>
  <c r="AE55" i="19"/>
  <c r="Y45" i="19"/>
  <c r="S55" i="19"/>
  <c r="AA68" i="1"/>
  <c r="T15" i="19" s="1"/>
  <c r="AB69" i="1"/>
  <c r="AA69" i="1" s="1"/>
  <c r="AK55" i="19"/>
  <c r="M15" i="19"/>
  <c r="AE45" i="19"/>
  <c r="S25" i="19"/>
  <c r="M55" i="19"/>
  <c r="Y55" i="19"/>
  <c r="S45" i="19"/>
  <c r="AK35" i="19"/>
  <c r="AK15" i="19"/>
  <c r="S15" i="19"/>
  <c r="S35" i="19"/>
  <c r="M35" i="19"/>
  <c r="M48" i="19"/>
  <c r="M38" i="19"/>
  <c r="AK28" i="19"/>
  <c r="Y8" i="19"/>
  <c r="Y28" i="19"/>
  <c r="AK8" i="19"/>
  <c r="AC25" i="1"/>
  <c r="S48" i="19"/>
  <c r="AE18" i="19"/>
  <c r="S28" i="19"/>
  <c r="M28" i="19"/>
  <c r="S38" i="19"/>
  <c r="Y38" i="19"/>
  <c r="AE28" i="19"/>
  <c r="AE8" i="19"/>
  <c r="Y48" i="19"/>
  <c r="AK38" i="19"/>
  <c r="AE48" i="19"/>
  <c r="S8" i="19"/>
  <c r="AK48" i="19"/>
  <c r="AE38" i="19"/>
  <c r="AK18" i="19"/>
  <c r="M8" i="19"/>
  <c r="M18" i="19"/>
  <c r="Y18" i="19"/>
  <c r="S18" i="19"/>
  <c r="T18" i="19"/>
  <c r="AC26" i="1"/>
  <c r="AF18" i="19"/>
  <c r="N28" i="19"/>
  <c r="N48" i="19"/>
  <c r="Z28" i="19"/>
  <c r="AL8" i="19"/>
  <c r="N38" i="19"/>
  <c r="AL18" i="19"/>
  <c r="T38" i="19"/>
  <c r="N18" i="19"/>
  <c r="N8" i="19"/>
  <c r="Z18" i="19"/>
  <c r="Z48" i="19"/>
  <c r="AL38" i="19"/>
  <c r="Z8" i="19"/>
  <c r="Z38" i="19"/>
  <c r="T28" i="19"/>
  <c r="AF8" i="19"/>
  <c r="AL48" i="19"/>
  <c r="AF28" i="19"/>
  <c r="T48" i="19"/>
  <c r="AF48" i="19"/>
  <c r="AF38" i="19"/>
  <c r="AL28" i="19"/>
  <c r="T8" i="19"/>
  <c r="AE11" i="19"/>
  <c r="Y21" i="19"/>
  <c r="AK31" i="19"/>
  <c r="AE21" i="19"/>
  <c r="AE31" i="19"/>
  <c r="Y41" i="19"/>
  <c r="Y31" i="19"/>
  <c r="AK51" i="19"/>
  <c r="S51" i="19"/>
  <c r="M51" i="19"/>
  <c r="Y11" i="19"/>
  <c r="AE41" i="19"/>
  <c r="M41" i="19"/>
  <c r="M11" i="19"/>
  <c r="S21" i="19"/>
  <c r="AC43" i="1"/>
  <c r="AK21" i="19"/>
  <c r="S31" i="19"/>
  <c r="Y51" i="19"/>
  <c r="S11" i="19"/>
  <c r="M31" i="19"/>
  <c r="AE51" i="19"/>
  <c r="M21" i="19"/>
  <c r="AK11" i="19"/>
  <c r="S41" i="19"/>
  <c r="N51" i="19"/>
  <c r="Z11" i="19"/>
  <c r="Z41" i="19"/>
  <c r="Z31" i="19"/>
  <c r="T11" i="19"/>
  <c r="Z21" i="19"/>
  <c r="N41" i="19"/>
  <c r="T41" i="19"/>
  <c r="AF31" i="19"/>
  <c r="AF21" i="19"/>
  <c r="N21" i="19"/>
  <c r="AF11" i="19"/>
  <c r="AL51" i="19"/>
  <c r="Z51" i="19"/>
  <c r="AF41" i="19"/>
  <c r="T51" i="19"/>
  <c r="AL31" i="19"/>
  <c r="N31" i="19"/>
  <c r="AL41" i="19"/>
  <c r="N11" i="19"/>
  <c r="AC44" i="1"/>
  <c r="T31" i="19"/>
  <c r="AL11" i="19"/>
  <c r="T21" i="19"/>
  <c r="AF51" i="19"/>
  <c r="AL21" i="19"/>
  <c r="Z42" i="19" l="1"/>
  <c r="AF52" i="19"/>
  <c r="Z52" i="19"/>
  <c r="AL12" i="19"/>
  <c r="AF42" i="19"/>
  <c r="AL32" i="19"/>
  <c r="Z22" i="19"/>
  <c r="N12" i="19"/>
  <c r="T42" i="19"/>
  <c r="AL52" i="19"/>
  <c r="AF22" i="19"/>
  <c r="T52" i="19"/>
  <c r="Z12" i="19"/>
  <c r="AL42" i="19"/>
  <c r="Z32" i="19"/>
  <c r="N22" i="19"/>
  <c r="AF12" i="19"/>
  <c r="T12" i="19"/>
  <c r="AL22" i="19"/>
  <c r="AC50" i="1"/>
  <c r="N32" i="19"/>
  <c r="T22" i="19"/>
  <c r="AF32" i="19"/>
  <c r="T32" i="19"/>
  <c r="AM42" i="19"/>
  <c r="O12" i="19"/>
  <c r="AM22" i="19"/>
  <c r="AA12" i="19"/>
  <c r="AA52" i="19"/>
  <c r="AG32" i="19"/>
  <c r="O32" i="19"/>
  <c r="O22" i="19"/>
  <c r="AC51" i="1"/>
  <c r="U32" i="19"/>
  <c r="U22" i="19"/>
  <c r="U12" i="19"/>
  <c r="AG52" i="19"/>
  <c r="AG22" i="19"/>
  <c r="AA22" i="19"/>
  <c r="AM12" i="19"/>
  <c r="AG12" i="19"/>
  <c r="AM52" i="19"/>
  <c r="AA32" i="19"/>
  <c r="O42" i="19"/>
  <c r="AM32" i="19"/>
  <c r="O52" i="19"/>
  <c r="U42" i="19"/>
  <c r="AA42" i="19"/>
  <c r="AG42" i="19"/>
  <c r="U52" i="19"/>
  <c r="N35" i="19"/>
  <c r="N42" i="19"/>
  <c r="AL25" i="19"/>
  <c r="AL35" i="19"/>
  <c r="N55" i="19"/>
  <c r="Z15" i="19"/>
  <c r="N25" i="19"/>
  <c r="AF35" i="19"/>
  <c r="AC68" i="1"/>
  <c r="Z55" i="19"/>
  <c r="N15" i="19"/>
  <c r="AF15" i="19"/>
  <c r="AF55" i="19"/>
  <c r="T35" i="19"/>
  <c r="AL15" i="19"/>
  <c r="AL45" i="19"/>
  <c r="AL55" i="19"/>
  <c r="AF25" i="19"/>
  <c r="T55" i="19"/>
  <c r="AF45" i="19"/>
  <c r="Z35" i="19"/>
  <c r="Z45" i="19"/>
  <c r="Z25" i="19"/>
  <c r="T25" i="19"/>
  <c r="N45" i="19"/>
  <c r="T45" i="19"/>
  <c r="AA55" i="19"/>
  <c r="O55" i="19"/>
  <c r="AA25" i="19"/>
  <c r="O25" i="19"/>
  <c r="AA45" i="19"/>
  <c r="O15" i="19"/>
  <c r="AG55" i="19"/>
  <c r="O45" i="19"/>
  <c r="AG35" i="19"/>
  <c r="AM45" i="19"/>
  <c r="U25" i="19"/>
  <c r="AM15" i="19"/>
  <c r="AC69" i="1"/>
  <c r="U55" i="19"/>
  <c r="AA15" i="19"/>
  <c r="AM25" i="19"/>
  <c r="AG25" i="19"/>
  <c r="AG45" i="19"/>
  <c r="U45" i="19"/>
  <c r="AG15" i="19"/>
  <c r="AM55" i="19"/>
  <c r="AM35" i="19"/>
  <c r="AA35" i="19"/>
  <c r="U35" i="19"/>
  <c r="O35" i="19"/>
  <c r="U1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<sst xmlns="http://schemas.openxmlformats.org/spreadsheetml/2006/main" count="631" uniqueCount="326">
  <si>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</si>
  <si>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</si>
  <si>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</si>
  <si>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</si>
  <si>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</si>
  <si>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</si>
  <si>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</si>
  <si>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</si>
  <si>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</si>
  <si>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</si>
  <si>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</si>
  <si>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</si>
  <si>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</si>
  <si>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</si>
  <si>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</si>
  <si>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</si>
  <si>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</si>
  <si>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</si>
  <si>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</si>
  <si>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</si>
  <si>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</si>
  <si>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</si>
  <si>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</si>
  <si>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</si>
  <si>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</si>
  <si>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</si>
  <si>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</si>
  <si>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</si>
  <si>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</si>
  <si>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</si>
  <si>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</si>
  <si>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</si>
  <si>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</si>
  <si>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</si>
  <si>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</si>
  <si>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</si>
  <si>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</si>
  <si>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</si>
  <si>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</si>
  <si>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</si>
  <si>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</si>
  <si>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</si>
  <si>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</si>
  <si>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</si>
  <si>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</si>
  <si>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</si>
  <si>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</si>
  <si>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</si>
  <si>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</si>
  <si>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</si>
  <si>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</si>
  <si>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</si>
  <si>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</si>
  <si>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</si>
  <si>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</si>
  <si>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</si>
  <si>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</si>
  <si>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</si>
  <si>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</si>
  <si>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</si>
  <si>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</si>
  <si>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</si>
  <si>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</si>
  <si>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</si>
  <si>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</si>
  <si>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</si>
  <si>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</si>
  <si>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</si>
  <si>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</si>
  <si>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</si>
  <si>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</si>
  <si>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</si>
  <si>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</si>
  <si>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</si>
  <si>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</si>
  <si>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</si>
  <si>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</si>
  <si>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</si>
  <si>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</si>
  <si>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</si>
  <si>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</si>
  <si>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</si>
  <si>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</si>
  <si>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</si>
  <si>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</si>
  <si>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</si>
  <si>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</si>
  <si>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</si>
  <si>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</si>
  <si>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</si>
  <si>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</si>
  <si>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</si>
  <si>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</si>
  <si>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</si>
  <si>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</si>
  <si>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</si>
  <si>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</si>
  <si>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</si>
  <si>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</si>
  <si>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</si>
  <si>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</si>
  <si>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</si>
  <si>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</si>
  <si>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</si>
  <si>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</si>
  <si>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</si>
  <si>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</si>
  <si>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</si>
  <si>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</si>
  <si>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</si>
  <si>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</si>
  <si>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</si>
  <si>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</si>
  <si>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</si>
  <si>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</si>
  <si>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</si>
  <si>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</si>
  <si>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</si>
  <si>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</si>
  <si>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</si>
  <si>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</si>
  <si>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</si>
  <si>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</si>
  <si>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</si>
  <si>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</si>
  <si>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</si>
  <si>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</si>
  <si>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</si>
  <si>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</si>
  <si>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</si>
  <si>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</si>
  <si>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</si>
  <si>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</si>
  <si>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</si>
  <si>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</si>
  <si>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</si>
  <si>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</si>
  <si>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</si>
  <si>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</si>
  <si>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</si>
  <si>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</si>
  <si>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</si>
  <si>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</si>
  <si>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</si>
  <si>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</si>
  <si>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</si>
  <si>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</si>
  <si>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</si>
  <si>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</si>
  <si>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</si>
  <si>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</si>
  <si>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</si>
  <si>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</si>
  <si>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</si>
  <si>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</si>
  <si>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</si>
  <si>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</si>
  <si>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</si>
  <si>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</si>
  <si>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</si>
  <si>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</si>
  <si>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</si>
  <si>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</si>
  <si>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</si>
  <si>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</si>
  <si>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</si>
  <si>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</si>
  <si>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</si>
  <si>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</si>
  <si>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</si>
  <si>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</si>
  <si>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</si>
  <si>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</si>
  <si>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</si>
  <si>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</si>
  <si>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</si>
  <si>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</si>
  <si>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</si>
  <si>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</si>
  <si>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</si>
  <si>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</si>
  <si>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</si>
  <si>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</si>
  <si>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</si>
  <si>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</si>
  <si>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</si>
  <si>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</si>
  <si>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</si>
  <si>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</si>
  <si>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</si>
  <si>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</si>
  <si>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</si>
  <si>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</si>
  <si>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</si>
  <si>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</si>
  <si>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</si>
  <si>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</si>
  <si>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</si>
  <si>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</si>
  <si>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</si>
  <si>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</si>
  <si>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</si>
  <si>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</si>
  <si>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</si>
  <si>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</si>
  <si>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</si>
  <si>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</si>
  <si>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</si>
  <si>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</si>
  <si>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</si>
  <si>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</si>
  <si>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</si>
  <si>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</si>
  <si>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</si>
  <si>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</si>
  <si>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</si>
  <si>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</si>
  <si>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</si>
  <si>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</si>
  <si>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</si>
  <si>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</si>
  <si>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</si>
  <si>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</si>
  <si>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</si>
  <si>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</si>
  <si>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</si>
  <si>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</si>
  <si>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</si>
  <si>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</si>
  <si>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</si>
  <si>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</si>
  <si>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</si>
  <si>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</si>
  <si>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</si>
  <si>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</si>
  <si>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</si>
  <si>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</si>
  <si>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</si>
  <si>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</si>
  <si>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</si>
  <si>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</si>
  <si>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</si>
  <si>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</si>
  <si>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</si>
  <si>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</si>
  <si>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</si>
  <si>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</si>
  <si>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</si>
  <si>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</si>
  <si>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</si>
  <si>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</si>
  <si>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</si>
  <si>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</si>
  <si>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</si>
  <si>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</si>
  <si>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</si>
  <si>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GESTIÓN DE LA INFORMACIÓN</t>
  </si>
  <si>
    <t>Coordinador de GI</t>
  </si>
  <si>
    <t>Afectación del rack de comunicaciones por fenómenos naturales</t>
  </si>
  <si>
    <t xml:space="preserve">1. Inundaciones
2. Incendios  
3. Fenómenos volcánicos 
4. Terremotos
</t>
  </si>
  <si>
    <t xml:space="preserve">Ausencia de suministros tecnicos </t>
  </si>
  <si>
    <t>Incumplimiento en la entrega de desarrollos de software propios del hospital</t>
  </si>
  <si>
    <t xml:space="preserve"> Colapso del archivo </t>
  </si>
  <si>
    <t>Incumplimiento de actividades programadas en el Plan Estratégico de Tecnologías de la Información (PETI)</t>
  </si>
  <si>
    <t>Mantener controles que se vienen trabajando</t>
  </si>
  <si>
    <t>Gestionar de manera integral las tecnologías de la información y las comunicaciones en la organización, prestando servicios acordes a las necesidades de la misma y los avances en la materia, para contribuir al desarrollo de los procesos estratégicos, misionales y de apoyo a través de la tecnología.</t>
  </si>
  <si>
    <t>Aplica a todas las dependencias administrativas y asistenciales de la organización y aquellos procesos y procedimientos que generen datos estructurados, semi estructurados y no estructurados.</t>
  </si>
  <si>
    <t>Posibilidad de pérdida Económica y Reputacional por caída del sistema de información DGH, debido a destinación presupuestal y fallas de fluido eléctrico.</t>
  </si>
  <si>
    <t xml:space="preserve">1. Falta de planeación en el cronograma de actividades 
2. Insuficiencia en la priorización del cronograma de  desarrollo de software de alto impacto en la organización </t>
  </si>
  <si>
    <t>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t>
  </si>
  <si>
    <t>Coordinador de GI, delega actividades a personal a su cargo, teniendo en cuenta que  1 vez al año, revisan y evalúan los ajustes realizados a los formatos y procedimientos, según el área y el tipo de actividad se delega a un ingeniero responsable, dando cumplimiento a la programación de actividades del plan PETI, si el coordinador de GI en el seguimiento realizado a las diferentes actividades por responsable, percata que esta actividad no se está llevando a cabo, realiza un análisis para brindar apoyo al ingeniero responsable o en último caso reasignar a otro en la actividad.</t>
  </si>
  <si>
    <t>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t>
  </si>
  <si>
    <t xml:space="preserve">Posibilidad de pérdida Económica y Reputacional por perdida de información, debido a errores humanos, fallas eléctricas y del sistema.
</t>
  </si>
  <si>
    <t>Duplicidad en el número de historia clínica según consecutivo o varios pacientes</t>
  </si>
  <si>
    <t xml:space="preserve">1. Mala identificación del paciente en el ingreso
2. Error humano en la admisión 
3. Sistema no permite visualizar y unificar si el paciente ya cuenta con historia clínica.
</t>
  </si>
  <si>
    <t>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t>
  </si>
  <si>
    <t>Posibilidad de pérdida Económica y Reputacional por afectación del rack de comunicaciones por fenómenos naturales, debido a inundaciones, incendios, fenómenos volcánicos y terremotos.</t>
  </si>
  <si>
    <t>Técnico de servidores, realiza actualización del plan de contingencia y ejecución de simulacros del mismo. Los equipos los tienen a una altura adecuada en caso de inundaciones, según los estándares establecidos, tienen acceso restringido de personal.</t>
  </si>
  <si>
    <t>Coordinador y profesional universitario de GI, realiza revisión del cronograma de desarrollo, encuestas de satisfacción dirigida a usuario final, reuniones de pruebas de software y actas de entrega, todo esto con el fin de dar cumplimiento y realizar mejoras y/o ajustes de diferentes desarrollos.</t>
  </si>
  <si>
    <t>Realizar solicitud de implementación de backup externo o cluster en la nube y rack de comunicaciones sea antisísmico.</t>
  </si>
  <si>
    <t xml:space="preserve">Posibilidad de pérdida Económica y Reputacional por colapso del archivo, debido a insuficiente espacio, ausencia de aprobación de TRD, falta de depuración documental
</t>
  </si>
  <si>
    <t xml:space="preserve">Auxiliar administrativo de GI, verifica en el Sistema de información DGH, en la página de procuraduría y en ADRES, para establecer y unificar una única HC por cada usuario y remitir a soporte por parte de la Oficina de Gestión de la Información.
</t>
  </si>
  <si>
    <t>Coordinador de GI, capacita al personal respecto al protocolo de actualización del Sistema de Información Hospitalaria (HIS), con el fin de informar las actividades correspondientes a cada integrante del equipo de GI, que intervenga en el protocolo.</t>
  </si>
  <si>
    <t>Perdida y/o falla en el acceso de la información</t>
  </si>
  <si>
    <t>Tecnico operativo de GI, realiza copia de seguridad de los activos de información, con el fin de salvaguardar la información.</t>
  </si>
  <si>
    <t xml:space="preserve">Realizar solicitud y seguimiento de la necesidad de contratación de una empresa especializada en el manejo de alta disponibilidad de almacenamiento de backups y software.
</t>
  </si>
  <si>
    <t xml:space="preserve">1. Falta de asignación de presupuesto
2. Ausencia de planeación del plan anual de adquisiciones (PAA)
3. Falta de seguimiento a la solicitud de necesidades (ECO)
</t>
  </si>
  <si>
    <t>Caída del Sistema de Información Hospitalario (HIS)</t>
  </si>
  <si>
    <t>Perdida de información digital y fisica que reposa en el archivo central y en el Sistema de Gestión Documental</t>
  </si>
  <si>
    <t xml:space="preserve">Posibilidad de pérdida Económica y Reputacional por documentos que ingresan a la unidad de correspondencia incompleto o no digitalizado, debido a la capacidad del equipo, errores humanos y fallas del sistema
</t>
  </si>
  <si>
    <t xml:space="preserve">1. No realizar backup de seguridad.
2. Ausencia de control de consulta y prestamo de documentos
</t>
  </si>
  <si>
    <t>Realizar solicitud de implementación de Software para manejo del Sistema de Gestión Documental</t>
  </si>
  <si>
    <t>Realizar solicitud de implementación de Software para manejo de consulta y prestamo de documentos</t>
  </si>
  <si>
    <t>Auxiliar Administrativo, una vez archivo general de la nación convalide las TRD, orienta a los funcionarios para que organicen los archivos de gestión de acuerdo como dictan las TRD, con el fin de manejar los archivos adecuadamente, evitando el deterioro de la información en los archivos de gestión</t>
  </si>
  <si>
    <t xml:space="preserve">1. Ausencia de convalidación de Tablas de Retención Documental (TRD) 
2. Falta de depuración documental
3. Insuficiente espacio 
</t>
  </si>
  <si>
    <t xml:space="preserve">Auxiliar administrativo, realiza depuración documental a demanda, teniendo en cuenta el previo analisis de los documentos a eliminar, con el fin de liberar espacio para recepcionar transferencias primarias.
</t>
  </si>
  <si>
    <t>Coordinador de GI, verifica que el equipo de trabajo de la oficina de GI exponga las necesidades que cada uno maneja, con el fin de consolidarlas en el PAA y posterio envio al área de contratación</t>
  </si>
  <si>
    <t>Posibilidad de pérdida Económica y Reputacional por ausencia de suministros tecnicos, debido a falta de asignación de presupuesto y ausencia de planeación del PAA</t>
  </si>
  <si>
    <t>Coordinador de GI, presenta en el PAA los requerimientos presupuestales que se necesitan en el área para su funcionamiento en toda la institución, teniendo en cuenta la gestión administrativa con subgerencia y recursos financieros, con el fin de contar con la partida presupuestal oficial para GI.</t>
  </si>
  <si>
    <t>Coordinador de GI, anualmente realiza la gestión para garantizar un contrato de soporte vigente con el proveedor de HIS, con el fin de garantizar que el sistema se mantenga actualizado normativa y funcionalmente.</t>
  </si>
  <si>
    <t>Tecnico operativo de GI, garantiza la ejecución de cronograma de mantenimiento del parque informatico del HUDN y UPS de los racks de comunicaciones  y suministra los repuestos necesarios, con el fin de garantizar el  correcto mantenimiento y funcionamiento de los equipos.</t>
  </si>
  <si>
    <t xml:space="preserve">1. Ausencia de destinación presupuestal 
2. Ausencia de actualizaciónes por falta de contrato soporte del HIS
3. Falta de adherencia de protocolo de actualización del HIS
4. Fallas en la red de fluido eléctrico y datos.
5. Falta de experticia del personal
</t>
  </si>
  <si>
    <t>Coordinador de GI, debe garantizar que el personal a contratar cumpla con la formación especifica y experiencia profesional relacionada a las funciones, con el fin de  que se realice ejecución del proceso adecuadamente.</t>
  </si>
  <si>
    <t>Solicitar a recursos humanos la inclusión de capacitaciones especificas (desarrollo de software, configuración en telecomunicaciones, ciberseguridad, adm. Servidores, etc.) al personal de GI.</t>
  </si>
  <si>
    <t xml:space="preserve">Tecnico operativo de GI, realiza copia de seguridad de los activos de información misionales, con el fin de salvaguardar la información.
</t>
  </si>
  <si>
    <t>Coordinador de GI, realiza seguimiento a la ejecución de copias de seguidad a cargo del tecnico operativo, garantizar buenas practicas en el desarrollo de aplicaciones y contemplar en los contratos de aplicaciones con teceros el manejo, capacitaciones, entrega de diccionarios de datos y credenciales de acceso, con el fin de llevar un control e informe de las copias realizadas, teniendo en cuenta la frecuencia y un buen soporte de las aplicaciones internas y externas del HUDN.</t>
  </si>
  <si>
    <t>1. Ausencia de adherencia del procedimiento de copias de seguridad
2. Falla en las aplicaciones del HUDN
3. Fallas en la red de fluido eléctrico y datos. 
4. Ausencia de politica de copias de seguridad
5. Falta de medios de almacenamiento adecuados y suficientes, para realizar copias de seguridad</t>
  </si>
  <si>
    <t>Prof. Univ. de TICs</t>
  </si>
  <si>
    <t>Elaborar y gestionar la aprobación de la politica de copias de seguidad institucional.</t>
  </si>
  <si>
    <t xml:space="preserve">Prof. Univ. de TICs, elaborar y gestionar la aprobación de la politica de copias de seguidad institucional, con el fin de contar con el documento estandarizado, publicado y divulgado.
</t>
  </si>
  <si>
    <t>Coordinador de GI, presenta en el PAA los requerimientos suficientes y necesarios de medios de almacenamiento (onpremises o en la nube) que se necesitan en el área para su funcionamiento en toda la institución, teniendo en cuenta la gestión administrativa con subgerencia y recursos financieros, con el fin de contar con los medios adecuados y suficientes para el almacenamiento de información misional.</t>
  </si>
  <si>
    <t>Presentar en el PAA los requerimientos suficientes y necesarios de medios de almacenamiento (onpremises o en la nube) que se necesitan en el área para su funcionamiento en toda la institución, teniendo en cuenta la gestión administrativa con subgerencia y recursos financieros, con el fin de contar con los medios adecuados y suficientes para el almacenamiento de información misional.</t>
  </si>
  <si>
    <t>Solicitar a recursos humanos la inclusión de capacitaciones especificas (ciberseguridad) al personal de GI.</t>
  </si>
  <si>
    <t>Actuallizar y divulgar las politicas, planes y manuales de seguridad de la información</t>
  </si>
  <si>
    <t>Coordinador de GI
Prof.Univ.TICs</t>
  </si>
  <si>
    <t>Coordinador de GI
Tecnico operativo
Prof.Univ.TICs</t>
  </si>
  <si>
    <t>Continuar con la identificación, actualización, control y gestión de los riesgos de los activos de información</t>
  </si>
  <si>
    <t>Posibilidad de pérdida Económica y Reputacional por documentos que ingresan a la unidad de correspondencia incompleto o no digitalizado, debido a la capacidad del equipo, errores humanos y fallas del sistema</t>
  </si>
  <si>
    <t xml:space="preserve">
</t>
  </si>
  <si>
    <t>Auxiliar Administrativo, mensualmente realiza el control de seguimiento de la documentación prestada, y en caso de cumplir el tiempo de devolución de documentos se envia formato mediante correo electronico,con el fin de conocer el estado de la devolución.</t>
  </si>
  <si>
    <t xml:space="preserve">Auxiliar Administrativo de GI, verifica el número de documento comparando el número del sistema con el documento real,  estableciendo la verdadera identidad del usuario, y de la misma forma evitar errores en la admisión 
</t>
  </si>
  <si>
    <t xml:space="preserve">1. Ausencia de actualización en proyectos y presupuesto 
2. Falta de adherencia del PETI
</t>
  </si>
  <si>
    <t>Coordinador de GI, documenta el seguimiento de ECOs al proceso de contratación mediante correo electronico a la oficina juridica con copia a alta gerencia, con el fin de generar evidencia del seguimiento para control y ejecución del mismo.</t>
  </si>
  <si>
    <t xml:space="preserve">1. Personal sin la formación especifica en seguridad informatica 
2. Falta de adherencia a la politica de seguridad de la información
3. Ausencia de politicas especificas para prevención de ataques
4. Falta de mitigación de los riesgos expuestos en la matriz de analisis de riesgos de Seguridad de la Información (MAGERIT)
5. Ausencia de destinación presupuestal 
5. Ausencia de destinación presupuestal 
</t>
  </si>
  <si>
    <t xml:space="preserve">Elaborar y gestionar la aprobación de las políticas específicas encaminadas en la aplicación de mejores prácticas de ciberseguridad.
</t>
  </si>
  <si>
    <t xml:space="preserve"> Atauqe cibernético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</si>
</sst>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1" fillId="0" borderId="0" xfId="0" applyFont="1" applyAlignment="1" applyProtection="1">
      <alignment wrapText="1"/>
      <protection locked="0"/>
    </xf>
    <xf numFmtId="0" fontId="1" fillId="0" borderId="2" xfId="0" applyFont="1" applyBorder="1" applyAlignment="1" applyProtection="1">
      <alignment horizontal="justify" vertical="top" wrapText="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8" t="s">
        <v>166</v>
      </c>
      <c r="C2" s="159"/>
      <c r="D2" s="159"/>
      <c r="E2" s="159"/>
      <c r="F2" s="159"/>
      <c r="G2" s="159"/>
      <c r="H2" s="160"/>
    </row>
    <row r="3" spans="2:8" x14ac:dyDescent="0.25">
      <c r="B3" s="84"/>
      <c r="C3" s="85"/>
      <c r="D3" s="85"/>
      <c r="E3" s="85"/>
      <c r="F3" s="85"/>
      <c r="G3" s="85"/>
      <c r="H3" s="86"/>
    </row>
    <row r="4" spans="2:8" ht="63" customHeight="1" x14ac:dyDescent="0.25">
      <c r="B4" s="161" t="s">
        <v>209</v>
      </c>
      <c r="C4" s="162"/>
      <c r="D4" s="162"/>
      <c r="E4" s="162"/>
      <c r="F4" s="162"/>
      <c r="G4" s="162"/>
      <c r="H4" s="163"/>
    </row>
    <row r="5" spans="2:8" ht="63" customHeight="1" x14ac:dyDescent="0.25">
      <c r="B5" s="164"/>
      <c r="C5" s="165"/>
      <c r="D5" s="165"/>
      <c r="E5" s="165"/>
      <c r="F5" s="165"/>
      <c r="G5" s="165"/>
      <c r="H5" s="166"/>
    </row>
    <row r="6" spans="2:8" ht="16.5" x14ac:dyDescent="0.25">
      <c r="B6" s="167" t="s">
        <v>164</v>
      </c>
      <c r="C6" s="168"/>
      <c r="D6" s="168"/>
      <c r="E6" s="168"/>
      <c r="F6" s="168"/>
      <c r="G6" s="168"/>
      <c r="H6" s="169"/>
    </row>
    <row r="7" spans="2:8" ht="95.25" customHeight="1" x14ac:dyDescent="0.25">
      <c r="B7" s="177" t="s">
        <v>169</v>
      </c>
      <c r="C7" s="178"/>
      <c r="D7" s="178"/>
      <c r="E7" s="178"/>
      <c r="F7" s="178"/>
      <c r="G7" s="178"/>
      <c r="H7" s="179"/>
    </row>
    <row r="8" spans="2:8" ht="16.5" x14ac:dyDescent="0.25">
      <c r="B8" s="120"/>
      <c r="C8" s="121"/>
      <c r="D8" s="121"/>
      <c r="E8" s="121"/>
      <c r="F8" s="121"/>
      <c r="G8" s="121"/>
      <c r="H8" s="122"/>
    </row>
    <row r="9" spans="2:8" ht="16.5" customHeight="1" x14ac:dyDescent="0.25">
      <c r="B9" s="170" t="s">
        <v>202</v>
      </c>
      <c r="C9" s="171"/>
      <c r="D9" s="171"/>
      <c r="E9" s="171"/>
      <c r="F9" s="171"/>
      <c r="G9" s="171"/>
      <c r="H9" s="172"/>
    </row>
    <row r="10" spans="2:8" ht="44.25" customHeight="1" x14ac:dyDescent="0.25">
      <c r="B10" s="170"/>
      <c r="C10" s="171"/>
      <c r="D10" s="171"/>
      <c r="E10" s="171"/>
      <c r="F10" s="171"/>
      <c r="G10" s="171"/>
      <c r="H10" s="172"/>
    </row>
    <row r="11" spans="2:8" ht="15.75" thickBot="1" x14ac:dyDescent="0.3">
      <c r="B11" s="109"/>
      <c r="C11" s="112"/>
      <c r="D11" s="117"/>
      <c r="E11" s="118"/>
      <c r="F11" s="118"/>
      <c r="G11" s="119"/>
      <c r="H11" s="113"/>
    </row>
    <row r="12" spans="2:8" ht="15.75" thickTop="1" x14ac:dyDescent="0.25">
      <c r="B12" s="109"/>
      <c r="C12" s="173" t="s">
        <v>165</v>
      </c>
      <c r="D12" s="174"/>
      <c r="E12" s="175" t="s">
        <v>203</v>
      </c>
      <c r="F12" s="176"/>
      <c r="G12" s="112"/>
      <c r="H12" s="113"/>
    </row>
    <row r="13" spans="2:8" ht="35.25" customHeight="1" x14ac:dyDescent="0.25">
      <c r="B13" s="109"/>
      <c r="C13" s="145" t="s">
        <v>196</v>
      </c>
      <c r="D13" s="146"/>
      <c r="E13" s="147" t="s">
        <v>201</v>
      </c>
      <c r="F13" s="148"/>
      <c r="G13" s="112"/>
      <c r="H13" s="113"/>
    </row>
    <row r="14" spans="2:8" ht="17.25" customHeight="1" x14ac:dyDescent="0.25">
      <c r="B14" s="109"/>
      <c r="C14" s="145" t="s">
        <v>197</v>
      </c>
      <c r="D14" s="146"/>
      <c r="E14" s="147" t="s">
        <v>199</v>
      </c>
      <c r="F14" s="148"/>
      <c r="G14" s="112"/>
      <c r="H14" s="113"/>
    </row>
    <row r="15" spans="2:8" ht="19.5" customHeight="1" x14ac:dyDescent="0.25">
      <c r="B15" s="109"/>
      <c r="C15" s="145" t="s">
        <v>198</v>
      </c>
      <c r="D15" s="146"/>
      <c r="E15" s="147" t="s">
        <v>200</v>
      </c>
      <c r="F15" s="148"/>
      <c r="G15" s="112"/>
      <c r="H15" s="113"/>
    </row>
    <row r="16" spans="2:8" ht="69.75" customHeight="1" x14ac:dyDescent="0.25">
      <c r="B16" s="109"/>
      <c r="C16" s="145" t="s">
        <v>167</v>
      </c>
      <c r="D16" s="146"/>
      <c r="E16" s="147" t="s">
        <v>168</v>
      </c>
      <c r="F16" s="148"/>
      <c r="G16" s="112"/>
      <c r="H16" s="113"/>
    </row>
    <row r="17" spans="2:8" ht="34.5" customHeight="1" x14ac:dyDescent="0.25">
      <c r="B17" s="109"/>
      <c r="C17" s="149" t="s">
        <v>2</v>
      </c>
      <c r="D17" s="150"/>
      <c r="E17" s="141" t="s">
        <v>210</v>
      </c>
      <c r="F17" s="142"/>
      <c r="G17" s="112"/>
      <c r="H17" s="113"/>
    </row>
    <row r="18" spans="2:8" ht="27.75" customHeight="1" x14ac:dyDescent="0.25">
      <c r="B18" s="109"/>
      <c r="C18" s="149" t="s">
        <v>3</v>
      </c>
      <c r="D18" s="150"/>
      <c r="E18" s="141" t="s">
        <v>211</v>
      </c>
      <c r="F18" s="142"/>
      <c r="G18" s="112"/>
      <c r="H18" s="113"/>
    </row>
    <row r="19" spans="2:8" ht="28.5" customHeight="1" x14ac:dyDescent="0.25">
      <c r="B19" s="109"/>
      <c r="C19" s="149" t="s">
        <v>42</v>
      </c>
      <c r="D19" s="150"/>
      <c r="E19" s="141" t="s">
        <v>212</v>
      </c>
      <c r="F19" s="142"/>
      <c r="G19" s="112"/>
      <c r="H19" s="113"/>
    </row>
    <row r="20" spans="2:8" ht="72.75" customHeight="1" x14ac:dyDescent="0.25">
      <c r="B20" s="109"/>
      <c r="C20" s="149" t="s">
        <v>1</v>
      </c>
      <c r="D20" s="150"/>
      <c r="E20" s="141" t="s">
        <v>213</v>
      </c>
      <c r="F20" s="142"/>
      <c r="G20" s="112"/>
      <c r="H20" s="113"/>
    </row>
    <row r="21" spans="2:8" ht="64.5" customHeight="1" x14ac:dyDescent="0.25">
      <c r="B21" s="109"/>
      <c r="C21" s="149" t="s">
        <v>50</v>
      </c>
      <c r="D21" s="150"/>
      <c r="E21" s="141" t="s">
        <v>171</v>
      </c>
      <c r="F21" s="142"/>
      <c r="G21" s="112"/>
      <c r="H21" s="113"/>
    </row>
    <row r="22" spans="2:8" ht="71.25" customHeight="1" x14ac:dyDescent="0.25">
      <c r="B22" s="109"/>
      <c r="C22" s="149" t="s">
        <v>170</v>
      </c>
      <c r="D22" s="150"/>
      <c r="E22" s="141" t="s">
        <v>172</v>
      </c>
      <c r="F22" s="142"/>
      <c r="G22" s="112"/>
      <c r="H22" s="113"/>
    </row>
    <row r="23" spans="2:8" ht="55.5" customHeight="1" x14ac:dyDescent="0.25">
      <c r="B23" s="109"/>
      <c r="C23" s="143" t="s">
        <v>173</v>
      </c>
      <c r="D23" s="144"/>
      <c r="E23" s="141" t="s">
        <v>174</v>
      </c>
      <c r="F23" s="142"/>
      <c r="G23" s="112"/>
      <c r="H23" s="113"/>
    </row>
    <row r="24" spans="2:8" ht="42" customHeight="1" x14ac:dyDescent="0.25">
      <c r="B24" s="109"/>
      <c r="C24" s="143" t="s">
        <v>48</v>
      </c>
      <c r="D24" s="144"/>
      <c r="E24" s="141" t="s">
        <v>175</v>
      </c>
      <c r="F24" s="142"/>
      <c r="G24" s="112"/>
      <c r="H24" s="113"/>
    </row>
    <row r="25" spans="2:8" ht="59.25" customHeight="1" x14ac:dyDescent="0.25">
      <c r="B25" s="109"/>
      <c r="C25" s="143" t="s">
        <v>163</v>
      </c>
      <c r="D25" s="144"/>
      <c r="E25" s="141" t="s">
        <v>176</v>
      </c>
      <c r="F25" s="142"/>
      <c r="G25" s="112"/>
      <c r="H25" s="113"/>
    </row>
    <row r="26" spans="2:8" ht="23.25" customHeight="1" x14ac:dyDescent="0.25">
      <c r="B26" s="109"/>
      <c r="C26" s="143" t="s">
        <v>12</v>
      </c>
      <c r="D26" s="144"/>
      <c r="E26" s="141" t="s">
        <v>177</v>
      </c>
      <c r="F26" s="142"/>
      <c r="G26" s="112"/>
      <c r="H26" s="113"/>
    </row>
    <row r="27" spans="2:8" ht="30.75" customHeight="1" x14ac:dyDescent="0.25">
      <c r="B27" s="109"/>
      <c r="C27" s="143" t="s">
        <v>181</v>
      </c>
      <c r="D27" s="144"/>
      <c r="E27" s="141" t="s">
        <v>178</v>
      </c>
      <c r="F27" s="142"/>
      <c r="G27" s="112"/>
      <c r="H27" s="113"/>
    </row>
    <row r="28" spans="2:8" ht="35.25" customHeight="1" x14ac:dyDescent="0.25">
      <c r="B28" s="109"/>
      <c r="C28" s="143" t="s">
        <v>182</v>
      </c>
      <c r="D28" s="144"/>
      <c r="E28" s="141" t="s">
        <v>179</v>
      </c>
      <c r="F28" s="142"/>
      <c r="G28" s="112"/>
      <c r="H28" s="113"/>
    </row>
    <row r="29" spans="2:8" ht="33" customHeight="1" x14ac:dyDescent="0.25">
      <c r="B29" s="109"/>
      <c r="C29" s="143" t="s">
        <v>182</v>
      </c>
      <c r="D29" s="144"/>
      <c r="E29" s="141" t="s">
        <v>179</v>
      </c>
      <c r="F29" s="142"/>
      <c r="G29" s="112"/>
      <c r="H29" s="113"/>
    </row>
    <row r="30" spans="2:8" ht="30" customHeight="1" x14ac:dyDescent="0.25">
      <c r="B30" s="109"/>
      <c r="C30" s="143" t="s">
        <v>183</v>
      </c>
      <c r="D30" s="144"/>
      <c r="E30" s="141" t="s">
        <v>180</v>
      </c>
      <c r="F30" s="142"/>
      <c r="G30" s="112"/>
      <c r="H30" s="113"/>
    </row>
    <row r="31" spans="2:8" ht="35.25" customHeight="1" x14ac:dyDescent="0.25">
      <c r="B31" s="109"/>
      <c r="C31" s="143" t="s">
        <v>184</v>
      </c>
      <c r="D31" s="144"/>
      <c r="E31" s="141" t="s">
        <v>185</v>
      </c>
      <c r="F31" s="142"/>
      <c r="G31" s="112"/>
      <c r="H31" s="113"/>
    </row>
    <row r="32" spans="2:8" ht="31.5" customHeight="1" x14ac:dyDescent="0.25">
      <c r="B32" s="109"/>
      <c r="C32" s="143" t="s">
        <v>186</v>
      </c>
      <c r="D32" s="144"/>
      <c r="E32" s="141" t="s">
        <v>187</v>
      </c>
      <c r="F32" s="142"/>
      <c r="G32" s="112"/>
      <c r="H32" s="113"/>
    </row>
    <row r="33" spans="2:8" ht="35.25" customHeight="1" x14ac:dyDescent="0.25">
      <c r="B33" s="109"/>
      <c r="C33" s="143" t="s">
        <v>188</v>
      </c>
      <c r="D33" s="144"/>
      <c r="E33" s="141" t="s">
        <v>189</v>
      </c>
      <c r="F33" s="142"/>
      <c r="G33" s="112"/>
      <c r="H33" s="113"/>
    </row>
    <row r="34" spans="2:8" ht="59.25" customHeight="1" x14ac:dyDescent="0.25">
      <c r="B34" s="109"/>
      <c r="C34" s="143" t="s">
        <v>190</v>
      </c>
      <c r="D34" s="144"/>
      <c r="E34" s="141" t="s">
        <v>191</v>
      </c>
      <c r="F34" s="142"/>
      <c r="G34" s="112"/>
      <c r="H34" s="113"/>
    </row>
    <row r="35" spans="2:8" ht="29.25" customHeight="1" x14ac:dyDescent="0.25">
      <c r="B35" s="109"/>
      <c r="C35" s="143" t="s">
        <v>29</v>
      </c>
      <c r="D35" s="144"/>
      <c r="E35" s="141" t="s">
        <v>192</v>
      </c>
      <c r="F35" s="142"/>
      <c r="G35" s="112"/>
      <c r="H35" s="113"/>
    </row>
    <row r="36" spans="2:8" ht="82.5" customHeight="1" x14ac:dyDescent="0.25">
      <c r="B36" s="109"/>
      <c r="C36" s="143" t="s">
        <v>194</v>
      </c>
      <c r="D36" s="144"/>
      <c r="E36" s="141" t="s">
        <v>193</v>
      </c>
      <c r="F36" s="142"/>
      <c r="G36" s="112"/>
      <c r="H36" s="113"/>
    </row>
    <row r="37" spans="2:8" ht="46.5" customHeight="1" x14ac:dyDescent="0.25">
      <c r="B37" s="109"/>
      <c r="C37" s="143" t="s">
        <v>39</v>
      </c>
      <c r="D37" s="144"/>
      <c r="E37" s="141" t="s">
        <v>195</v>
      </c>
      <c r="F37" s="142"/>
      <c r="G37" s="112"/>
      <c r="H37" s="113"/>
    </row>
    <row r="38" spans="2:8" ht="6.75" customHeight="1" thickBot="1" x14ac:dyDescent="0.3">
      <c r="B38" s="109"/>
      <c r="C38" s="154"/>
      <c r="D38" s="155"/>
      <c r="E38" s="156"/>
      <c r="F38" s="157"/>
      <c r="G38" s="112"/>
      <c r="H38" s="113"/>
    </row>
    <row r="39" spans="2:8" ht="15.75" thickTop="1" x14ac:dyDescent="0.25">
      <c r="B39" s="109"/>
      <c r="C39" s="110"/>
      <c r="D39" s="110"/>
      <c r="E39" s="111"/>
      <c r="F39" s="111"/>
      <c r="G39" s="112"/>
      <c r="H39" s="113"/>
    </row>
    <row r="40" spans="2:8" ht="21" customHeight="1" x14ac:dyDescent="0.25">
      <c r="B40" s="151" t="s">
        <v>204</v>
      </c>
      <c r="C40" s="152"/>
      <c r="D40" s="152"/>
      <c r="E40" s="152"/>
      <c r="F40" s="152"/>
      <c r="G40" s="152"/>
      <c r="H40" s="153"/>
    </row>
    <row r="41" spans="2:8" ht="20.25" customHeight="1" x14ac:dyDescent="0.25">
      <c r="B41" s="151" t="s">
        <v>205</v>
      </c>
      <c r="C41" s="152"/>
      <c r="D41" s="152"/>
      <c r="E41" s="152"/>
      <c r="F41" s="152"/>
      <c r="G41" s="152"/>
      <c r="H41" s="153"/>
    </row>
    <row r="42" spans="2:8" ht="20.25" customHeight="1" x14ac:dyDescent="0.25">
      <c r="B42" s="151" t="s">
        <v>206</v>
      </c>
      <c r="C42" s="152"/>
      <c r="D42" s="152"/>
      <c r="E42" s="152"/>
      <c r="F42" s="152"/>
      <c r="G42" s="152"/>
      <c r="H42" s="153"/>
    </row>
    <row r="43" spans="2:8" ht="20.25" customHeight="1" x14ac:dyDescent="0.25">
      <c r="B43" s="151" t="s">
        <v>207</v>
      </c>
      <c r="C43" s="152"/>
      <c r="D43" s="152"/>
      <c r="E43" s="152"/>
      <c r="F43" s="152"/>
      <c r="G43" s="152"/>
      <c r="H43" s="153"/>
    </row>
    <row r="44" spans="2:8" x14ac:dyDescent="0.25">
      <c r="B44" s="151" t="s">
        <v>208</v>
      </c>
      <c r="C44" s="152"/>
      <c r="D44" s="152"/>
      <c r="E44" s="152"/>
      <c r="F44" s="152"/>
      <c r="G44" s="152"/>
      <c r="H44" s="153"/>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T6" zoomScale="90" zoomScaleNormal="90" workbookViewId="0">
      <selection activeCell="AC10" sqref="AC10"/>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4" t="s">
        <v>144</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6"/>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7"/>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9"/>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1" t="s">
        <v>43</v>
      </c>
      <c r="B4" s="222"/>
      <c r="C4" s="180" t="s">
        <v>256</v>
      </c>
      <c r="D4" s="181"/>
      <c r="E4" s="181"/>
      <c r="F4" s="181"/>
      <c r="G4" s="181"/>
      <c r="H4" s="181"/>
      <c r="I4" s="181"/>
      <c r="J4" s="181"/>
      <c r="K4" s="181"/>
      <c r="L4" s="181"/>
      <c r="M4" s="181"/>
      <c r="N4" s="182"/>
      <c r="O4" s="183"/>
      <c r="P4" s="183"/>
      <c r="Q4" s="18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1" t="s">
        <v>130</v>
      </c>
      <c r="B5" s="222"/>
      <c r="C5" s="180" t="s">
        <v>265</v>
      </c>
      <c r="D5" s="181"/>
      <c r="E5" s="181"/>
      <c r="F5" s="181"/>
      <c r="G5" s="181"/>
      <c r="H5" s="181"/>
      <c r="I5" s="181"/>
      <c r="J5" s="181"/>
      <c r="K5" s="181"/>
      <c r="L5" s="181"/>
      <c r="M5" s="181"/>
      <c r="N5" s="182"/>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1" t="s">
        <v>44</v>
      </c>
      <c r="B6" s="222"/>
      <c r="C6" s="231" t="s">
        <v>266</v>
      </c>
      <c r="D6" s="232"/>
      <c r="E6" s="232"/>
      <c r="F6" s="232"/>
      <c r="G6" s="232"/>
      <c r="H6" s="232"/>
      <c r="I6" s="232"/>
      <c r="J6" s="232"/>
      <c r="K6" s="232"/>
      <c r="L6" s="232"/>
      <c r="M6" s="232"/>
      <c r="N6" s="23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90" t="s">
        <v>139</v>
      </c>
      <c r="B7" s="191"/>
      <c r="C7" s="191"/>
      <c r="D7" s="191"/>
      <c r="E7" s="191"/>
      <c r="F7" s="191"/>
      <c r="G7" s="192"/>
      <c r="H7" s="190" t="s">
        <v>140</v>
      </c>
      <c r="I7" s="191"/>
      <c r="J7" s="191"/>
      <c r="K7" s="191"/>
      <c r="L7" s="191"/>
      <c r="M7" s="191"/>
      <c r="N7" s="192"/>
      <c r="O7" s="190" t="s">
        <v>141</v>
      </c>
      <c r="P7" s="191"/>
      <c r="Q7" s="191"/>
      <c r="R7" s="191"/>
      <c r="S7" s="191"/>
      <c r="T7" s="191"/>
      <c r="U7" s="191"/>
      <c r="V7" s="191"/>
      <c r="W7" s="192"/>
      <c r="X7" s="190" t="s">
        <v>142</v>
      </c>
      <c r="Y7" s="191"/>
      <c r="Z7" s="191"/>
      <c r="AA7" s="191"/>
      <c r="AB7" s="191"/>
      <c r="AC7" s="191"/>
      <c r="AD7" s="192"/>
      <c r="AE7" s="190" t="s">
        <v>34</v>
      </c>
      <c r="AF7" s="191"/>
      <c r="AG7" s="191"/>
      <c r="AH7" s="191"/>
      <c r="AI7" s="191"/>
      <c r="AJ7" s="192"/>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3" t="s">
        <v>0</v>
      </c>
      <c r="B8" s="228" t="s">
        <v>2</v>
      </c>
      <c r="C8" s="226" t="s">
        <v>3</v>
      </c>
      <c r="D8" s="226" t="s">
        <v>42</v>
      </c>
      <c r="E8" s="227" t="s">
        <v>1</v>
      </c>
      <c r="F8" s="225" t="s">
        <v>50</v>
      </c>
      <c r="G8" s="226" t="s">
        <v>135</v>
      </c>
      <c r="H8" s="235" t="s">
        <v>33</v>
      </c>
      <c r="I8" s="236" t="s">
        <v>5</v>
      </c>
      <c r="J8" s="225" t="s">
        <v>87</v>
      </c>
      <c r="K8" s="225" t="s">
        <v>92</v>
      </c>
      <c r="L8" s="238" t="s">
        <v>45</v>
      </c>
      <c r="M8" s="236" t="s">
        <v>5</v>
      </c>
      <c r="N8" s="226" t="s">
        <v>48</v>
      </c>
      <c r="O8" s="229" t="s">
        <v>11</v>
      </c>
      <c r="P8" s="220" t="s">
        <v>163</v>
      </c>
      <c r="Q8" s="225" t="s">
        <v>12</v>
      </c>
      <c r="R8" s="220" t="s">
        <v>8</v>
      </c>
      <c r="S8" s="220"/>
      <c r="T8" s="220"/>
      <c r="U8" s="220"/>
      <c r="V8" s="220"/>
      <c r="W8" s="220"/>
      <c r="X8" s="234" t="s">
        <v>138</v>
      </c>
      <c r="Y8" s="234" t="s">
        <v>46</v>
      </c>
      <c r="Z8" s="234" t="s">
        <v>5</v>
      </c>
      <c r="AA8" s="234" t="s">
        <v>47</v>
      </c>
      <c r="AB8" s="234" t="s">
        <v>5</v>
      </c>
      <c r="AC8" s="234" t="s">
        <v>49</v>
      </c>
      <c r="AD8" s="229" t="s">
        <v>29</v>
      </c>
      <c r="AE8" s="220" t="s">
        <v>34</v>
      </c>
      <c r="AF8" s="220" t="s">
        <v>35</v>
      </c>
      <c r="AG8" s="220" t="s">
        <v>36</v>
      </c>
      <c r="AH8" s="220" t="s">
        <v>38</v>
      </c>
      <c r="AI8" s="220" t="s">
        <v>37</v>
      </c>
      <c r="AJ8" s="220"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4"/>
      <c r="B9" s="228"/>
      <c r="C9" s="220"/>
      <c r="D9" s="220"/>
      <c r="E9" s="228"/>
      <c r="F9" s="226"/>
      <c r="G9" s="220"/>
      <c r="H9" s="226"/>
      <c r="I9" s="237"/>
      <c r="J9" s="226"/>
      <c r="K9" s="226"/>
      <c r="L9" s="237"/>
      <c r="M9" s="237"/>
      <c r="N9" s="220"/>
      <c r="O9" s="230"/>
      <c r="P9" s="220"/>
      <c r="Q9" s="226"/>
      <c r="R9" s="7" t="s">
        <v>13</v>
      </c>
      <c r="S9" s="7" t="s">
        <v>17</v>
      </c>
      <c r="T9" s="7" t="s">
        <v>28</v>
      </c>
      <c r="U9" s="7" t="s">
        <v>18</v>
      </c>
      <c r="V9" s="7" t="s">
        <v>21</v>
      </c>
      <c r="W9" s="7" t="s">
        <v>24</v>
      </c>
      <c r="X9" s="234"/>
      <c r="Y9" s="234"/>
      <c r="Z9" s="234"/>
      <c r="AA9" s="234"/>
      <c r="AB9" s="234"/>
      <c r="AC9" s="234"/>
      <c r="AD9" s="230"/>
      <c r="AE9" s="220"/>
      <c r="AF9" s="220"/>
      <c r="AG9" s="220"/>
      <c r="AH9" s="220"/>
      <c r="AI9" s="220"/>
      <c r="AJ9" s="220"/>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2">
        <v>1</v>
      </c>
      <c r="B10" s="205" t="s">
        <v>132</v>
      </c>
      <c r="C10" s="205" t="s">
        <v>263</v>
      </c>
      <c r="D10" s="205" t="s">
        <v>321</v>
      </c>
      <c r="E10" s="208" t="s">
        <v>269</v>
      </c>
      <c r="F10" s="205" t="s">
        <v>123</v>
      </c>
      <c r="G10" s="211">
        <v>2</v>
      </c>
      <c r="H10" s="214" t="str">
        <f>IF(G10&lt;=0,"",IF(G10&lt;=2,"Muy Baja",IF(G10&lt;=24,"Baja",IF(G10&lt;=500,"Media",IF(G10&lt;=5000,"Alta","Muy Alta")))))</f>
        <v>Muy Baja</v>
      </c>
      <c r="I10" s="196">
        <f>IF(H10="","",IF(H10="Muy Baja",0.2,IF(H10="Baja",0.4,IF(H10="Media",0.6,IF(H10="Alta",0.8,IF(H10="Muy Alta",1,))))))</f>
        <v>0.2</v>
      </c>
      <c r="J10" s="217" t="s">
        <v>154</v>
      </c>
      <c r="K10" s="196" t="str">
        <f ca="1">IF(NOT(ISERROR(MATCH(J10,'Tabla Impacto'!$B$221:$B$223,0))),'Tabla Impacto'!$F$223&amp;"Por favor no seleccionar los criterios de impacto(Afectación Económica o presupuestal y Pérdida Reputacional)",J10)</f>
        <v xml:space="preserve">     El riesgo afecta la imagen de la entidad internamente, de conocimiento general, nivel interno, de junta dircetiva y accionistas y/o de provedores</v>
      </c>
      <c r="L10" s="214" t="str">
        <f ca="1">IF(OR(K10='Tabla Impacto'!$C$11,K10='Tabla Impacto'!$D$11),"Leve",IF(OR(K10='Tabla Impacto'!$C$12,K10='Tabla Impacto'!$D$12),"Menor",IF(OR(K10='Tabla Impacto'!$C$13,K10='Tabla Impacto'!$D$13),"Moderado",IF(OR(K10='Tabla Impacto'!$C$14,K10='Tabla Impacto'!$D$14),"Mayor",IF(OR(K10='Tabla Impacto'!$C$15,K10='Tabla Impacto'!$D$15),"Catastrófico","")))))</f>
        <v>Menor</v>
      </c>
      <c r="M10" s="196">
        <f ca="1">IF(L10="","",IF(L10="Leve",0.2,IF(L10="Menor",0.4,IF(L10="Moderado",0.6,IF(L10="Mayor",0.8,IF(L10="Catastrófico",1,))))))</f>
        <v>0.4</v>
      </c>
      <c r="N10" s="199"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270</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23</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264</v>
      </c>
      <c r="AF10" s="134" t="s">
        <v>257</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3"/>
      <c r="B11" s="206"/>
      <c r="C11" s="206"/>
      <c r="D11" s="206"/>
      <c r="E11" s="209"/>
      <c r="F11" s="206"/>
      <c r="G11" s="212"/>
      <c r="H11" s="215"/>
      <c r="I11" s="197"/>
      <c r="J11" s="218"/>
      <c r="K11" s="197">
        <f ca="1">IF(NOT(ISERROR(MATCH(J11,_xlfn.ANCHORARRAY(E22),0))),I24&amp;"Por favor no seleccionar los criterios de impacto",J11)</f>
        <v>0</v>
      </c>
      <c r="L11" s="215"/>
      <c r="M11" s="197"/>
      <c r="N11" s="200"/>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3"/>
      <c r="B12" s="206"/>
      <c r="C12" s="206"/>
      <c r="D12" s="206"/>
      <c r="E12" s="209"/>
      <c r="F12" s="206"/>
      <c r="G12" s="212"/>
      <c r="H12" s="215"/>
      <c r="I12" s="197"/>
      <c r="J12" s="218"/>
      <c r="K12" s="197">
        <f ca="1">IF(NOT(ISERROR(MATCH(J12,_xlfn.ANCHORARRAY(E23),0))),I25&amp;"Por favor no seleccionar los criterios de impacto",J12)</f>
        <v>0</v>
      </c>
      <c r="L12" s="215"/>
      <c r="M12" s="197"/>
      <c r="N12" s="200"/>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3"/>
      <c r="B13" s="206"/>
      <c r="C13" s="206"/>
      <c r="D13" s="206"/>
      <c r="E13" s="209"/>
      <c r="F13" s="206"/>
      <c r="G13" s="212"/>
      <c r="H13" s="215"/>
      <c r="I13" s="197"/>
      <c r="J13" s="218"/>
      <c r="K13" s="197">
        <f ca="1">IF(NOT(ISERROR(MATCH(J13,_xlfn.ANCHORARRAY(E24),0))),I26&amp;"Por favor no seleccionar los criterios de impacto",J13)</f>
        <v>0</v>
      </c>
      <c r="L13" s="215"/>
      <c r="M13" s="197"/>
      <c r="N13" s="200"/>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3"/>
      <c r="B14" s="206"/>
      <c r="C14" s="206"/>
      <c r="D14" s="206"/>
      <c r="E14" s="209"/>
      <c r="F14" s="206"/>
      <c r="G14" s="212"/>
      <c r="H14" s="215"/>
      <c r="I14" s="197"/>
      <c r="J14" s="218"/>
      <c r="K14" s="197">
        <f ca="1">IF(NOT(ISERROR(MATCH(J14,_xlfn.ANCHORARRAY(E25),0))),I27&amp;"Por favor no seleccionar los criterios de impacto",J14)</f>
        <v>0</v>
      </c>
      <c r="L14" s="215"/>
      <c r="M14" s="197"/>
      <c r="N14" s="200"/>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4"/>
      <c r="B15" s="207"/>
      <c r="C15" s="207"/>
      <c r="D15" s="207"/>
      <c r="E15" s="210"/>
      <c r="F15" s="207"/>
      <c r="G15" s="213"/>
      <c r="H15" s="216"/>
      <c r="I15" s="198"/>
      <c r="J15" s="219"/>
      <c r="K15" s="198">
        <f ca="1">IF(NOT(ISERROR(MATCH(J15,_xlfn.ANCHORARRAY(E26),0))),I28&amp;"Por favor no seleccionar los criterios de impacto",J15)</f>
        <v>0</v>
      </c>
      <c r="L15" s="216"/>
      <c r="M15" s="198"/>
      <c r="N15" s="201"/>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2">
        <v>2</v>
      </c>
      <c r="B16" s="205" t="s">
        <v>134</v>
      </c>
      <c r="C16" s="205" t="s">
        <v>260</v>
      </c>
      <c r="D16" s="205" t="s">
        <v>286</v>
      </c>
      <c r="E16" s="208" t="s">
        <v>297</v>
      </c>
      <c r="F16" s="205" t="s">
        <v>123</v>
      </c>
      <c r="G16" s="211">
        <v>2</v>
      </c>
      <c r="H16" s="214" t="str">
        <f>IF(G16&lt;=0,"",IF(G16&lt;=2,"Muy Baja",IF(G16&lt;=24,"Baja",IF(G16&lt;=500,"Media",IF(G16&lt;=5000,"Alta","Muy Alta")))))</f>
        <v>Muy Baja</v>
      </c>
      <c r="I16" s="196">
        <f>IF(H16="","",IF(H16="Muy Baja",0.2,IF(H16="Baja",0.4,IF(H16="Media",0.6,IF(H16="Alta",0.8,IF(H16="Muy Alta",1,))))))</f>
        <v>0.2</v>
      </c>
      <c r="J16" s="217" t="s">
        <v>149</v>
      </c>
      <c r="K16" s="196" t="str">
        <f ca="1">IF(NOT(ISERROR(MATCH(J16,'Tabla Impacto'!$B$221:$B$223,0))),'Tabla Impacto'!$F$223&amp;"Por favor no seleccionar los criterios de impacto(Afectación Económica o presupuestal y Pérdida Reputacional)",J16)</f>
        <v xml:space="preserve">     Entre 50 y 100 SMLMV </v>
      </c>
      <c r="L16" s="214"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6">
        <f ca="1">IF(L16="","",IF(L16="Leve",0.2,IF(L16="Menor",0.4,IF(L16="Moderado",0.6,IF(L16="Mayor",0.8,IF(L16="Catastrófico",1,))))))</f>
        <v>0.6</v>
      </c>
      <c r="N16" s="199"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298</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23</v>
      </c>
      <c r="W16" s="126" t="s">
        <v>119</v>
      </c>
      <c r="X16" s="128">
        <f>IFERROR(IF(Q16="Probabilidad",(I16-(+I16*T16)),IF(Q16="Impacto",I16,"")),"")</f>
        <v>0.12</v>
      </c>
      <c r="Y16" s="129" t="str">
        <f>IFERROR(IF(X16="","",IF(X16&lt;=0.2,"Muy Baja",IF(X16&lt;=0.4,"Baja",IF(X16&lt;=0.6,"Media",IF(X16&lt;=0.8,"Alta","Muy Alta"))))),"")</f>
        <v>Muy Baja</v>
      </c>
      <c r="Z16" s="130">
        <f>+X16</f>
        <v>0.12</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264</v>
      </c>
      <c r="AF16" s="134" t="s">
        <v>257</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3"/>
      <c r="B17" s="206"/>
      <c r="C17" s="206"/>
      <c r="D17" s="206"/>
      <c r="E17" s="209"/>
      <c r="F17" s="206"/>
      <c r="G17" s="212"/>
      <c r="H17" s="215"/>
      <c r="I17" s="197"/>
      <c r="J17" s="218"/>
      <c r="K17" s="197">
        <f ca="1">IF(NOT(ISERROR(MATCH(J17,_xlfn.ANCHORARRAY(E28),0))),I30&amp;"Por favor no seleccionar los criterios de impacto",J17)</f>
        <v>0</v>
      </c>
      <c r="L17" s="215"/>
      <c r="M17" s="197"/>
      <c r="N17" s="200"/>
      <c r="O17" s="123">
        <v>2</v>
      </c>
      <c r="P17" s="124" t="s">
        <v>296</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20</v>
      </c>
      <c r="V17" s="126" t="s">
        <v>23</v>
      </c>
      <c r="W17" s="126" t="s">
        <v>119</v>
      </c>
      <c r="X17" s="128">
        <f>IFERROR(IF(AND(Q16="Probabilidad",Q17="Probabilidad"),(Z16-(+Z16*T17)),IF(Q17="Probabilidad",(I16-(+I16*T17)),IF(Q17="Impacto",Z16,""))),"")</f>
        <v>7.1999999999999995E-2</v>
      </c>
      <c r="Y17" s="129" t="str">
        <f t="shared" si="1"/>
        <v>Muy Baja</v>
      </c>
      <c r="Z17" s="130">
        <f t="shared" ref="Z17:Z21" si="9">+X17</f>
        <v>7.1999999999999995E-2</v>
      </c>
      <c r="AA17" s="129" t="str">
        <f t="shared" ca="1" si="3"/>
        <v>Menor</v>
      </c>
      <c r="AB17" s="130">
        <f ca="1">IFERROR(IF(AND(Q16="Impacto",Q17="Impacto"),(AB10-(+AB10*T17)),IF(Q17="Impacto",($M$16-(+$M$16*T17)),IF(Q17="Probabilidad",AB10,""))),"")</f>
        <v>0.4</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Bajo</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3"/>
      <c r="B18" s="206"/>
      <c r="C18" s="206"/>
      <c r="D18" s="206"/>
      <c r="E18" s="209"/>
      <c r="F18" s="206"/>
      <c r="G18" s="212"/>
      <c r="H18" s="215"/>
      <c r="I18" s="197"/>
      <c r="J18" s="218"/>
      <c r="K18" s="197">
        <f ca="1">IF(NOT(ISERROR(MATCH(J18,_xlfn.ANCHORARRAY(E29),0))),I31&amp;"Por favor no seleccionar los criterios de impacto",J18)</f>
        <v>0</v>
      </c>
      <c r="L18" s="215"/>
      <c r="M18" s="197"/>
      <c r="N18" s="200"/>
      <c r="O18" s="123">
        <v>3</v>
      </c>
      <c r="P18" s="140" t="s">
        <v>322</v>
      </c>
      <c r="Q18" s="125" t="str">
        <f>IF(OR(R18="Preventivo",R18="Detectivo"),"Probabilidad",IF(R18="Correctivo","Impacto",""))</f>
        <v>Probabilidad</v>
      </c>
      <c r="R18" s="126" t="s">
        <v>14</v>
      </c>
      <c r="S18" s="126" t="s">
        <v>9</v>
      </c>
      <c r="T18" s="127" t="str">
        <f t="shared" si="8"/>
        <v>40%</v>
      </c>
      <c r="U18" s="126" t="s">
        <v>20</v>
      </c>
      <c r="V18" s="126" t="s">
        <v>22</v>
      </c>
      <c r="W18" s="126" t="s">
        <v>119</v>
      </c>
      <c r="X18" s="128">
        <f>IFERROR(IF(AND(Q17="Probabilidad",Q18="Probabilidad"),(Z17-(+Z17*T18)),IF(AND(Q17="Impacto",Q18="Probabilidad"),(Z16-(+Z16*T18)),IF(Q18="Impacto",Z17,""))),"")</f>
        <v>4.3199999999999995E-2</v>
      </c>
      <c r="Y18" s="129" t="str">
        <f t="shared" si="1"/>
        <v>Muy Baja</v>
      </c>
      <c r="Z18" s="130">
        <f t="shared" si="9"/>
        <v>4.3199999999999995E-2</v>
      </c>
      <c r="AA18" s="129" t="str">
        <f t="shared" ca="1" si="3"/>
        <v>Menor</v>
      </c>
      <c r="AB18" s="130">
        <f ca="1">IFERROR(IF(AND(Q17="Impacto",Q18="Impacto"),(AB17-(+AB17*T18)),IF(AND(Q17="Probabilidad",Q18="Impacto"),(AB16-(+AB16*T18)),IF(Q18="Probabilidad",AB17,""))),"")</f>
        <v>0.4</v>
      </c>
      <c r="AC18" s="131" t="str">
        <f t="shared" ca="1" si="10"/>
        <v>Bajo</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3"/>
      <c r="B19" s="206"/>
      <c r="C19" s="206"/>
      <c r="D19" s="206"/>
      <c r="E19" s="209"/>
      <c r="F19" s="206"/>
      <c r="G19" s="212"/>
      <c r="H19" s="215"/>
      <c r="I19" s="197"/>
      <c r="J19" s="218"/>
      <c r="K19" s="197">
        <f ca="1">IF(NOT(ISERROR(MATCH(J19,_xlfn.ANCHORARRAY(E30),0))),I32&amp;"Por favor no seleccionar los criterios de impacto",J19)</f>
        <v>0</v>
      </c>
      <c r="L19" s="215"/>
      <c r="M19" s="197"/>
      <c r="N19" s="200"/>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3"/>
      <c r="B20" s="206"/>
      <c r="C20" s="206"/>
      <c r="D20" s="206"/>
      <c r="E20" s="209"/>
      <c r="F20" s="206"/>
      <c r="G20" s="212"/>
      <c r="H20" s="215"/>
      <c r="I20" s="197"/>
      <c r="J20" s="218"/>
      <c r="K20" s="197">
        <f ca="1">IF(NOT(ISERROR(MATCH(J20,_xlfn.ANCHORARRAY(E31),0))),I33&amp;"Por favor no seleccionar los criterios de impacto",J20)</f>
        <v>0</v>
      </c>
      <c r="L20" s="215"/>
      <c r="M20" s="197"/>
      <c r="N20" s="200"/>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4"/>
      <c r="B21" s="207"/>
      <c r="C21" s="207"/>
      <c r="D21" s="207"/>
      <c r="E21" s="210"/>
      <c r="F21" s="207"/>
      <c r="G21" s="213"/>
      <c r="H21" s="216"/>
      <c r="I21" s="198"/>
      <c r="J21" s="219"/>
      <c r="K21" s="198">
        <f ca="1">IF(NOT(ISERROR(MATCH(J21,_xlfn.ANCHORARRAY(E32),0))),I34&amp;"Por favor no seleccionar los criterios de impacto",J21)</f>
        <v>0</v>
      </c>
      <c r="L21" s="216"/>
      <c r="M21" s="198"/>
      <c r="N21" s="201"/>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2">
        <v>3</v>
      </c>
      <c r="B22" s="205" t="s">
        <v>134</v>
      </c>
      <c r="C22" s="205" t="s">
        <v>287</v>
      </c>
      <c r="D22" s="205" t="s">
        <v>301</v>
      </c>
      <c r="E22" s="208" t="s">
        <v>267</v>
      </c>
      <c r="F22" s="205" t="s">
        <v>123</v>
      </c>
      <c r="G22" s="211">
        <v>60</v>
      </c>
      <c r="H22" s="214" t="str">
        <f>IF(G22&lt;=0,"",IF(G22&lt;=2,"Muy Baja",IF(G22&lt;=24,"Baja",IF(G22&lt;=500,"Media",IF(G22&lt;=5000,"Alta","Muy Alta")))))</f>
        <v>Media</v>
      </c>
      <c r="I22" s="196">
        <f>IF(H22="","",IF(H22="Muy Baja",0.2,IF(H22="Baja",0.4,IF(H22="Media",0.6,IF(H22="Alta",0.8,IF(H22="Muy Alta",1,))))))</f>
        <v>0.6</v>
      </c>
      <c r="J22" s="217" t="s">
        <v>151</v>
      </c>
      <c r="K22" s="196" t="str">
        <f ca="1">IF(NOT(ISERROR(MATCH(J22,'Tabla Impacto'!$B$221:$B$223,0))),'Tabla Impacto'!$F$223&amp;"Por favor no seleccionar los criterios de impacto(Afectación Económica o presupuestal y Pérdida Reputacional)",J22)</f>
        <v xml:space="preserve">     Entre 100 y 500 SMLMV </v>
      </c>
      <c r="L22" s="214" t="str">
        <f ca="1">IF(OR(K22='Tabla Impacto'!$C$11,K22='Tabla Impacto'!$D$11),"Leve",IF(OR(K22='Tabla Impacto'!$C$12,K22='Tabla Impacto'!$D$12),"Menor",IF(OR(K22='Tabla Impacto'!$C$13,K22='Tabla Impacto'!$D$13),"Moderado",IF(OR(K22='Tabla Impacto'!$C$14,K22='Tabla Impacto'!$D$14),"Mayor",IF(OR(K22='Tabla Impacto'!$C$15,K22='Tabla Impacto'!$D$15),"Catastrófico","")))))</f>
        <v>Mayor</v>
      </c>
      <c r="M22" s="196">
        <f ca="1">IF(L22="","",IF(L22="Leve",0.2,IF(L22="Menor",0.4,IF(L22="Moderado",0.6,IF(L22="Mayor",0.8,IF(L22="Catastrófico",1,))))))</f>
        <v>0.8</v>
      </c>
      <c r="N22" s="199"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123">
        <v>1</v>
      </c>
      <c r="P22" s="124" t="s">
        <v>298</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23</v>
      </c>
      <c r="W22" s="126" t="s">
        <v>119</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Mayor</v>
      </c>
      <c r="AB22" s="130">
        <f ca="1">IFERROR(IF(Q22="Impacto",(M22-(+M22*T22)),IF(Q22="Probabilidad",M22,"")),"")</f>
        <v>0.8</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Alto</v>
      </c>
      <c r="AD22" s="132" t="s">
        <v>31</v>
      </c>
      <c r="AE22" s="133" t="s">
        <v>264</v>
      </c>
      <c r="AF22" s="134" t="s">
        <v>257</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3"/>
      <c r="B23" s="206"/>
      <c r="C23" s="206"/>
      <c r="D23" s="206"/>
      <c r="E23" s="209"/>
      <c r="F23" s="206"/>
      <c r="G23" s="212"/>
      <c r="H23" s="215"/>
      <c r="I23" s="197"/>
      <c r="J23" s="218"/>
      <c r="K23" s="197">
        <f t="shared" ref="K23:K27" ca="1" si="15">IF(NOT(ISERROR(MATCH(J23,_xlfn.ANCHORARRAY(E34),0))),I36&amp;"Por favor no seleccionar los criterios de impacto",J23)</f>
        <v>0</v>
      </c>
      <c r="L23" s="215"/>
      <c r="M23" s="197"/>
      <c r="N23" s="200"/>
      <c r="O23" s="123">
        <v>2</v>
      </c>
      <c r="P23" s="124" t="s">
        <v>299</v>
      </c>
      <c r="Q23" s="125" t="str">
        <f>IF(OR(R23="Preventivo",R23="Detectivo"),"Probabilidad",IF(R23="Correctivo","Impacto",""))</f>
        <v>Probabilidad</v>
      </c>
      <c r="R23" s="126" t="s">
        <v>14</v>
      </c>
      <c r="S23" s="126" t="s">
        <v>9</v>
      </c>
      <c r="T23" s="127" t="str">
        <f t="shared" ref="T23:T27" si="16">IF(AND(R23="Preventivo",S23="Automático"),"50%",IF(AND(R23="Preventivo",S23="Manual"),"40%",IF(AND(R23="Detectivo",S23="Automático"),"40%",IF(AND(R23="Detectivo",S23="Manual"),"30%",IF(AND(R23="Correctivo",S23="Automático"),"35%",IF(AND(R23="Correctivo",S23="Manual"),"25%",""))))))</f>
        <v>40%</v>
      </c>
      <c r="U23" s="126" t="s">
        <v>19</v>
      </c>
      <c r="V23" s="126" t="s">
        <v>23</v>
      </c>
      <c r="W23" s="126" t="s">
        <v>119</v>
      </c>
      <c r="X23" s="137">
        <f>IFERROR(IF(AND(Q22="Probabilidad",Q23="Probabilidad"),(Z22-(+Z22*T23)),IF(Q23="Probabilidad",(I22-(+I22*T23)),IF(Q23="Impacto",Z22,""))),"")</f>
        <v>0.216</v>
      </c>
      <c r="Y23" s="129" t="str">
        <f t="shared" si="1"/>
        <v>Baja</v>
      </c>
      <c r="Z23" s="130">
        <f t="shared" ref="Z23:Z27" si="17">+X23</f>
        <v>0.216</v>
      </c>
      <c r="AA23" s="129" t="str">
        <f t="shared" ca="1" si="3"/>
        <v>Moderado</v>
      </c>
      <c r="AB23" s="130">
        <f ca="1">IFERROR(IF(AND(Q22="Impacto",Q23="Impacto"),(AB16-(+AB16*T23)),IF(Q23="Impacto",($M$22-(+$M$22*T23)),IF(Q23="Probabilidad",AB16,""))),"")</f>
        <v>0.6</v>
      </c>
      <c r="AC23" s="131" t="str">
        <f t="shared" ref="AC23:AC24" ca="1"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3"/>
      <c r="B24" s="206"/>
      <c r="C24" s="206"/>
      <c r="D24" s="206"/>
      <c r="E24" s="209"/>
      <c r="F24" s="206"/>
      <c r="G24" s="212"/>
      <c r="H24" s="215"/>
      <c r="I24" s="197"/>
      <c r="J24" s="218"/>
      <c r="K24" s="197">
        <f t="shared" ca="1" si="15"/>
        <v>0</v>
      </c>
      <c r="L24" s="215"/>
      <c r="M24" s="197"/>
      <c r="N24" s="200"/>
      <c r="O24" s="123">
        <v>3</v>
      </c>
      <c r="P24" s="140" t="s">
        <v>282</v>
      </c>
      <c r="Q24" s="125" t="str">
        <f>IF(OR(R24="Preventivo",R24="Detectivo"),"Probabilidad",IF(R24="Correctivo","Impacto",""))</f>
        <v>Probabilidad</v>
      </c>
      <c r="R24" s="126" t="s">
        <v>14</v>
      </c>
      <c r="S24" s="126" t="s">
        <v>9</v>
      </c>
      <c r="T24" s="127" t="str">
        <f t="shared" si="16"/>
        <v>40%</v>
      </c>
      <c r="U24" s="126" t="s">
        <v>20</v>
      </c>
      <c r="V24" s="126" t="s">
        <v>23</v>
      </c>
      <c r="W24" s="126" t="s">
        <v>119</v>
      </c>
      <c r="X24" s="128">
        <f>IFERROR(IF(AND(Q23="Probabilidad",Q24="Probabilidad"),(Z23-(+Z23*T24)),IF(AND(Q23="Impacto",Q24="Probabilidad"),(Z22-(+Z22*T24)),IF(Q24="Impacto",Z23,""))),"")</f>
        <v>0.12959999999999999</v>
      </c>
      <c r="Y24" s="129" t="str">
        <f t="shared" si="1"/>
        <v>Muy Baja</v>
      </c>
      <c r="Z24" s="130">
        <f t="shared" si="17"/>
        <v>0.12959999999999999</v>
      </c>
      <c r="AA24" s="129" t="str">
        <f t="shared" ca="1" si="3"/>
        <v>Moderado</v>
      </c>
      <c r="AB24" s="130">
        <f ca="1">IFERROR(IF(AND(Q23="Impacto",Q24="Impacto"),(AB23-(+AB23*T24)),IF(AND(Q23="Probabilidad",Q24="Impacto"),(AB22-(+AB22*T24)),IF(Q24="Probabilidad",AB23,""))),"")</f>
        <v>0.6</v>
      </c>
      <c r="AC24" s="131" t="str">
        <f t="shared" ca="1" si="18"/>
        <v>Moderado</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3"/>
      <c r="B25" s="206"/>
      <c r="C25" s="206"/>
      <c r="D25" s="206"/>
      <c r="E25" s="209"/>
      <c r="F25" s="206"/>
      <c r="G25" s="212"/>
      <c r="H25" s="215"/>
      <c r="I25" s="197"/>
      <c r="J25" s="218"/>
      <c r="K25" s="197">
        <f t="shared" ca="1" si="15"/>
        <v>0</v>
      </c>
      <c r="L25" s="215"/>
      <c r="M25" s="197"/>
      <c r="N25" s="200"/>
      <c r="O25" s="123">
        <v>4</v>
      </c>
      <c r="P25" s="124" t="s">
        <v>300</v>
      </c>
      <c r="Q25" s="125" t="str">
        <f t="shared" ref="Q25:Q27" si="19">IF(OR(R25="Preventivo",R25="Detectivo"),"Probabilidad",IF(R25="Correctivo","Impacto",""))</f>
        <v>Probabilidad</v>
      </c>
      <c r="R25" s="126" t="s">
        <v>14</v>
      </c>
      <c r="S25" s="126" t="s">
        <v>9</v>
      </c>
      <c r="T25" s="127" t="str">
        <f t="shared" si="16"/>
        <v>40%</v>
      </c>
      <c r="U25" s="126" t="s">
        <v>19</v>
      </c>
      <c r="V25" s="126" t="s">
        <v>22</v>
      </c>
      <c r="W25" s="126" t="s">
        <v>119</v>
      </c>
      <c r="X25" s="128">
        <f t="shared" ref="X25:X27" si="20">IFERROR(IF(AND(Q24="Probabilidad",Q25="Probabilidad"),(Z24-(+Z24*T25)),IF(AND(Q24="Impacto",Q25="Probabilidad"),(Z23-(+Z23*T25)),IF(Q25="Impacto",Z24,""))),"")</f>
        <v>7.7759999999999996E-2</v>
      </c>
      <c r="Y25" s="129" t="str">
        <f t="shared" si="1"/>
        <v>Muy Baja</v>
      </c>
      <c r="Z25" s="130">
        <f t="shared" si="17"/>
        <v>7.7759999999999996E-2</v>
      </c>
      <c r="AA25" s="129" t="str">
        <f t="shared" ca="1" si="3"/>
        <v>Moderado</v>
      </c>
      <c r="AB25" s="130">
        <f t="shared" ref="AB25:AB27" ca="1" si="21">IFERROR(IF(AND(Q24="Impacto",Q25="Impacto"),(AB24-(+AB24*T25)),IF(AND(Q24="Probabilidad",Q25="Impacto"),(AB23-(+AB23*T25)),IF(Q25="Probabilidad",AB24,""))),"")</f>
        <v>0.6</v>
      </c>
      <c r="AC25" s="131" t="str">
        <f ca="1">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3"/>
      <c r="B26" s="206"/>
      <c r="C26" s="206"/>
      <c r="D26" s="206"/>
      <c r="E26" s="209"/>
      <c r="F26" s="206"/>
      <c r="G26" s="212"/>
      <c r="H26" s="215"/>
      <c r="I26" s="197"/>
      <c r="J26" s="218"/>
      <c r="K26" s="197">
        <f t="shared" ca="1" si="15"/>
        <v>0</v>
      </c>
      <c r="L26" s="215"/>
      <c r="M26" s="197"/>
      <c r="N26" s="200"/>
      <c r="O26" s="123">
        <v>5</v>
      </c>
      <c r="P26" s="124" t="s">
        <v>302</v>
      </c>
      <c r="Q26" s="125" t="str">
        <f t="shared" si="19"/>
        <v>Impacto</v>
      </c>
      <c r="R26" s="126" t="s">
        <v>16</v>
      </c>
      <c r="S26" s="126" t="s">
        <v>9</v>
      </c>
      <c r="T26" s="127" t="str">
        <f t="shared" si="16"/>
        <v>25%</v>
      </c>
      <c r="U26" s="126" t="s">
        <v>19</v>
      </c>
      <c r="V26" s="126" t="s">
        <v>23</v>
      </c>
      <c r="W26" s="126" t="s">
        <v>119</v>
      </c>
      <c r="X26" s="128">
        <f t="shared" si="20"/>
        <v>7.7759999999999996E-2</v>
      </c>
      <c r="Y26" s="129" t="str">
        <f t="shared" si="1"/>
        <v>Muy Baja</v>
      </c>
      <c r="Z26" s="130">
        <f t="shared" si="17"/>
        <v>7.7759999999999996E-2</v>
      </c>
      <c r="AA26" s="129" t="str">
        <f t="shared" ca="1" si="3"/>
        <v>Moderado</v>
      </c>
      <c r="AB26" s="130">
        <f t="shared" ca="1" si="21"/>
        <v>0.44999999999999996</v>
      </c>
      <c r="AC26" s="131" t="str">
        <f t="shared" ref="AC26:AC27" ca="1"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Moderado</v>
      </c>
      <c r="AD26" s="132"/>
      <c r="AE26" s="133" t="s">
        <v>303</v>
      </c>
      <c r="AF26" s="134" t="s">
        <v>257</v>
      </c>
      <c r="AG26" s="135">
        <v>45292</v>
      </c>
      <c r="AH26" s="135">
        <v>45322</v>
      </c>
      <c r="AI26" s="133"/>
      <c r="AJ26" s="134" t="s">
        <v>41</v>
      </c>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4"/>
      <c r="B27" s="207"/>
      <c r="C27" s="207"/>
      <c r="D27" s="207"/>
      <c r="E27" s="210"/>
      <c r="F27" s="207"/>
      <c r="G27" s="213"/>
      <c r="H27" s="216"/>
      <c r="I27" s="198"/>
      <c r="J27" s="219"/>
      <c r="K27" s="198">
        <f t="shared" ca="1" si="15"/>
        <v>0</v>
      </c>
      <c r="L27" s="216"/>
      <c r="M27" s="198"/>
      <c r="N27" s="201"/>
      <c r="O27" s="123">
        <v>6</v>
      </c>
      <c r="P27" s="138"/>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2">
        <v>4</v>
      </c>
      <c r="B28" s="205" t="s">
        <v>134</v>
      </c>
      <c r="C28" s="205" t="s">
        <v>258</v>
      </c>
      <c r="D28" s="205" t="s">
        <v>259</v>
      </c>
      <c r="E28" s="208" t="s">
        <v>276</v>
      </c>
      <c r="F28" s="205" t="s">
        <v>123</v>
      </c>
      <c r="G28" s="211">
        <v>2</v>
      </c>
      <c r="H28" s="214" t="str">
        <f>IF(G28&lt;=0,"",IF(G28&lt;=2,"Muy Baja",IF(G28&lt;=24,"Baja",IF(G28&lt;=500,"Media",IF(G28&lt;=5000,"Alta","Muy Alta")))))</f>
        <v>Muy Baja</v>
      </c>
      <c r="I28" s="196">
        <f>IF(H28="","",IF(H28="Muy Baja",0.2,IF(H28="Baja",0.4,IF(H28="Media",0.6,IF(H28="Alta",0.8,IF(H28="Muy Alta",1,))))))</f>
        <v>0.2</v>
      </c>
      <c r="J28" s="217" t="s">
        <v>151</v>
      </c>
      <c r="K28" s="196" t="str">
        <f ca="1">IF(NOT(ISERROR(MATCH(J28,'Tabla Impacto'!$B$221:$B$223,0))),'Tabla Impacto'!$F$223&amp;"Por favor no seleccionar los criterios de impacto(Afectación Económica o presupuestal y Pérdida Reputacional)",J28)</f>
        <v xml:space="preserve">     Entre 100 y 500 SMLMV </v>
      </c>
      <c r="L28" s="214" t="str">
        <f ca="1">IF(OR(K28='Tabla Impacto'!$C$11,K28='Tabla Impacto'!$D$11),"Leve",IF(OR(K28='Tabla Impacto'!$C$12,K28='Tabla Impacto'!$D$12),"Menor",IF(OR(K28='Tabla Impacto'!$C$13,K28='Tabla Impacto'!$D$13),"Moderado",IF(OR(K28='Tabla Impacto'!$C$14,K28='Tabla Impacto'!$D$14),"Mayor",IF(OR(K28='Tabla Impacto'!$C$15,K28='Tabla Impacto'!$D$15),"Catastrófico","")))))</f>
        <v>Mayor</v>
      </c>
      <c r="M28" s="196">
        <f ca="1">IF(L28="","",IF(L28="Leve",0.2,IF(L28="Menor",0.4,IF(L28="Moderado",0.6,IF(L28="Mayor",0.8,IF(L28="Catastrófico",1,))))))</f>
        <v>0.8</v>
      </c>
      <c r="N28" s="199"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Alto</v>
      </c>
      <c r="O28" s="123">
        <v>1</v>
      </c>
      <c r="P28" s="124" t="s">
        <v>277</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23</v>
      </c>
      <c r="W28" s="126" t="s">
        <v>119</v>
      </c>
      <c r="X28" s="128">
        <f>IFERROR(IF(Q28="Probabilidad",(I28-(+I28*T28)),IF(Q28="Impacto",I28,"")),"")</f>
        <v>0.12</v>
      </c>
      <c r="Y28" s="129" t="str">
        <f>IFERROR(IF(X28="","",IF(X28&lt;=0.2,"Muy Baja",IF(X28&lt;=0.4,"Baja",IF(X28&lt;=0.6,"Media",IF(X28&lt;=0.8,"Alta","Muy Alta"))))),"")</f>
        <v>Muy Baja</v>
      </c>
      <c r="Z28" s="130">
        <f>+X28</f>
        <v>0.12</v>
      </c>
      <c r="AA28" s="129" t="str">
        <f ca="1">IFERROR(IF(AB28="","",IF(AB28&lt;=0.2,"Leve",IF(AB28&lt;=0.4,"Menor",IF(AB28&lt;=0.6,"Moderado",IF(AB28&lt;=0.8,"Mayor","Catastrófico"))))),"")</f>
        <v>Mayor</v>
      </c>
      <c r="AB28" s="130">
        <f ca="1">IFERROR(IF(Q28="Impacto",(M28-(+M28*T28)),IF(Q28="Probabilidad",M28,"")),"")</f>
        <v>0.8</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Alto</v>
      </c>
      <c r="AD28" s="132" t="s">
        <v>136</v>
      </c>
      <c r="AE28" s="133" t="s">
        <v>279</v>
      </c>
      <c r="AF28" s="134" t="s">
        <v>257</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3"/>
      <c r="B29" s="206"/>
      <c r="C29" s="206"/>
      <c r="D29" s="206"/>
      <c r="E29" s="209"/>
      <c r="F29" s="206"/>
      <c r="G29" s="212"/>
      <c r="H29" s="215"/>
      <c r="I29" s="197"/>
      <c r="J29" s="218"/>
      <c r="K29" s="197">
        <f t="shared" ref="K29:K33" ca="1" si="23">IF(NOT(ISERROR(MATCH(J29,_xlfn.ANCHORARRAY(E40),0))),I42&amp;"Por favor no seleccionar los criterios de impacto",J29)</f>
        <v>0</v>
      </c>
      <c r="L29" s="215"/>
      <c r="M29" s="197"/>
      <c r="N29" s="200"/>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3"/>
      <c r="B30" s="206"/>
      <c r="C30" s="206"/>
      <c r="D30" s="206"/>
      <c r="E30" s="209"/>
      <c r="F30" s="206"/>
      <c r="G30" s="212"/>
      <c r="H30" s="215"/>
      <c r="I30" s="197"/>
      <c r="J30" s="218"/>
      <c r="K30" s="197">
        <f t="shared" ca="1" si="23"/>
        <v>0</v>
      </c>
      <c r="L30" s="215"/>
      <c r="M30" s="197"/>
      <c r="N30" s="200"/>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3"/>
      <c r="B31" s="206"/>
      <c r="C31" s="206"/>
      <c r="D31" s="206"/>
      <c r="E31" s="209"/>
      <c r="F31" s="206"/>
      <c r="G31" s="212"/>
      <c r="H31" s="215"/>
      <c r="I31" s="197"/>
      <c r="J31" s="218"/>
      <c r="K31" s="197">
        <f t="shared" ca="1" si="23"/>
        <v>0</v>
      </c>
      <c r="L31" s="215"/>
      <c r="M31" s="197"/>
      <c r="N31" s="200"/>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3"/>
      <c r="B32" s="206"/>
      <c r="C32" s="206"/>
      <c r="D32" s="206"/>
      <c r="E32" s="209"/>
      <c r="F32" s="206"/>
      <c r="G32" s="212"/>
      <c r="H32" s="215"/>
      <c r="I32" s="197"/>
      <c r="J32" s="218"/>
      <c r="K32" s="197">
        <f t="shared" ca="1" si="23"/>
        <v>0</v>
      </c>
      <c r="L32" s="215"/>
      <c r="M32" s="197"/>
      <c r="N32" s="200"/>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4"/>
      <c r="B33" s="207"/>
      <c r="C33" s="207"/>
      <c r="D33" s="207"/>
      <c r="E33" s="210"/>
      <c r="F33" s="207"/>
      <c r="G33" s="213"/>
      <c r="H33" s="216"/>
      <c r="I33" s="198"/>
      <c r="J33" s="219"/>
      <c r="K33" s="198">
        <f t="shared" ca="1" si="23"/>
        <v>0</v>
      </c>
      <c r="L33" s="216"/>
      <c r="M33" s="198"/>
      <c r="N33" s="201"/>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2">
        <v>5</v>
      </c>
      <c r="B34" s="205" t="s">
        <v>134</v>
      </c>
      <c r="C34" s="205" t="s">
        <v>261</v>
      </c>
      <c r="D34" s="205" t="s">
        <v>268</v>
      </c>
      <c r="E34" s="208" t="s">
        <v>271</v>
      </c>
      <c r="F34" s="205" t="s">
        <v>123</v>
      </c>
      <c r="G34" s="211">
        <v>2</v>
      </c>
      <c r="H34" s="214" t="str">
        <f>IF(G34&lt;=0,"",IF(G34&lt;=2,"Muy Baja",IF(G34&lt;=24,"Baja",IF(G34&lt;=500,"Media",IF(G34&lt;=5000,"Alta","Muy Alta")))))</f>
        <v>Muy Baja</v>
      </c>
      <c r="I34" s="196">
        <f>IF(H34="","",IF(H34="Muy Baja",0.2,IF(H34="Baja",0.4,IF(H34="Media",0.6,IF(H34="Alta",0.8,IF(H34="Muy Alta",1,))))))</f>
        <v>0.2</v>
      </c>
      <c r="J34" s="217" t="s">
        <v>150</v>
      </c>
      <c r="K34" s="196" t="str">
        <f ca="1">IF(NOT(ISERROR(MATCH(J34,'Tabla Impacto'!$B$221:$B$223,0))),'Tabla Impacto'!$F$223&amp;"Por favor no seleccionar los criterios de impacto(Afectación Económica o presupuestal y Pérdida Reputacional)",J34)</f>
        <v xml:space="preserve">     Entre 10 y 50 SMLMV </v>
      </c>
      <c r="L34" s="214" t="str">
        <f ca="1">IF(OR(K34='Tabla Impacto'!$C$11,K34='Tabla Impacto'!$D$11),"Leve",IF(OR(K34='Tabla Impacto'!$C$12,K34='Tabla Impacto'!$D$12),"Menor",IF(OR(K34='Tabla Impacto'!$C$13,K34='Tabla Impacto'!$D$13),"Moderado",IF(OR(K34='Tabla Impacto'!$C$14,K34='Tabla Impacto'!$D$14),"Mayor",IF(OR(K34='Tabla Impacto'!$C$15,K34='Tabla Impacto'!$D$15),"Catastrófico","")))))</f>
        <v>Menor</v>
      </c>
      <c r="M34" s="196">
        <f ca="1">IF(L34="","",IF(L34="Leve",0.2,IF(L34="Menor",0.4,IF(L34="Moderado",0.6,IF(L34="Mayor",0.8,IF(L34="Catastrófico",1,))))))</f>
        <v>0.4</v>
      </c>
      <c r="N34" s="199"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Bajo</v>
      </c>
      <c r="O34" s="123">
        <v>1</v>
      </c>
      <c r="P34" s="124" t="s">
        <v>278</v>
      </c>
      <c r="Q34" s="125" t="str">
        <f>IF(OR(R34="Preventivo",R34="Detectivo"),"Probabilidad",IF(R34="Correctivo","Impacto",""))</f>
        <v>Probabilidad</v>
      </c>
      <c r="R34" s="126" t="s">
        <v>15</v>
      </c>
      <c r="S34" s="126" t="s">
        <v>9</v>
      </c>
      <c r="T34" s="127" t="str">
        <f>IF(AND(R34="Preventivo",S34="Automático"),"50%",IF(AND(R34="Preventivo",S34="Manual"),"40%",IF(AND(R34="Detectivo",S34="Automático"),"40%",IF(AND(R34="Detectivo",S34="Manual"),"30%",IF(AND(R34="Correctivo",S34="Automático"),"35%",IF(AND(R34="Correctivo",S34="Manual"),"25%",""))))))</f>
        <v>30%</v>
      </c>
      <c r="U34" s="126" t="s">
        <v>19</v>
      </c>
      <c r="V34" s="126" t="s">
        <v>22</v>
      </c>
      <c r="W34" s="126" t="s">
        <v>119</v>
      </c>
      <c r="X34" s="128">
        <f>IFERROR(IF(Q34="Probabilidad",(I34-(+I34*T34)),IF(Q34="Impacto",I34,"")),"")</f>
        <v>0.14000000000000001</v>
      </c>
      <c r="Y34" s="129" t="str">
        <f>IFERROR(IF(X34="","",IF(X34&lt;=0.2,"Muy Baja",IF(X34&lt;=0.4,"Baja",IF(X34&lt;=0.6,"Media",IF(X34&lt;=0.8,"Alta","Muy Alta"))))),"")</f>
        <v>Muy Baja</v>
      </c>
      <c r="Z34" s="130">
        <f>+X34</f>
        <v>0.14000000000000001</v>
      </c>
      <c r="AA34" s="129" t="str">
        <f ca="1">IFERROR(IF(AB34="","",IF(AB34&lt;=0.2,"Leve",IF(AB34&lt;=0.4,"Menor",IF(AB34&lt;=0.6,"Moderado",IF(AB34&lt;=0.8,"Mayor","Catastrófico"))))),"")</f>
        <v>Menor</v>
      </c>
      <c r="AB34" s="130">
        <f ca="1">IFERROR(IF(Q34="Impacto",(M34-(+M34*T34)),IF(Q34="Probabilidad",M34,"")),"")</f>
        <v>0.4</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Bajo</v>
      </c>
      <c r="AD34" s="132" t="s">
        <v>31</v>
      </c>
      <c r="AE34" s="133" t="s">
        <v>264</v>
      </c>
      <c r="AF34" s="134" t="s">
        <v>257</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3"/>
      <c r="B35" s="206"/>
      <c r="C35" s="206"/>
      <c r="D35" s="206"/>
      <c r="E35" s="209"/>
      <c r="F35" s="206"/>
      <c r="G35" s="212"/>
      <c r="H35" s="215"/>
      <c r="I35" s="197"/>
      <c r="J35" s="218"/>
      <c r="K35" s="197">
        <f t="shared" ref="K35:K39" ca="1" si="31">IF(NOT(ISERROR(MATCH(J35,_xlfn.ANCHORARRAY(E46),0))),I48&amp;"Por favor no seleccionar los criterios de impacto",J35)</f>
        <v>0</v>
      </c>
      <c r="L35" s="215"/>
      <c r="M35" s="197"/>
      <c r="N35" s="200"/>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3"/>
      <c r="B36" s="206"/>
      <c r="C36" s="206"/>
      <c r="D36" s="206"/>
      <c r="E36" s="209"/>
      <c r="F36" s="206"/>
      <c r="G36" s="212"/>
      <c r="H36" s="215"/>
      <c r="I36" s="197"/>
      <c r="J36" s="218"/>
      <c r="K36" s="197">
        <f t="shared" ca="1" si="31"/>
        <v>0</v>
      </c>
      <c r="L36" s="215"/>
      <c r="M36" s="197"/>
      <c r="N36" s="200"/>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3"/>
      <c r="B37" s="206"/>
      <c r="C37" s="206"/>
      <c r="D37" s="206"/>
      <c r="E37" s="209"/>
      <c r="F37" s="206"/>
      <c r="G37" s="212"/>
      <c r="H37" s="215"/>
      <c r="I37" s="197"/>
      <c r="J37" s="218"/>
      <c r="K37" s="197">
        <f t="shared" ca="1" si="31"/>
        <v>0</v>
      </c>
      <c r="L37" s="215"/>
      <c r="M37" s="197"/>
      <c r="N37" s="200"/>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3"/>
      <c r="B38" s="206"/>
      <c r="C38" s="206"/>
      <c r="D38" s="206"/>
      <c r="E38" s="209"/>
      <c r="F38" s="206"/>
      <c r="G38" s="212"/>
      <c r="H38" s="215"/>
      <c r="I38" s="197"/>
      <c r="J38" s="218"/>
      <c r="K38" s="197">
        <f t="shared" ca="1" si="31"/>
        <v>0</v>
      </c>
      <c r="L38" s="215"/>
      <c r="M38" s="197"/>
      <c r="N38" s="200"/>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4"/>
      <c r="B39" s="207"/>
      <c r="C39" s="207"/>
      <c r="D39" s="207"/>
      <c r="E39" s="210"/>
      <c r="F39" s="207"/>
      <c r="G39" s="213"/>
      <c r="H39" s="216"/>
      <c r="I39" s="198"/>
      <c r="J39" s="219"/>
      <c r="K39" s="198">
        <f t="shared" ca="1" si="31"/>
        <v>0</v>
      </c>
      <c r="L39" s="216"/>
      <c r="M39" s="198"/>
      <c r="N39" s="201"/>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2">
        <v>6</v>
      </c>
      <c r="B40" s="205" t="s">
        <v>134</v>
      </c>
      <c r="C40" s="205" t="s">
        <v>283</v>
      </c>
      <c r="D40" s="205" t="s">
        <v>306</v>
      </c>
      <c r="E40" s="208" t="s">
        <v>272</v>
      </c>
      <c r="F40" s="205" t="s">
        <v>123</v>
      </c>
      <c r="G40" s="211">
        <v>60</v>
      </c>
      <c r="H40" s="214" t="str">
        <f>IF(G40&lt;=0,"",IF(G40&lt;=2,"Muy Baja",IF(G40&lt;=24,"Baja",IF(G40&lt;=500,"Media",IF(G40&lt;=5000,"Alta","Muy Alta")))))</f>
        <v>Media</v>
      </c>
      <c r="I40" s="196">
        <f>IF(H40="","",IF(H40="Muy Baja",0.2,IF(H40="Baja",0.4,IF(H40="Media",0.6,IF(H40="Alta",0.8,IF(H40="Muy Alta",1,))))))</f>
        <v>0.6</v>
      </c>
      <c r="J40" s="217" t="s">
        <v>151</v>
      </c>
      <c r="K40" s="196" t="str">
        <f ca="1">IF(NOT(ISERROR(MATCH(J40,'Tabla Impacto'!$B$221:$B$223,0))),'Tabla Impacto'!$F$223&amp;"Por favor no seleccionar los criterios de impacto(Afectación Económica o presupuestal y Pérdida Reputacional)",J40)</f>
        <v xml:space="preserve">     Entre 100 y 500 SMLMV </v>
      </c>
      <c r="L40" s="214" t="str">
        <f ca="1">IF(OR(K40='Tabla Impacto'!$C$11,K40='Tabla Impacto'!$D$11),"Leve",IF(OR(K40='Tabla Impacto'!$C$12,K40='Tabla Impacto'!$D$12),"Menor",IF(OR(K40='Tabla Impacto'!$C$13,K40='Tabla Impacto'!$D$13),"Moderado",IF(OR(K40='Tabla Impacto'!$C$14,K40='Tabla Impacto'!$D$14),"Mayor",IF(OR(K40='Tabla Impacto'!$C$15,K40='Tabla Impacto'!$D$15),"Catastrófico","")))))</f>
        <v>Mayor</v>
      </c>
      <c r="M40" s="196">
        <f ca="1">IF(L40="","",IF(L40="Leve",0.2,IF(L40="Menor",0.4,IF(L40="Moderado",0.6,IF(L40="Mayor",0.8,IF(L40="Catastrófico",1,))))))</f>
        <v>0.8</v>
      </c>
      <c r="N40" s="199"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Alto</v>
      </c>
      <c r="O40" s="123">
        <v>1</v>
      </c>
      <c r="P40" s="124" t="s">
        <v>304</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Mayor</v>
      </c>
      <c r="AB40" s="130">
        <f ca="1">IFERROR(IF(Q40="Impacto",(M40-(+M40*T40)),IF(Q40="Probabilidad",M40,"")),"")</f>
        <v>0.8</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Alto</v>
      </c>
      <c r="AD40" s="132" t="s">
        <v>136</v>
      </c>
      <c r="AE40" s="133" t="s">
        <v>285</v>
      </c>
      <c r="AF40" s="134" t="s">
        <v>257</v>
      </c>
      <c r="AG40" s="135">
        <v>45108</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3"/>
      <c r="B41" s="206"/>
      <c r="C41" s="206"/>
      <c r="D41" s="206"/>
      <c r="E41" s="209"/>
      <c r="F41" s="206"/>
      <c r="G41" s="212"/>
      <c r="H41" s="215"/>
      <c r="I41" s="197"/>
      <c r="J41" s="218"/>
      <c r="K41" s="197">
        <f t="shared" ref="K41:K45" ca="1" si="39">IF(NOT(ISERROR(MATCH(J41,_xlfn.ANCHORARRAY(E52),0))),I54&amp;"Por favor no seleccionar los criterios de impacto",J41)</f>
        <v>0</v>
      </c>
      <c r="L41" s="215"/>
      <c r="M41" s="197"/>
      <c r="N41" s="200"/>
      <c r="O41" s="123">
        <v>2</v>
      </c>
      <c r="P41" s="124" t="s">
        <v>305</v>
      </c>
      <c r="Q41" s="125" t="str">
        <f>IF(OR(R41="Preventivo",R41="Detectivo"),"Probabilidad",IF(R41="Correctivo","Impacto",""))</f>
        <v>Probabilidad</v>
      </c>
      <c r="R41" s="126" t="s">
        <v>15</v>
      </c>
      <c r="S41" s="126" t="s">
        <v>9</v>
      </c>
      <c r="T41" s="127" t="str">
        <f t="shared" ref="T41:T45" si="40">IF(AND(R41="Preventivo",S41="Automático"),"50%",IF(AND(R41="Preventivo",S41="Manual"),"40%",IF(AND(R41="Detectivo",S41="Automático"),"40%",IF(AND(R41="Detectivo",S41="Manual"),"30%",IF(AND(R41="Correctivo",S41="Automático"),"35%",IF(AND(R41="Correctivo",S41="Manual"),"25%",""))))))</f>
        <v>30%</v>
      </c>
      <c r="U41" s="126" t="s">
        <v>20</v>
      </c>
      <c r="V41" s="126" t="s">
        <v>22</v>
      </c>
      <c r="W41" s="126" t="s">
        <v>119</v>
      </c>
      <c r="X41" s="128">
        <f>IFERROR(IF(AND(Q40="Probabilidad",Q41="Probabilidad"),(Z40-(+Z40*T41)),IF(Q41="Probabilidad",(I40-(+I40*T41)),IF(Q41="Impacto",Z40,""))),"")</f>
        <v>0.252</v>
      </c>
      <c r="Y41" s="129" t="str">
        <f t="shared" si="1"/>
        <v>Baja</v>
      </c>
      <c r="Z41" s="130">
        <f t="shared" ref="Z41:Z45" si="41">+X41</f>
        <v>0.252</v>
      </c>
      <c r="AA41" s="129" t="str">
        <f t="shared" ca="1" si="3"/>
        <v>Menor</v>
      </c>
      <c r="AB41" s="130">
        <f ca="1">IFERROR(IF(AND(Q40="Impacto",Q41="Impacto"),(AB34-(+AB34*T41)),IF(Q41="Impacto",($M$40-(+$M$40*T41)),IF(Q41="Probabilidad",AB34,""))),"")</f>
        <v>0.4</v>
      </c>
      <c r="AC41" s="131" t="str">
        <f t="shared" ref="AC41:AC42" ca="1"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Moderado</v>
      </c>
      <c r="AD41" s="132" t="s">
        <v>31</v>
      </c>
      <c r="AE41" s="133" t="s">
        <v>264</v>
      </c>
      <c r="AF41" s="134" t="s">
        <v>257</v>
      </c>
      <c r="AG41" s="135">
        <v>44927</v>
      </c>
      <c r="AH41" s="135">
        <v>45291</v>
      </c>
      <c r="AI41" s="133"/>
      <c r="AJ41" s="134" t="s">
        <v>41</v>
      </c>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3"/>
      <c r="B42" s="206"/>
      <c r="C42" s="206"/>
      <c r="D42" s="206"/>
      <c r="E42" s="209"/>
      <c r="F42" s="206"/>
      <c r="G42" s="212"/>
      <c r="H42" s="215"/>
      <c r="I42" s="197"/>
      <c r="J42" s="218"/>
      <c r="K42" s="197">
        <f t="shared" ca="1" si="39"/>
        <v>0</v>
      </c>
      <c r="L42" s="215"/>
      <c r="M42" s="197"/>
      <c r="N42" s="200"/>
      <c r="O42" s="123">
        <v>3</v>
      </c>
      <c r="P42" s="124" t="s">
        <v>300</v>
      </c>
      <c r="Q42" s="125" t="str">
        <f>IF(OR(R42="Preventivo",R42="Detectivo"),"Probabilidad",IF(R42="Correctivo","Impacto",""))</f>
        <v>Probabilidad</v>
      </c>
      <c r="R42" s="126" t="s">
        <v>14</v>
      </c>
      <c r="S42" s="126" t="s">
        <v>9</v>
      </c>
      <c r="T42" s="127" t="str">
        <f t="shared" si="40"/>
        <v>40%</v>
      </c>
      <c r="U42" s="126" t="s">
        <v>19</v>
      </c>
      <c r="V42" s="126" t="s">
        <v>22</v>
      </c>
      <c r="W42" s="126" t="s">
        <v>119</v>
      </c>
      <c r="X42" s="128">
        <f>IFERROR(IF(AND(Q41="Probabilidad",Q42="Probabilidad"),(Z41-(+Z41*T42)),IF(AND(Q41="Impacto",Q42="Probabilidad"),(Z40-(+Z40*T42)),IF(Q42="Impacto",Z41,""))),"")</f>
        <v>0.1512</v>
      </c>
      <c r="Y42" s="129" t="str">
        <f t="shared" si="1"/>
        <v>Muy Baja</v>
      </c>
      <c r="Z42" s="130">
        <f t="shared" si="41"/>
        <v>0.1512</v>
      </c>
      <c r="AA42" s="129" t="str">
        <f t="shared" ca="1" si="3"/>
        <v>Menor</v>
      </c>
      <c r="AB42" s="130">
        <f ca="1">IFERROR(IF(AND(Q41="Impacto",Q42="Impacto"),(AB41-(+AB41*T42)),IF(AND(Q41="Probabilidad",Q42="Impacto"),(AB40-(+AB40*T42)),IF(Q42="Probabilidad",AB41,""))),"")</f>
        <v>0.4</v>
      </c>
      <c r="AC42" s="131" t="str">
        <f t="shared" ca="1" si="42"/>
        <v>Bajo</v>
      </c>
      <c r="AD42" s="132"/>
      <c r="AE42" s="133" t="s">
        <v>264</v>
      </c>
      <c r="AF42" s="134" t="s">
        <v>257</v>
      </c>
      <c r="AG42" s="135">
        <v>44927</v>
      </c>
      <c r="AH42" s="135">
        <v>45291</v>
      </c>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3"/>
      <c r="B43" s="206"/>
      <c r="C43" s="206"/>
      <c r="D43" s="206"/>
      <c r="E43" s="209"/>
      <c r="F43" s="206"/>
      <c r="G43" s="212"/>
      <c r="H43" s="215"/>
      <c r="I43" s="197"/>
      <c r="J43" s="218"/>
      <c r="K43" s="197">
        <f t="shared" ca="1" si="39"/>
        <v>0</v>
      </c>
      <c r="L43" s="215"/>
      <c r="M43" s="197"/>
      <c r="N43" s="200"/>
      <c r="O43" s="123">
        <v>4</v>
      </c>
      <c r="P43" s="124" t="s">
        <v>309</v>
      </c>
      <c r="Q43" s="125" t="str">
        <f t="shared" ref="Q43:Q45" si="43">IF(OR(R43="Preventivo",R43="Detectivo"),"Probabilidad",IF(R43="Correctivo","Impacto",""))</f>
        <v>Impacto</v>
      </c>
      <c r="R43" s="126" t="s">
        <v>16</v>
      </c>
      <c r="S43" s="126" t="s">
        <v>9</v>
      </c>
      <c r="T43" s="127" t="str">
        <f t="shared" si="40"/>
        <v>25%</v>
      </c>
      <c r="U43" s="126" t="s">
        <v>20</v>
      </c>
      <c r="V43" s="126" t="s">
        <v>23</v>
      </c>
      <c r="W43" s="126" t="s">
        <v>120</v>
      </c>
      <c r="X43" s="128">
        <f t="shared" ref="X43:X45" si="44">IFERROR(IF(AND(Q42="Probabilidad",Q43="Probabilidad"),(Z42-(+Z42*T43)),IF(AND(Q42="Impacto",Q43="Probabilidad"),(Z41-(+Z41*T43)),IF(Q43="Impacto",Z42,""))),"")</f>
        <v>0.1512</v>
      </c>
      <c r="Y43" s="129" t="str">
        <f t="shared" si="1"/>
        <v>Muy Baja</v>
      </c>
      <c r="Z43" s="130">
        <f t="shared" si="41"/>
        <v>0.1512</v>
      </c>
      <c r="AA43" s="129" t="str">
        <f t="shared" ca="1" si="3"/>
        <v>Menor</v>
      </c>
      <c r="AB43" s="130">
        <f t="shared" ref="AB43:AB45" ca="1" si="45">IFERROR(IF(AND(Q42="Impacto",Q43="Impacto"),(AB42-(+AB42*T43)),IF(AND(Q42="Probabilidad",Q43="Impacto"),(AB41-(+AB41*T43)),IF(Q43="Probabilidad",AB42,""))),"")</f>
        <v>0.30000000000000004</v>
      </c>
      <c r="AC43" s="131" t="str">
        <f ca="1">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Bajo</v>
      </c>
      <c r="AD43" s="132"/>
      <c r="AE43" s="133" t="s">
        <v>308</v>
      </c>
      <c r="AF43" s="134" t="s">
        <v>307</v>
      </c>
      <c r="AG43" s="135">
        <v>45170</v>
      </c>
      <c r="AH43" s="135">
        <v>45352</v>
      </c>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3"/>
      <c r="B44" s="206"/>
      <c r="C44" s="206"/>
      <c r="D44" s="206"/>
      <c r="E44" s="209"/>
      <c r="F44" s="206"/>
      <c r="G44" s="212"/>
      <c r="H44" s="215"/>
      <c r="I44" s="197"/>
      <c r="J44" s="218"/>
      <c r="K44" s="197">
        <f t="shared" ca="1" si="39"/>
        <v>0</v>
      </c>
      <c r="L44" s="215"/>
      <c r="M44" s="197"/>
      <c r="N44" s="200"/>
      <c r="O44" s="123">
        <v>5</v>
      </c>
      <c r="P44" s="124" t="s">
        <v>310</v>
      </c>
      <c r="Q44" s="125" t="str">
        <f t="shared" si="43"/>
        <v>Impacto</v>
      </c>
      <c r="R44" s="126" t="s">
        <v>16</v>
      </c>
      <c r="S44" s="126" t="s">
        <v>9</v>
      </c>
      <c r="T44" s="127" t="str">
        <f t="shared" si="40"/>
        <v>25%</v>
      </c>
      <c r="U44" s="126" t="s">
        <v>19</v>
      </c>
      <c r="V44" s="126" t="s">
        <v>23</v>
      </c>
      <c r="W44" s="126" t="s">
        <v>119</v>
      </c>
      <c r="X44" s="128">
        <f t="shared" si="44"/>
        <v>0.1512</v>
      </c>
      <c r="Y44" s="129" t="str">
        <f t="shared" si="1"/>
        <v>Muy Baja</v>
      </c>
      <c r="Z44" s="130">
        <f t="shared" si="41"/>
        <v>0.1512</v>
      </c>
      <c r="AA44" s="129" t="str">
        <f t="shared" ca="1" si="3"/>
        <v>Menor</v>
      </c>
      <c r="AB44" s="130">
        <f t="shared" ca="1" si="45"/>
        <v>0.22500000000000003</v>
      </c>
      <c r="AC44" s="131" t="str">
        <f t="shared" ref="AC44" ca="1"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Bajo</v>
      </c>
      <c r="AD44" s="132"/>
      <c r="AE44" s="124" t="s">
        <v>311</v>
      </c>
      <c r="AF44" s="134" t="s">
        <v>257</v>
      </c>
      <c r="AG44" s="135">
        <v>45292</v>
      </c>
      <c r="AH44" s="135">
        <v>45322</v>
      </c>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4"/>
      <c r="B45" s="207"/>
      <c r="C45" s="207"/>
      <c r="D45" s="207"/>
      <c r="E45" s="210"/>
      <c r="F45" s="207"/>
      <c r="G45" s="213"/>
      <c r="H45" s="216"/>
      <c r="I45" s="198"/>
      <c r="J45" s="219"/>
      <c r="K45" s="198">
        <f t="shared" ca="1" si="39"/>
        <v>0</v>
      </c>
      <c r="L45" s="216"/>
      <c r="M45" s="198"/>
      <c r="N45" s="201"/>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2">
        <v>7</v>
      </c>
      <c r="B46" s="205" t="s">
        <v>134</v>
      </c>
      <c r="C46" s="205" t="s">
        <v>325</v>
      </c>
      <c r="D46" s="205" t="s">
        <v>323</v>
      </c>
      <c r="E46" s="208" t="s">
        <v>289</v>
      </c>
      <c r="F46" s="205" t="s">
        <v>123</v>
      </c>
      <c r="G46" s="211">
        <v>60</v>
      </c>
      <c r="H46" s="214" t="str">
        <f>IF(G46&lt;=0,"",IF(G46&lt;=2,"Muy Baja",IF(G46&lt;=24,"Baja",IF(G46&lt;=500,"Media",IF(G46&lt;=5000,"Alta","Muy Alta")))))</f>
        <v>Media</v>
      </c>
      <c r="I46" s="196">
        <f>IF(H46="","",IF(H46="Muy Baja",0.2,IF(H46="Baja",0.4,IF(H46="Media",0.6,IF(H46="Alta",0.8,IF(H46="Muy Alta",1,))))))</f>
        <v>0.6</v>
      </c>
      <c r="J46" s="217" t="s">
        <v>151</v>
      </c>
      <c r="K46" s="196" t="str">
        <f ca="1">IF(NOT(ISERROR(MATCH(J46,'Tabla Impacto'!$B$221:$B$223,0))),'Tabla Impacto'!$F$223&amp;"Por favor no seleccionar los criterios de impacto(Afectación Económica o presupuestal y Pérdida Reputacional)",J46)</f>
        <v xml:space="preserve">     Entre 100 y 500 SMLMV </v>
      </c>
      <c r="L46" s="214" t="str">
        <f ca="1">IF(OR(K46='Tabla Impacto'!$C$11,K46='Tabla Impacto'!$D$11),"Leve",IF(OR(K46='Tabla Impacto'!$C$12,K46='Tabla Impacto'!$D$12),"Menor",IF(OR(K46='Tabla Impacto'!$C$13,K46='Tabla Impacto'!$D$13),"Moderado",IF(OR(K46='Tabla Impacto'!$C$14,K46='Tabla Impacto'!$D$14),"Mayor",IF(OR(K46='Tabla Impacto'!$C$15,K46='Tabla Impacto'!$D$15),"Catastrófico","")))))</f>
        <v>Mayor</v>
      </c>
      <c r="M46" s="196">
        <f ca="1">IF(L46="","",IF(L46="Leve",0.2,IF(L46="Menor",0.4,IF(L46="Moderado",0.6,IF(L46="Mayor",0.8,IF(L46="Catastrófico",1,))))))</f>
        <v>0.8</v>
      </c>
      <c r="N46" s="199"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Alto</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t="s">
        <v>136</v>
      </c>
      <c r="AE46" s="133" t="s">
        <v>312</v>
      </c>
      <c r="AF46" s="134" t="s">
        <v>257</v>
      </c>
      <c r="AG46" s="135">
        <v>45292</v>
      </c>
      <c r="AH46" s="135">
        <v>45322</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3"/>
      <c r="B47" s="206"/>
      <c r="C47" s="206"/>
      <c r="D47" s="206"/>
      <c r="E47" s="209"/>
      <c r="F47" s="206"/>
      <c r="G47" s="212"/>
      <c r="H47" s="215"/>
      <c r="I47" s="197"/>
      <c r="J47" s="218"/>
      <c r="K47" s="197">
        <f t="shared" ref="K47:K51" ca="1" si="47">IF(NOT(ISERROR(MATCH(J47,_xlfn.ANCHORARRAY(E58),0))),I60&amp;"Por favor no seleccionar los criterios de impacto",J47)</f>
        <v>0</v>
      </c>
      <c r="L47" s="215"/>
      <c r="M47" s="197"/>
      <c r="N47" s="200"/>
      <c r="O47" s="123">
        <v>2</v>
      </c>
      <c r="P47" s="139" t="s">
        <v>318</v>
      </c>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t="s">
        <v>136</v>
      </c>
      <c r="AE47" s="124" t="s">
        <v>313</v>
      </c>
      <c r="AF47" s="133" t="s">
        <v>314</v>
      </c>
      <c r="AG47" s="135">
        <v>45170</v>
      </c>
      <c r="AH47" s="135">
        <v>45352</v>
      </c>
      <c r="AI47" s="133"/>
      <c r="AJ47" s="134" t="s">
        <v>41</v>
      </c>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3"/>
      <c r="B48" s="206"/>
      <c r="C48" s="206"/>
      <c r="D48" s="206"/>
      <c r="E48" s="209"/>
      <c r="F48" s="206"/>
      <c r="G48" s="212"/>
      <c r="H48" s="215"/>
      <c r="I48" s="197"/>
      <c r="J48" s="218"/>
      <c r="K48" s="197">
        <f t="shared" ca="1" si="47"/>
        <v>0</v>
      </c>
      <c r="L48" s="215"/>
      <c r="M48" s="197"/>
      <c r="N48" s="200"/>
      <c r="O48" s="123">
        <v>3</v>
      </c>
      <c r="P48" s="138"/>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t="s">
        <v>136</v>
      </c>
      <c r="AE48" s="124" t="s">
        <v>324</v>
      </c>
      <c r="AF48" s="133" t="s">
        <v>315</v>
      </c>
      <c r="AG48" s="135">
        <v>45170</v>
      </c>
      <c r="AH48" s="135">
        <v>45352</v>
      </c>
      <c r="AI48" s="133"/>
      <c r="AJ48" s="134" t="s">
        <v>41</v>
      </c>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3"/>
      <c r="B49" s="206"/>
      <c r="C49" s="206"/>
      <c r="D49" s="206"/>
      <c r="E49" s="209"/>
      <c r="F49" s="206"/>
      <c r="G49" s="212"/>
      <c r="H49" s="215"/>
      <c r="I49" s="197"/>
      <c r="J49" s="218"/>
      <c r="K49" s="197">
        <f t="shared" ca="1" si="47"/>
        <v>0</v>
      </c>
      <c r="L49" s="215"/>
      <c r="M49" s="197"/>
      <c r="N49" s="200"/>
      <c r="O49" s="123">
        <v>4</v>
      </c>
      <c r="P49" s="140"/>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t="s">
        <v>136</v>
      </c>
      <c r="AE49" s="133" t="s">
        <v>316</v>
      </c>
      <c r="AF49" s="133" t="s">
        <v>315</v>
      </c>
      <c r="AG49" s="135">
        <v>45170</v>
      </c>
      <c r="AH49" s="135">
        <v>45291</v>
      </c>
      <c r="AI49" s="133"/>
      <c r="AJ49" s="134" t="s">
        <v>41</v>
      </c>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3"/>
      <c r="B50" s="206"/>
      <c r="C50" s="206"/>
      <c r="D50" s="206"/>
      <c r="E50" s="209"/>
      <c r="F50" s="206"/>
      <c r="G50" s="212"/>
      <c r="H50" s="215"/>
      <c r="I50" s="197"/>
      <c r="J50" s="218"/>
      <c r="K50" s="197">
        <f t="shared" ca="1" si="47"/>
        <v>0</v>
      </c>
      <c r="L50" s="215"/>
      <c r="M50" s="197"/>
      <c r="N50" s="200"/>
      <c r="O50" s="123">
        <v>5</v>
      </c>
      <c r="P50" s="124" t="s">
        <v>298</v>
      </c>
      <c r="Q50" s="125" t="str">
        <f t="shared" si="51"/>
        <v>Probabilidad</v>
      </c>
      <c r="R50" s="126" t="s">
        <v>14</v>
      </c>
      <c r="S50" s="126" t="s">
        <v>9</v>
      </c>
      <c r="T50" s="127" t="str">
        <f t="shared" si="48"/>
        <v>40%</v>
      </c>
      <c r="U50" s="126" t="s">
        <v>19</v>
      </c>
      <c r="V50" s="126" t="s">
        <v>23</v>
      </c>
      <c r="W50" s="126" t="s">
        <v>119</v>
      </c>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t="s">
        <v>136</v>
      </c>
      <c r="AE50" s="133"/>
      <c r="AF50" s="134" t="s">
        <v>257</v>
      </c>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4"/>
      <c r="B51" s="207"/>
      <c r="C51" s="207"/>
      <c r="D51" s="207"/>
      <c r="E51" s="210"/>
      <c r="F51" s="207"/>
      <c r="G51" s="213"/>
      <c r="H51" s="216"/>
      <c r="I51" s="198"/>
      <c r="J51" s="219"/>
      <c r="K51" s="198">
        <f t="shared" ca="1" si="47"/>
        <v>0</v>
      </c>
      <c r="L51" s="216"/>
      <c r="M51" s="198"/>
      <c r="N51" s="201"/>
      <c r="O51" s="123">
        <v>6</v>
      </c>
      <c r="P51" s="138"/>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t="s">
        <v>136</v>
      </c>
      <c r="AE51" s="133"/>
      <c r="AF51" s="134" t="s">
        <v>257</v>
      </c>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2">
        <v>8</v>
      </c>
      <c r="B52" s="205" t="s">
        <v>134</v>
      </c>
      <c r="C52" s="205" t="s">
        <v>262</v>
      </c>
      <c r="D52" s="205" t="s">
        <v>294</v>
      </c>
      <c r="E52" s="208" t="s">
        <v>280</v>
      </c>
      <c r="F52" s="205" t="s">
        <v>123</v>
      </c>
      <c r="G52" s="211">
        <v>60</v>
      </c>
      <c r="H52" s="214" t="str">
        <f>IF(G52&lt;=0,"",IF(G52&lt;=2,"Muy Baja",IF(G52&lt;=24,"Baja",IF(G52&lt;=500,"Media",IF(G52&lt;=5000,"Alta","Muy Alta")))))</f>
        <v>Media</v>
      </c>
      <c r="I52" s="196">
        <f>IF(H52="","",IF(H52="Muy Baja",0.2,IF(H52="Baja",0.4,IF(H52="Media",0.6,IF(H52="Alta",0.8,IF(H52="Muy Alta",1,))))))</f>
        <v>0.6</v>
      </c>
      <c r="J52" s="217" t="s">
        <v>151</v>
      </c>
      <c r="K52" s="196" t="str">
        <f ca="1">IF(NOT(ISERROR(MATCH(J52,'Tabla Impacto'!$B$221:$B$223,0))),'Tabla Impacto'!$F$223&amp;"Por favor no seleccionar los criterios de impacto(Afectación Económica o presupuestal y Pérdida Reputacional)",J52)</f>
        <v xml:space="preserve">     Entre 100 y 500 SMLMV </v>
      </c>
      <c r="L52" s="214" t="str">
        <f ca="1">IF(OR(K52='Tabla Impacto'!$C$11,K52='Tabla Impacto'!$D$11),"Leve",IF(OR(K52='Tabla Impacto'!$C$12,K52='Tabla Impacto'!$D$12),"Menor",IF(OR(K52='Tabla Impacto'!$C$13,K52='Tabla Impacto'!$D$13),"Moderado",IF(OR(K52='Tabla Impacto'!$C$14,K52='Tabla Impacto'!$D$14),"Mayor",IF(OR(K52='Tabla Impacto'!$C$15,K52='Tabla Impacto'!$D$15),"Catastrófico","")))))</f>
        <v>Mayor</v>
      </c>
      <c r="M52" s="196">
        <f ca="1">IF(L52="","",IF(L52="Leve",0.2,IF(L52="Menor",0.4,IF(L52="Moderado",0.6,IF(L52="Mayor",0.8,IF(L52="Catastrófico",1,))))))</f>
        <v>0.8</v>
      </c>
      <c r="N52" s="199"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Alto</v>
      </c>
      <c r="O52" s="123">
        <v>1</v>
      </c>
      <c r="P52" s="124" t="s">
        <v>293</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23</v>
      </c>
      <c r="W52" s="126" t="s">
        <v>119</v>
      </c>
      <c r="X52" s="128">
        <f>IFERROR(IF(Q52="Probabilidad",(I52-(+I52*T52)),IF(Q52="Impacto",I52,"")),"")</f>
        <v>0.36</v>
      </c>
      <c r="Y52" s="129" t="str">
        <f>IFERROR(IF(X52="","",IF(X52&lt;=0.2,"Muy Baja",IF(X52&lt;=0.4,"Baja",IF(X52&lt;=0.6,"Media",IF(X52&lt;=0.8,"Alta","Muy Alta"))))),"")</f>
        <v>Baja</v>
      </c>
      <c r="Z52" s="130">
        <f>+X52</f>
        <v>0.36</v>
      </c>
      <c r="AA52" s="129" t="str">
        <f ca="1">IFERROR(IF(AB52="","",IF(AB52&lt;=0.2,"Leve",IF(AB52&lt;=0.4,"Menor",IF(AB52&lt;=0.6,"Moderado",IF(AB52&lt;=0.8,"Mayor","Catastrófico"))))),"")</f>
        <v>Mayor</v>
      </c>
      <c r="AB52" s="130">
        <f ca="1">IFERROR(IF(Q52="Impacto",(M52-(+M52*T52)),IF(Q52="Probabilidad",M52,"")),"")</f>
        <v>0.8</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Alto</v>
      </c>
      <c r="AD52" s="132" t="s">
        <v>31</v>
      </c>
      <c r="AE52" s="133" t="s">
        <v>264</v>
      </c>
      <c r="AF52" s="134" t="s">
        <v>257</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3"/>
      <c r="B53" s="206"/>
      <c r="C53" s="206"/>
      <c r="D53" s="206"/>
      <c r="E53" s="209"/>
      <c r="F53" s="206"/>
      <c r="G53" s="212"/>
      <c r="H53" s="215"/>
      <c r="I53" s="197"/>
      <c r="J53" s="218"/>
      <c r="K53" s="197">
        <f ca="1">IF(NOT(ISERROR(MATCH(J53,_xlfn.ANCHORARRAY(E64),0))),I66&amp;"Por favor no seleccionar los criterios de impacto",J53)</f>
        <v>0</v>
      </c>
      <c r="L53" s="215"/>
      <c r="M53" s="197"/>
      <c r="N53" s="200"/>
      <c r="O53" s="123">
        <v>2</v>
      </c>
      <c r="P53" s="124" t="s">
        <v>295</v>
      </c>
      <c r="Q53" s="125" t="str">
        <f>IF(OR(R53="Preventivo",R53="Detectivo"),"Probabilidad",IF(R53="Correctivo","Impacto",""))</f>
        <v>Probabilidad</v>
      </c>
      <c r="R53" s="126" t="s">
        <v>14</v>
      </c>
      <c r="S53" s="126" t="s">
        <v>9</v>
      </c>
      <c r="T53" s="127" t="str">
        <f t="shared" ref="T53:T57" si="55">IF(AND(R53="Preventivo",S53="Automático"),"50%",IF(AND(R53="Preventivo",S53="Manual"),"40%",IF(AND(R53="Detectivo",S53="Automático"),"40%",IF(AND(R53="Detectivo",S53="Manual"),"30%",IF(AND(R53="Correctivo",S53="Automático"),"35%",IF(AND(R53="Correctivo",S53="Manual"),"25%",""))))))</f>
        <v>40%</v>
      </c>
      <c r="U53" s="126" t="s">
        <v>19</v>
      </c>
      <c r="V53" s="126" t="s">
        <v>23</v>
      </c>
      <c r="W53" s="126" t="s">
        <v>119</v>
      </c>
      <c r="X53" s="128">
        <f>IFERROR(IF(AND(Q52="Probabilidad",Q53="Probabilidad"),(Z52-(+Z52*T53)),IF(Q53="Probabilidad",(I52-(+I52*T53)),IF(Q53="Impacto",Z52,""))),"")</f>
        <v>0.216</v>
      </c>
      <c r="Y53" s="129" t="str">
        <f t="shared" si="1"/>
        <v>Baja</v>
      </c>
      <c r="Z53" s="130">
        <f t="shared" ref="Z53:Z57" si="56">+X53</f>
        <v>0.216</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t="s">
        <v>136</v>
      </c>
      <c r="AE53" s="133" t="s">
        <v>264</v>
      </c>
      <c r="AF53" s="134" t="s">
        <v>257</v>
      </c>
      <c r="AG53" s="135">
        <v>44927</v>
      </c>
      <c r="AH53" s="135">
        <v>45291</v>
      </c>
      <c r="AI53" s="133"/>
      <c r="AJ53" s="134" t="s">
        <v>41</v>
      </c>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3"/>
      <c r="B54" s="206"/>
      <c r="C54" s="206"/>
      <c r="D54" s="206"/>
      <c r="E54" s="209"/>
      <c r="F54" s="206"/>
      <c r="G54" s="212"/>
      <c r="H54" s="215"/>
      <c r="I54" s="197"/>
      <c r="J54" s="218"/>
      <c r="K54" s="197">
        <f ca="1">IF(NOT(ISERROR(MATCH(J54,_xlfn.ANCHORARRAY(E65),0))),I67&amp;"Por favor no seleccionar los criterios de impacto",J54)</f>
        <v>0</v>
      </c>
      <c r="L54" s="215"/>
      <c r="M54" s="197"/>
      <c r="N54" s="200"/>
      <c r="O54" s="123">
        <v>3</v>
      </c>
      <c r="P54" s="124"/>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3"/>
      <c r="B55" s="206"/>
      <c r="C55" s="206"/>
      <c r="D55" s="206"/>
      <c r="E55" s="209"/>
      <c r="F55" s="206"/>
      <c r="G55" s="212"/>
      <c r="H55" s="215"/>
      <c r="I55" s="197"/>
      <c r="J55" s="218"/>
      <c r="K55" s="197">
        <f ca="1">IF(NOT(ISERROR(MATCH(J55,_xlfn.ANCHORARRAY(E66),0))),I68&amp;"Por favor no seleccionar los criterios de impacto",J55)</f>
        <v>0</v>
      </c>
      <c r="L55" s="215"/>
      <c r="M55" s="197"/>
      <c r="N55" s="200"/>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3"/>
      <c r="B56" s="206"/>
      <c r="C56" s="206"/>
      <c r="D56" s="206"/>
      <c r="E56" s="209"/>
      <c r="F56" s="206"/>
      <c r="G56" s="212"/>
      <c r="H56" s="215"/>
      <c r="I56" s="197"/>
      <c r="J56" s="218"/>
      <c r="K56" s="197">
        <f ca="1">IF(NOT(ISERROR(MATCH(J56,_xlfn.ANCHORARRAY(E67),0))),I69&amp;"Por favor no seleccionar los criterios de impacto",J56)</f>
        <v>0</v>
      </c>
      <c r="L56" s="215"/>
      <c r="M56" s="197"/>
      <c r="N56" s="200"/>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4"/>
      <c r="B57" s="207"/>
      <c r="C57" s="207"/>
      <c r="D57" s="207"/>
      <c r="E57" s="210"/>
      <c r="F57" s="207"/>
      <c r="G57" s="213"/>
      <c r="H57" s="216"/>
      <c r="I57" s="198"/>
      <c r="J57" s="219"/>
      <c r="K57" s="198">
        <f ca="1">IF(NOT(ISERROR(MATCH(J57,_xlfn.ANCHORARRAY(E68),0))),I70&amp;"Por favor no seleccionar los criterios de impacto",J57)</f>
        <v>0</v>
      </c>
      <c r="L57" s="216"/>
      <c r="M57" s="198"/>
      <c r="N57" s="201"/>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2">
        <v>9</v>
      </c>
      <c r="B58" s="205" t="s">
        <v>134</v>
      </c>
      <c r="C58" s="205" t="s">
        <v>288</v>
      </c>
      <c r="D58" s="205" t="s">
        <v>290</v>
      </c>
      <c r="E58" s="208" t="s">
        <v>317</v>
      </c>
      <c r="F58" s="205" t="s">
        <v>123</v>
      </c>
      <c r="G58" s="211">
        <v>60</v>
      </c>
      <c r="H58" s="214" t="str">
        <f>IF(G58&lt;=0,"",IF(G58&lt;=2,"Muy Baja",IF(G58&lt;=24,"Baja",IF(G58&lt;=500,"Media",IF(G58&lt;=5000,"Alta","Muy Alta")))))</f>
        <v>Media</v>
      </c>
      <c r="I58" s="196">
        <f>IF(H58="","",IF(H58="Muy Baja",0.2,IF(H58="Baja",0.4,IF(H58="Media",0.6,IF(H58="Alta",0.8,IF(H58="Muy Alta",1,))))))</f>
        <v>0.6</v>
      </c>
      <c r="J58" s="217" t="s">
        <v>151</v>
      </c>
      <c r="K58" s="196" t="str">
        <f ca="1">IF(NOT(ISERROR(MATCH(J58,'Tabla Impacto'!$B$221:$B$223,0))),'Tabla Impacto'!$F$223&amp;"Por favor no seleccionar los criterios de impacto(Afectación Económica o presupuestal y Pérdida Reputacional)",J58)</f>
        <v xml:space="preserve">     Entre 100 y 500 SMLMV </v>
      </c>
      <c r="L58" s="214" t="str">
        <f ca="1">IF(OR(K58='Tabla Impacto'!$C$11,K58='Tabla Impacto'!$D$11),"Leve",IF(OR(K58='Tabla Impacto'!$C$12,K58='Tabla Impacto'!$D$12),"Menor",IF(OR(K58='Tabla Impacto'!$C$13,K58='Tabla Impacto'!$D$13),"Moderado",IF(OR(K58='Tabla Impacto'!$C$14,K58='Tabla Impacto'!$D$14),"Mayor",IF(OR(K58='Tabla Impacto'!$C$15,K58='Tabla Impacto'!$D$15),"Catastrófico","")))))</f>
        <v>Mayor</v>
      </c>
      <c r="M58" s="196">
        <f ca="1">IF(L58="","",IF(L58="Leve",0.2,IF(L58="Menor",0.4,IF(L58="Moderado",0.6,IF(L58="Mayor",0.8,IF(L58="Catastrófico",1,))))))</f>
        <v>0.8</v>
      </c>
      <c r="N58" s="199"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Alto</v>
      </c>
      <c r="O58" s="123">
        <v>1</v>
      </c>
      <c r="P58" s="124" t="s">
        <v>284</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0.36</v>
      </c>
      <c r="Y58" s="129" t="str">
        <f>IFERROR(IF(X58="","",IF(X58&lt;=0.2,"Muy Baja",IF(X58&lt;=0.4,"Baja",IF(X58&lt;=0.6,"Media",IF(X58&lt;=0.8,"Alta","Muy Alta"))))),"")</f>
        <v>Baja</v>
      </c>
      <c r="Z58" s="130">
        <f>+X58</f>
        <v>0.36</v>
      </c>
      <c r="AA58" s="129" t="str">
        <f ca="1">IFERROR(IF(AB58="","",IF(AB58&lt;=0.2,"Leve",IF(AB58&lt;=0.4,"Menor",IF(AB58&lt;=0.6,"Moderado",IF(AB58&lt;=0.8,"Mayor","Catastrófico"))))),"")</f>
        <v>Mayor</v>
      </c>
      <c r="AB58" s="130">
        <f ca="1">IFERROR(IF(Q58="Impacto",(M58-(+M58*T58)),IF(Q58="Probabilidad",M58,"")),"")</f>
        <v>0.8</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Alto</v>
      </c>
      <c r="AD58" s="132" t="s">
        <v>31</v>
      </c>
      <c r="AE58" s="133" t="s">
        <v>291</v>
      </c>
      <c r="AF58" s="134" t="s">
        <v>257</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3"/>
      <c r="B59" s="206"/>
      <c r="C59" s="206"/>
      <c r="D59" s="206"/>
      <c r="E59" s="209"/>
      <c r="F59" s="206"/>
      <c r="G59" s="212"/>
      <c r="H59" s="215"/>
      <c r="I59" s="197"/>
      <c r="J59" s="218"/>
      <c r="K59" s="197">
        <f ca="1">IF(NOT(ISERROR(MATCH(J59,_xlfn.ANCHORARRAY(E70),0))),I72&amp;"Por favor no seleccionar los criterios de impacto",J59)</f>
        <v>0</v>
      </c>
      <c r="L59" s="215"/>
      <c r="M59" s="197"/>
      <c r="N59" s="200"/>
      <c r="O59" s="123">
        <v>2</v>
      </c>
      <c r="P59" s="124" t="s">
        <v>319</v>
      </c>
      <c r="Q59" s="125" t="str">
        <f>IF(OR(R59="Preventivo",R59="Detectivo"),"Probabilidad",IF(R59="Correctivo","Impacto",""))</f>
        <v>Probabilidad</v>
      </c>
      <c r="R59" s="126" t="s">
        <v>14</v>
      </c>
      <c r="S59" s="126" t="s">
        <v>9</v>
      </c>
      <c r="T59" s="127" t="str">
        <f t="shared" ref="T59:T63" si="62">IF(AND(R59="Preventivo",S59="Automático"),"50%",IF(AND(R59="Preventivo",S59="Manual"),"40%",IF(AND(R59="Detectivo",S59="Automático"),"40%",IF(AND(R59="Detectivo",S59="Manual"),"30%",IF(AND(R59="Correctivo",S59="Automático"),"35%",IF(AND(R59="Correctivo",S59="Manual"),"25%",""))))))</f>
        <v>40%</v>
      </c>
      <c r="U59" s="126" t="s">
        <v>19</v>
      </c>
      <c r="V59" s="126" t="s">
        <v>22</v>
      </c>
      <c r="W59" s="126" t="s">
        <v>119</v>
      </c>
      <c r="X59" s="128">
        <f>IFERROR(IF(AND(Q58="Probabilidad",Q59="Probabilidad"),(Z58-(+Z58*T59)),IF(Q59="Probabilidad",(I58-(+I58*T59)),IF(Q59="Impacto",Z58,""))),"")</f>
        <v>0.216</v>
      </c>
      <c r="Y59" s="129" t="str">
        <f t="shared" si="1"/>
        <v>Baja</v>
      </c>
      <c r="Z59" s="130">
        <f t="shared" ref="Z59:Z63" si="63">+X59</f>
        <v>0.216</v>
      </c>
      <c r="AA59" s="129" t="str">
        <f t="shared" ca="1" si="3"/>
        <v>Mayor</v>
      </c>
      <c r="AB59" s="130">
        <f ca="1">IFERROR(IF(AND(Q58="Impacto",Q59="Impacto"),(AB52-(+AB52*T59)),IF(Q59="Impacto",($M$58-(+$M$58*T59)),IF(Q59="Probabilidad",AB52,""))),"")</f>
        <v>0.8</v>
      </c>
      <c r="AC59" s="131" t="str">
        <f t="shared" ref="AC59:AC60" ca="1"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Alto</v>
      </c>
      <c r="AD59" s="132" t="s">
        <v>31</v>
      </c>
      <c r="AE59" s="133" t="s">
        <v>292</v>
      </c>
      <c r="AF59" s="134" t="s">
        <v>257</v>
      </c>
      <c r="AG59" s="135">
        <v>44927</v>
      </c>
      <c r="AH59" s="135">
        <v>45291</v>
      </c>
      <c r="AI59" s="133"/>
      <c r="AJ59" s="134" t="s">
        <v>41</v>
      </c>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3"/>
      <c r="B60" s="206"/>
      <c r="C60" s="206"/>
      <c r="D60" s="206"/>
      <c r="E60" s="209"/>
      <c r="F60" s="206"/>
      <c r="G60" s="212"/>
      <c r="H60" s="215"/>
      <c r="I60" s="197"/>
      <c r="J60" s="218"/>
      <c r="K60" s="197">
        <f ca="1">IF(NOT(ISERROR(MATCH(J60,_xlfn.ANCHORARRAY(E71),0))),I73&amp;"Por favor no seleccionar los criterios de impacto",J60)</f>
        <v>0</v>
      </c>
      <c r="L60" s="215"/>
      <c r="M60" s="197"/>
      <c r="N60" s="200"/>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3"/>
      <c r="B61" s="206"/>
      <c r="C61" s="206"/>
      <c r="D61" s="206"/>
      <c r="E61" s="209"/>
      <c r="F61" s="206"/>
      <c r="G61" s="212"/>
      <c r="H61" s="215"/>
      <c r="I61" s="197"/>
      <c r="J61" s="218"/>
      <c r="K61" s="197">
        <f ca="1">IF(NOT(ISERROR(MATCH(J61,_xlfn.ANCHORARRAY(E72),0))),I74&amp;"Por favor no seleccionar los criterios de impacto",J61)</f>
        <v>0</v>
      </c>
      <c r="L61" s="215"/>
      <c r="M61" s="197"/>
      <c r="N61" s="200"/>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3"/>
      <c r="B62" s="206"/>
      <c r="C62" s="206"/>
      <c r="D62" s="206"/>
      <c r="E62" s="209"/>
      <c r="F62" s="206"/>
      <c r="G62" s="212"/>
      <c r="H62" s="215"/>
      <c r="I62" s="197"/>
      <c r="J62" s="218"/>
      <c r="K62" s="197">
        <f ca="1">IF(NOT(ISERROR(MATCH(J62,_xlfn.ANCHORARRAY(E73),0))),I75&amp;"Por favor no seleccionar los criterios de impacto",J62)</f>
        <v>0</v>
      </c>
      <c r="L62" s="215"/>
      <c r="M62" s="197"/>
      <c r="N62" s="200"/>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4"/>
      <c r="B63" s="207"/>
      <c r="C63" s="207"/>
      <c r="D63" s="207"/>
      <c r="E63" s="210"/>
      <c r="F63" s="207"/>
      <c r="G63" s="213"/>
      <c r="H63" s="216"/>
      <c r="I63" s="198"/>
      <c r="J63" s="219"/>
      <c r="K63" s="198">
        <f ca="1">IF(NOT(ISERROR(MATCH(J63,_xlfn.ANCHORARRAY(E74),0))),I76&amp;"Por favor no seleccionar los criterios de impacto",J63)</f>
        <v>0</v>
      </c>
      <c r="L63" s="216"/>
      <c r="M63" s="198"/>
      <c r="N63" s="201"/>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8"/>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2">
        <v>10</v>
      </c>
      <c r="B64" s="205" t="s">
        <v>134</v>
      </c>
      <c r="C64" s="205" t="s">
        <v>273</v>
      </c>
      <c r="D64" s="205" t="s">
        <v>274</v>
      </c>
      <c r="E64" s="208" t="s">
        <v>275</v>
      </c>
      <c r="F64" s="205" t="s">
        <v>123</v>
      </c>
      <c r="G64" s="211">
        <v>60</v>
      </c>
      <c r="H64" s="214" t="str">
        <f>IF(G64&lt;=0,"",IF(G64&lt;=2,"Muy Baja",IF(G64&lt;=24,"Baja",IF(G64&lt;=500,"Media",IF(G64&lt;=5000,"Alta","Muy Alta")))))</f>
        <v>Media</v>
      </c>
      <c r="I64" s="196">
        <f>IF(H64="","",IF(H64="Muy Baja",0.2,IF(H64="Baja",0.4,IF(H64="Media",0.6,IF(H64="Alta",0.8,IF(H64="Muy Alta",1,))))))</f>
        <v>0.6</v>
      </c>
      <c r="J64" s="217" t="s">
        <v>149</v>
      </c>
      <c r="K64" s="196" t="str">
        <f ca="1">IF(NOT(ISERROR(MATCH(J64,'Tabla Impacto'!$B$221:$B$223,0))),'Tabla Impacto'!$F$223&amp;"Por favor no seleccionar los criterios de impacto(Afectación Económica o presupuestal y Pérdida Reputacional)",J64)</f>
        <v xml:space="preserve">     Entre 50 y 100 SMLMV </v>
      </c>
      <c r="L64" s="214" t="str">
        <f ca="1">IF(OR(K64='Tabla Impacto'!$C$11,K64='Tabla Impacto'!$D$11),"Leve",IF(OR(K64='Tabla Impacto'!$C$12,K64='Tabla Impacto'!$D$12),"Menor",IF(OR(K64='Tabla Impacto'!$C$13,K64='Tabla Impacto'!$D$13),"Moderado",IF(OR(K64='Tabla Impacto'!$C$14,K64='Tabla Impacto'!$D$14),"Mayor",IF(OR(K64='Tabla Impacto'!$C$15,K64='Tabla Impacto'!$D$15),"Catastrófico","")))))</f>
        <v>Moderado</v>
      </c>
      <c r="M64" s="196">
        <f ca="1">IF(L64="","",IF(L64="Leve",0.2,IF(L64="Menor",0.4,IF(L64="Moderado",0.6,IF(L64="Mayor",0.8,IF(L64="Catastrófico",1,))))))</f>
        <v>0.6</v>
      </c>
      <c r="N64" s="199"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Moderado</v>
      </c>
      <c r="O64" s="123">
        <v>1</v>
      </c>
      <c r="P64" s="139" t="s">
        <v>281</v>
      </c>
      <c r="Q64" s="125" t="str">
        <f>IF(OR(R64="Preventivo",R64="Detectivo"),"Probabilidad",IF(R64="Correctivo","Impacto",""))</f>
        <v>Probabilidad</v>
      </c>
      <c r="R64" s="126" t="s">
        <v>15</v>
      </c>
      <c r="S64" s="126" t="s">
        <v>9</v>
      </c>
      <c r="T64" s="127" t="str">
        <f>IF(AND(R64="Preventivo",S64="Automático"),"50%",IF(AND(R64="Preventivo",S64="Manual"),"40%",IF(AND(R64="Detectivo",S64="Automático"),"40%",IF(AND(R64="Detectivo",S64="Manual"),"30%",IF(AND(R64="Correctivo",S64="Automático"),"35%",IF(AND(R64="Correctivo",S64="Manual"),"25%",""))))))</f>
        <v>30%</v>
      </c>
      <c r="U64" s="126" t="s">
        <v>19</v>
      </c>
      <c r="V64" s="126" t="s">
        <v>22</v>
      </c>
      <c r="W64" s="126" t="s">
        <v>119</v>
      </c>
      <c r="X64" s="128">
        <f>IFERROR(IF(Q64="Probabilidad",(I64-(+I64*T64)),IF(Q64="Impacto",I64,"")),"")</f>
        <v>0.42</v>
      </c>
      <c r="Y64" s="129" t="str">
        <f>IFERROR(IF(X64="","",IF(X64&lt;=0.2,"Muy Baja",IF(X64&lt;=0.4,"Baja",IF(X64&lt;=0.6,"Media",IF(X64&lt;=0.8,"Alta","Muy Alta"))))),"")</f>
        <v>Media</v>
      </c>
      <c r="Z64" s="130">
        <f>+X64</f>
        <v>0.42</v>
      </c>
      <c r="AA64" s="129" t="str">
        <f ca="1">IFERROR(IF(AB64="","",IF(AB64&lt;=0.2,"Leve",IF(AB64&lt;=0.4,"Menor",IF(AB64&lt;=0.6,"Moderado",IF(AB64&lt;=0.8,"Mayor","Catastrófico"))))),"")</f>
        <v>Moderado</v>
      </c>
      <c r="AB64" s="130">
        <f ca="1">IFERROR(IF(Q64="Impacto",(M64-(+M64*T64)),IF(Q64="Probabilidad",M64,"")),"")</f>
        <v>0.6</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Moderado</v>
      </c>
      <c r="AD64" s="132" t="s">
        <v>31</v>
      </c>
      <c r="AE64" s="133" t="s">
        <v>264</v>
      </c>
      <c r="AF64" s="134" t="s">
        <v>257</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3"/>
      <c r="B65" s="206"/>
      <c r="C65" s="206"/>
      <c r="D65" s="206"/>
      <c r="E65" s="209"/>
      <c r="F65" s="206"/>
      <c r="G65" s="212"/>
      <c r="H65" s="215"/>
      <c r="I65" s="197"/>
      <c r="J65" s="218"/>
      <c r="K65" s="197">
        <f ca="1">IF(NOT(ISERROR(MATCH(J65,_xlfn.ANCHORARRAY(E76),0))),I78&amp;"Por favor no seleccionar los criterios de impacto",J65)</f>
        <v>0</v>
      </c>
      <c r="L65" s="215"/>
      <c r="M65" s="197"/>
      <c r="N65" s="200"/>
      <c r="O65" s="123">
        <v>2</v>
      </c>
      <c r="P65" s="139" t="s">
        <v>320</v>
      </c>
      <c r="Q65" s="125" t="str">
        <f>IF(OR(R65="Preventivo",R65="Detectivo"),"Probabilidad",IF(R65="Correctivo","Impacto",""))</f>
        <v>Probabilidad</v>
      </c>
      <c r="R65" s="126" t="s">
        <v>15</v>
      </c>
      <c r="S65" s="126" t="s">
        <v>9</v>
      </c>
      <c r="T65" s="127" t="str">
        <f t="shared" ref="T65:T69" si="69">IF(AND(R65="Preventivo",S65="Automático"),"50%",IF(AND(R65="Preventivo",S65="Manual"),"40%",IF(AND(R65="Detectivo",S65="Automático"),"40%",IF(AND(R65="Detectivo",S65="Manual"),"30%",IF(AND(R65="Correctivo",S65="Automático"),"35%",IF(AND(R65="Correctivo",S65="Manual"),"25%",""))))))</f>
        <v>30%</v>
      </c>
      <c r="U65" s="126" t="s">
        <v>19</v>
      </c>
      <c r="V65" s="126" t="s">
        <v>22</v>
      </c>
      <c r="W65" s="126" t="s">
        <v>119</v>
      </c>
      <c r="X65" s="128">
        <f>IFERROR(IF(AND(Q64="Probabilidad",Q65="Probabilidad"),(Z64-(+Z64*T65)),IF(Q65="Probabilidad",(I64-(+I64*T65)),IF(Q65="Impacto",Z64,""))),"")</f>
        <v>0.29399999999999998</v>
      </c>
      <c r="Y65" s="129" t="str">
        <f t="shared" si="1"/>
        <v>Baja</v>
      </c>
      <c r="Z65" s="130">
        <f t="shared" ref="Z65:Z69" si="70">+X65</f>
        <v>0.29399999999999998</v>
      </c>
      <c r="AA65" s="129" t="str">
        <f t="shared" ca="1" si="3"/>
        <v>Mayor</v>
      </c>
      <c r="AB65" s="130">
        <f ca="1">IFERROR(IF(AND(Q64="Impacto",Q65="Impacto"),(AB58-(+AB58*T65)),IF(Q65="Impacto",($M$64-(+$M$64*T65)),IF(Q65="Probabilidad",AB58,""))),"")</f>
        <v>0.8</v>
      </c>
      <c r="AC65" s="131" t="str">
        <f t="shared" ref="AC65:AC66" ca="1"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Alto</v>
      </c>
      <c r="AD65" s="132" t="s">
        <v>136</v>
      </c>
      <c r="AE65" s="133" t="s">
        <v>264</v>
      </c>
      <c r="AF65" s="134" t="s">
        <v>257</v>
      </c>
      <c r="AG65" s="135">
        <v>44927</v>
      </c>
      <c r="AH65" s="135">
        <v>45291</v>
      </c>
      <c r="AI65" s="133"/>
      <c r="AJ65" s="134" t="s">
        <v>41</v>
      </c>
    </row>
    <row r="66" spans="1:36" ht="151.5" customHeight="1" x14ac:dyDescent="0.3">
      <c r="A66" s="203"/>
      <c r="B66" s="206"/>
      <c r="C66" s="206"/>
      <c r="D66" s="206"/>
      <c r="E66" s="209"/>
      <c r="F66" s="206"/>
      <c r="G66" s="212"/>
      <c r="H66" s="215"/>
      <c r="I66" s="197"/>
      <c r="J66" s="218"/>
      <c r="K66" s="197">
        <f ca="1">IF(NOT(ISERROR(MATCH(J66,_xlfn.ANCHORARRAY(E77),0))),I79&amp;"Por favor no seleccionar los criterios de impacto",J66)</f>
        <v>0</v>
      </c>
      <c r="L66" s="215"/>
      <c r="M66" s="197"/>
      <c r="N66" s="200"/>
      <c r="O66" s="123">
        <v>3</v>
      </c>
      <c r="P66" s="140"/>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8"/>
      <c r="AF66" s="138"/>
      <c r="AG66" s="138"/>
      <c r="AH66" s="138"/>
      <c r="AI66" s="133"/>
      <c r="AJ66" s="134"/>
    </row>
    <row r="67" spans="1:36" ht="151.5" customHeight="1" x14ac:dyDescent="0.3">
      <c r="A67" s="203"/>
      <c r="B67" s="206"/>
      <c r="C67" s="206"/>
      <c r="D67" s="206"/>
      <c r="E67" s="209"/>
      <c r="F67" s="206"/>
      <c r="G67" s="212"/>
      <c r="H67" s="215"/>
      <c r="I67" s="197"/>
      <c r="J67" s="218"/>
      <c r="K67" s="197">
        <f ca="1">IF(NOT(ISERROR(MATCH(J67,_xlfn.ANCHORARRAY(E78),0))),I80&amp;"Por favor no seleccionar los criterios de impacto",J67)</f>
        <v>0</v>
      </c>
      <c r="L67" s="215"/>
      <c r="M67" s="197"/>
      <c r="N67" s="200"/>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8"/>
      <c r="AF67" s="138"/>
      <c r="AG67" s="138"/>
      <c r="AH67" s="138"/>
      <c r="AI67" s="133"/>
      <c r="AJ67" s="134"/>
    </row>
    <row r="68" spans="1:36" ht="151.5" customHeight="1" x14ac:dyDescent="0.3">
      <c r="A68" s="203"/>
      <c r="B68" s="206"/>
      <c r="C68" s="206"/>
      <c r="D68" s="206"/>
      <c r="E68" s="209"/>
      <c r="F68" s="206"/>
      <c r="G68" s="212"/>
      <c r="H68" s="215"/>
      <c r="I68" s="197"/>
      <c r="J68" s="218"/>
      <c r="K68" s="197">
        <f ca="1">IF(NOT(ISERROR(MATCH(J68,_xlfn.ANCHORARRAY(E79),0))),I81&amp;"Por favor no seleccionar los criterios de impacto",J68)</f>
        <v>0</v>
      </c>
      <c r="L68" s="215"/>
      <c r="M68" s="197"/>
      <c r="N68" s="200"/>
      <c r="O68" s="123">
        <v>5</v>
      </c>
      <c r="P68" s="138"/>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8"/>
      <c r="AF68" s="134"/>
      <c r="AG68" s="135"/>
      <c r="AH68" s="135"/>
      <c r="AI68" s="133"/>
      <c r="AJ68" s="134"/>
    </row>
    <row r="69" spans="1:36" ht="151.5" customHeight="1" x14ac:dyDescent="0.3">
      <c r="A69" s="204"/>
      <c r="B69" s="207"/>
      <c r="C69" s="207"/>
      <c r="D69" s="207"/>
      <c r="E69" s="210"/>
      <c r="F69" s="207"/>
      <c r="G69" s="213"/>
      <c r="H69" s="216"/>
      <c r="I69" s="198"/>
      <c r="J69" s="219"/>
      <c r="K69" s="198">
        <f ca="1">IF(NOT(ISERROR(MATCH(J69,_xlfn.ANCHORARRAY(E80),0))),I82&amp;"Por favor no seleccionar los criterios de impacto",J69)</f>
        <v>0</v>
      </c>
      <c r="L69" s="216"/>
      <c r="M69" s="198"/>
      <c r="N69" s="201"/>
      <c r="O69" s="123">
        <v>6</v>
      </c>
      <c r="P69" s="138"/>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3" t="s">
        <v>131</v>
      </c>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5"/>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AE10:AE45 AE69 AE60:AE62 AE50:AE57</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AF10:AF46 AF50:AF64 AF68:AF69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AG10:AG45 AG50:AG63 AG68:AG69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AH10:AH45 AH50:AH63 AH68:AH69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r:uid="{00000000-0002-0000-0100-00000F000000}">
          <x14:formula1>
            <xm:f>IF(OR(AD47='Opciones Tratamiento'!$B$2,AD47='Opciones Tratamiento'!$B$3,AD47='Opciones Tratamiento'!$B$4),ISBLANK(AD47),ISTEXT(AD47))</xm:f>
          </x14:formula1>
          <xm:sqref>AE58</xm:sqref>
        </x14:dataValidation>
        <x14:dataValidation type="custom" allowBlank="1" showInputMessage="1" showErrorMessage="1" error="Recuerde que las acciones se generan bajo la medida de mitigar el riesgo" xr:uid="{00000000-0002-0000-0100-000010000000}">
          <x14:formula1>
            <xm:f>IF(OR(AD63='Opciones Tratamiento'!$B$2,AD63='Opciones Tratamiento'!$B$3,AD63='Opciones Tratamiento'!$B$4),ISBLANK(AD63),ISTEXT(AD63))</xm:f>
          </x14:formula1>
          <xm:sqref>AE46</xm:sqref>
        </x14:dataValidation>
        <x14:dataValidation type="custom" allowBlank="1" showInputMessage="1" showErrorMessage="1" error="Recuerde que las acciones se generan bajo la medida de mitigar el riesgo" xr:uid="{00000000-0002-0000-0100-000012000000}">
          <x14:formula1>
            <xm:f>IF(OR(AD66='Opciones Tratamiento'!$B$2,AD66='Opciones Tratamiento'!$B$3,AD66='Opciones Tratamiento'!$B$4),ISBLANK(AD66),ISTEXT(AD66))</xm:f>
          </x14:formula1>
          <xm:sqref>AE48:AE49</xm:sqref>
        </x14:dataValidation>
        <x14:dataValidation type="custom" allowBlank="1" showInputMessage="1" showErrorMessage="1" error="Recuerde que las acciones se generan bajo la medida de mitigar el riesgo" xr:uid="{00000000-0002-0000-0100-000013000000}">
          <x14:formula1>
            <xm:f>IF(OR(AD64='Opciones Tratamiento'!$B$2,AD64='Opciones Tratamiento'!$B$3,AD64='Opciones Tratamiento'!$B$4),ISBLANK(AD64),ISTEXT(AD64))</xm:f>
          </x14:formula1>
          <xm:sqref>AG46:AG49</xm:sqref>
        </x14:dataValidation>
        <x14:dataValidation type="custom" allowBlank="1" showInputMessage="1" showErrorMessage="1" error="Recuerde que las acciones se generan bajo la medida de mitigar el riesgo" xr:uid="{00000000-0002-0000-0100-000014000000}">
          <x14:formula1>
            <xm:f>IF(OR(AD64='Opciones Tratamiento'!$B$2,AD64='Opciones Tratamiento'!$B$3,AD64='Opciones Tratamiento'!$B$4),ISBLANK(AD64),ISTEXT(AD64))</xm:f>
          </x14:formula1>
          <xm:sqref>AH46:AH49</xm:sqref>
        </x14:dataValidation>
        <x14:dataValidation type="custom" allowBlank="1" showInputMessage="1" showErrorMessage="1" error="Recuerde que las acciones se generan bajo la medida de mitigar el riesgo" xr:uid="{00000000-0002-0000-0100-000015000000}">
          <x14:formula1>
            <xm:f>IF(OR(AD65='Opciones Tratamiento'!$B$2,AD65='Opciones Tratamiento'!$B$3,AD65='Opciones Tratamiento'!$B$4),ISBLANK(AD65),ISTEXT(AD65))</xm:f>
          </x14:formula1>
          <xm:sqref>AF47:AF49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4" t="s">
        <v>161</v>
      </c>
      <c r="C2" s="324"/>
      <c r="D2" s="324"/>
      <c r="E2" s="324"/>
      <c r="F2" s="324"/>
      <c r="G2" s="324"/>
      <c r="H2" s="324"/>
      <c r="I2" s="324"/>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4"/>
      <c r="C3" s="324"/>
      <c r="D3" s="324"/>
      <c r="E3" s="324"/>
      <c r="F3" s="324"/>
      <c r="G3" s="324"/>
      <c r="H3" s="324"/>
      <c r="I3" s="324"/>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4"/>
      <c r="C4" s="324"/>
      <c r="D4" s="324"/>
      <c r="E4" s="324"/>
      <c r="F4" s="324"/>
      <c r="G4" s="324"/>
      <c r="H4" s="324"/>
      <c r="I4" s="324"/>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9" t="s">
        <v>4</v>
      </c>
      <c r="C6" s="239"/>
      <c r="D6" s="240"/>
      <c r="E6" s="277" t="s">
        <v>116</v>
      </c>
      <c r="F6" s="278"/>
      <c r="G6" s="278"/>
      <c r="H6" s="278"/>
      <c r="I6" s="279"/>
      <c r="J6" s="288" t="str">
        <f ca="1">IF(AND('Mapa final'!$H$10="Muy Alta",'Mapa final'!$L$10="Leve"),CONCATENATE("R",'Mapa final'!$A$10),"")</f>
        <v/>
      </c>
      <c r="K6" s="289"/>
      <c r="L6" s="289" t="str">
        <f ca="1">IF(AND('Mapa final'!$H$16="Muy Alta",'Mapa final'!$L$16="Leve"),CONCATENATE("R",'Mapa final'!$A$16),"")</f>
        <v/>
      </c>
      <c r="M6" s="289"/>
      <c r="N6" s="289" t="str">
        <f ca="1">IF(AND('Mapa final'!$H$22="Muy Alta",'Mapa final'!$L$22="Leve"),CONCATENATE("R",'Mapa final'!$A$22),"")</f>
        <v/>
      </c>
      <c r="O6" s="291"/>
      <c r="P6" s="288" t="str">
        <f ca="1">IF(AND('Mapa final'!$H$10="Muy Alta",'Mapa final'!$L$10="Menor"),CONCATENATE("R",'Mapa final'!$A$10),"")</f>
        <v/>
      </c>
      <c r="Q6" s="289"/>
      <c r="R6" s="289" t="str">
        <f ca="1">IF(AND('Mapa final'!$H$16="Muy Alta",'Mapa final'!$L$16="Menor"),CONCATENATE("R",'Mapa final'!$A$16),"")</f>
        <v/>
      </c>
      <c r="S6" s="289"/>
      <c r="T6" s="289" t="str">
        <f ca="1">IF(AND('Mapa final'!$H$22="Muy Alta",'Mapa final'!$L$22="Menor"),CONCATENATE("R",'Mapa final'!$A$22),"")</f>
        <v/>
      </c>
      <c r="U6" s="291"/>
      <c r="V6" s="288" t="str">
        <f ca="1">IF(AND('Mapa final'!$H$10="Muy Alta",'Mapa final'!$L$10="Moderado"),CONCATENATE("R",'Mapa final'!$A$10),"")</f>
        <v/>
      </c>
      <c r="W6" s="289"/>
      <c r="X6" s="289" t="str">
        <f ca="1">IF(AND('Mapa final'!$H$16="Muy Alta",'Mapa final'!$L$16="Moderado"),CONCATENATE("R",'Mapa final'!$A$16),"")</f>
        <v/>
      </c>
      <c r="Y6" s="289"/>
      <c r="Z6" s="289" t="str">
        <f ca="1">IF(AND('Mapa final'!$H$22="Muy Alta",'Mapa final'!$L$22="Moderado"),CONCATENATE("R",'Mapa final'!$A$22),"")</f>
        <v/>
      </c>
      <c r="AA6" s="291"/>
      <c r="AB6" s="288" t="str">
        <f ca="1">IF(AND('Mapa final'!$H$10="Muy Alta",'Mapa final'!$L$10="Mayor"),CONCATENATE("R",'Mapa final'!$A$10),"")</f>
        <v/>
      </c>
      <c r="AC6" s="289"/>
      <c r="AD6" s="289" t="str">
        <f ca="1">IF(AND('Mapa final'!$H$16="Muy Alta",'Mapa final'!$L$16="Mayor"),CONCATENATE("R",'Mapa final'!$A$16),"")</f>
        <v/>
      </c>
      <c r="AE6" s="289"/>
      <c r="AF6" s="289" t="str">
        <f ca="1">IF(AND('Mapa final'!$H$22="Muy Alta",'Mapa final'!$L$22="Mayor"),CONCATENATE("R",'Mapa final'!$A$22),"")</f>
        <v/>
      </c>
      <c r="AG6" s="291"/>
      <c r="AH6" s="303" t="str">
        <f ca="1">IF(AND('Mapa final'!$H$10="Muy Alta",'Mapa final'!$L$10="Catastrófico"),CONCATENATE("R",'Mapa final'!$A$10),"")</f>
        <v/>
      </c>
      <c r="AI6" s="304"/>
      <c r="AJ6" s="304" t="str">
        <f ca="1">IF(AND('Mapa final'!$H$16="Muy Alta",'Mapa final'!$L$16="Catastrófico"),CONCATENATE("R",'Mapa final'!$A$16),"")</f>
        <v/>
      </c>
      <c r="AK6" s="304"/>
      <c r="AL6" s="304" t="str">
        <f ca="1">IF(AND('Mapa final'!$H$22="Muy Alta",'Mapa final'!$L$22="Catastrófico"),CONCATENATE("R",'Mapa final'!$A$22),"")</f>
        <v/>
      </c>
      <c r="AM6" s="305"/>
      <c r="AO6" s="241" t="s">
        <v>79</v>
      </c>
      <c r="AP6" s="242"/>
      <c r="AQ6" s="242"/>
      <c r="AR6" s="242"/>
      <c r="AS6" s="242"/>
      <c r="AT6" s="24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9"/>
      <c r="C7" s="239"/>
      <c r="D7" s="240"/>
      <c r="E7" s="280"/>
      <c r="F7" s="281"/>
      <c r="G7" s="281"/>
      <c r="H7" s="281"/>
      <c r="I7" s="282"/>
      <c r="J7" s="290"/>
      <c r="K7" s="286"/>
      <c r="L7" s="286"/>
      <c r="M7" s="286"/>
      <c r="N7" s="286"/>
      <c r="O7" s="287"/>
      <c r="P7" s="290"/>
      <c r="Q7" s="286"/>
      <c r="R7" s="286"/>
      <c r="S7" s="286"/>
      <c r="T7" s="286"/>
      <c r="U7" s="287"/>
      <c r="V7" s="290"/>
      <c r="W7" s="286"/>
      <c r="X7" s="286"/>
      <c r="Y7" s="286"/>
      <c r="Z7" s="286"/>
      <c r="AA7" s="287"/>
      <c r="AB7" s="290"/>
      <c r="AC7" s="286"/>
      <c r="AD7" s="286"/>
      <c r="AE7" s="286"/>
      <c r="AF7" s="286"/>
      <c r="AG7" s="287"/>
      <c r="AH7" s="297"/>
      <c r="AI7" s="298"/>
      <c r="AJ7" s="298"/>
      <c r="AK7" s="298"/>
      <c r="AL7" s="298"/>
      <c r="AM7" s="299"/>
      <c r="AN7" s="83"/>
      <c r="AO7" s="244"/>
      <c r="AP7" s="245"/>
      <c r="AQ7" s="245"/>
      <c r="AR7" s="245"/>
      <c r="AS7" s="245"/>
      <c r="AT7" s="24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9"/>
      <c r="C8" s="239"/>
      <c r="D8" s="240"/>
      <c r="E8" s="280"/>
      <c r="F8" s="281"/>
      <c r="G8" s="281"/>
      <c r="H8" s="281"/>
      <c r="I8" s="282"/>
      <c r="J8" s="290" t="str">
        <f ca="1">IF(AND('Mapa final'!$H$28="Muy Alta",'Mapa final'!$L$28="Leve"),CONCATENATE("R",'Mapa final'!$A$28),"")</f>
        <v/>
      </c>
      <c r="K8" s="286"/>
      <c r="L8" s="286" t="str">
        <f ca="1">IF(AND('Mapa final'!$H$34="Muy Alta",'Mapa final'!$L$34="Leve"),CONCATENATE("R",'Mapa final'!$A$34),"")</f>
        <v/>
      </c>
      <c r="M8" s="286"/>
      <c r="N8" s="286" t="str">
        <f ca="1">IF(AND('Mapa final'!$H$40="Muy Alta",'Mapa final'!$L$40="Leve"),CONCATENATE("R",'Mapa final'!$A$40),"")</f>
        <v/>
      </c>
      <c r="O8" s="287"/>
      <c r="P8" s="290" t="str">
        <f ca="1">IF(AND('Mapa final'!$H$28="Muy Alta",'Mapa final'!$L$28="Menor"),CONCATENATE("R",'Mapa final'!$A$28),"")</f>
        <v/>
      </c>
      <c r="Q8" s="286"/>
      <c r="R8" s="286" t="str">
        <f ca="1">IF(AND('Mapa final'!$H$34="Muy Alta",'Mapa final'!$L$34="Menor"),CONCATENATE("R",'Mapa final'!$A$34),"")</f>
        <v/>
      </c>
      <c r="S8" s="286"/>
      <c r="T8" s="286" t="str">
        <f ca="1">IF(AND('Mapa final'!$H$40="Muy Alta",'Mapa final'!$L$40="Menor"),CONCATENATE("R",'Mapa final'!$A$40),"")</f>
        <v/>
      </c>
      <c r="U8" s="287"/>
      <c r="V8" s="290" t="str">
        <f ca="1">IF(AND('Mapa final'!$H$28="Muy Alta",'Mapa final'!$L$28="Moderado"),CONCATENATE("R",'Mapa final'!$A$28),"")</f>
        <v/>
      </c>
      <c r="W8" s="286"/>
      <c r="X8" s="286" t="str">
        <f ca="1">IF(AND('Mapa final'!$H$34="Muy Alta",'Mapa final'!$L$34="Moderado"),CONCATENATE("R",'Mapa final'!$A$34),"")</f>
        <v/>
      </c>
      <c r="Y8" s="286"/>
      <c r="Z8" s="286" t="str">
        <f ca="1">IF(AND('Mapa final'!$H$40="Muy Alta",'Mapa final'!$L$40="Moderado"),CONCATENATE("R",'Mapa final'!$A$40),"")</f>
        <v/>
      </c>
      <c r="AA8" s="287"/>
      <c r="AB8" s="290" t="str">
        <f ca="1">IF(AND('Mapa final'!$H$28="Muy Alta",'Mapa final'!$L$28="Mayor"),CONCATENATE("R",'Mapa final'!$A$28),"")</f>
        <v/>
      </c>
      <c r="AC8" s="286"/>
      <c r="AD8" s="286" t="str">
        <f ca="1">IF(AND('Mapa final'!$H$34="Muy Alta",'Mapa final'!$L$34="Mayor"),CONCATENATE("R",'Mapa final'!$A$34),"")</f>
        <v/>
      </c>
      <c r="AE8" s="286"/>
      <c r="AF8" s="286" t="str">
        <f ca="1">IF(AND('Mapa final'!$H$40="Muy Alta",'Mapa final'!$L$40="Mayor"),CONCATENATE("R",'Mapa final'!$A$40),"")</f>
        <v/>
      </c>
      <c r="AG8" s="287"/>
      <c r="AH8" s="297" t="str">
        <f ca="1">IF(AND('Mapa final'!$H$28="Muy Alta",'Mapa final'!$L$28="Catastrófico"),CONCATENATE("R",'Mapa final'!$A$28),"")</f>
        <v/>
      </c>
      <c r="AI8" s="298"/>
      <c r="AJ8" s="298" t="str">
        <f ca="1">IF(AND('Mapa final'!$H$34="Muy Alta",'Mapa final'!$L$34="Catastrófico"),CONCATENATE("R",'Mapa final'!$A$34),"")</f>
        <v/>
      </c>
      <c r="AK8" s="298"/>
      <c r="AL8" s="298" t="str">
        <f ca="1">IF(AND('Mapa final'!$H$40="Muy Alta",'Mapa final'!$L$40="Catastrófico"),CONCATENATE("R",'Mapa final'!$A$40),"")</f>
        <v/>
      </c>
      <c r="AM8" s="299"/>
      <c r="AN8" s="83"/>
      <c r="AO8" s="244"/>
      <c r="AP8" s="245"/>
      <c r="AQ8" s="245"/>
      <c r="AR8" s="245"/>
      <c r="AS8" s="245"/>
      <c r="AT8" s="24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9"/>
      <c r="C9" s="239"/>
      <c r="D9" s="240"/>
      <c r="E9" s="280"/>
      <c r="F9" s="281"/>
      <c r="G9" s="281"/>
      <c r="H9" s="281"/>
      <c r="I9" s="282"/>
      <c r="J9" s="290"/>
      <c r="K9" s="286"/>
      <c r="L9" s="286"/>
      <c r="M9" s="286"/>
      <c r="N9" s="286"/>
      <c r="O9" s="287"/>
      <c r="P9" s="290"/>
      <c r="Q9" s="286"/>
      <c r="R9" s="286"/>
      <c r="S9" s="286"/>
      <c r="T9" s="286"/>
      <c r="U9" s="287"/>
      <c r="V9" s="290"/>
      <c r="W9" s="286"/>
      <c r="X9" s="286"/>
      <c r="Y9" s="286"/>
      <c r="Z9" s="286"/>
      <c r="AA9" s="287"/>
      <c r="AB9" s="290"/>
      <c r="AC9" s="286"/>
      <c r="AD9" s="286"/>
      <c r="AE9" s="286"/>
      <c r="AF9" s="286"/>
      <c r="AG9" s="287"/>
      <c r="AH9" s="297"/>
      <c r="AI9" s="298"/>
      <c r="AJ9" s="298"/>
      <c r="AK9" s="298"/>
      <c r="AL9" s="298"/>
      <c r="AM9" s="299"/>
      <c r="AN9" s="83"/>
      <c r="AO9" s="244"/>
      <c r="AP9" s="245"/>
      <c r="AQ9" s="245"/>
      <c r="AR9" s="245"/>
      <c r="AS9" s="245"/>
      <c r="AT9" s="24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9"/>
      <c r="C10" s="239"/>
      <c r="D10" s="240"/>
      <c r="E10" s="280"/>
      <c r="F10" s="281"/>
      <c r="G10" s="281"/>
      <c r="H10" s="281"/>
      <c r="I10" s="282"/>
      <c r="J10" s="290" t="str">
        <f ca="1">IF(AND('Mapa final'!$H$46="Muy Alta",'Mapa final'!$L$46="Leve"),CONCATENATE("R",'Mapa final'!$A$46),"")</f>
        <v/>
      </c>
      <c r="K10" s="286"/>
      <c r="L10" s="286" t="str">
        <f ca="1">IF(AND('Mapa final'!$H$52="Muy Alta",'Mapa final'!$L$52="Leve"),CONCATENATE("R",'Mapa final'!$A$52),"")</f>
        <v/>
      </c>
      <c r="M10" s="286"/>
      <c r="N10" s="286" t="str">
        <f ca="1">IF(AND('Mapa final'!$H$58="Muy Alta",'Mapa final'!$L$58="Leve"),CONCATENATE("R",'Mapa final'!$A$58),"")</f>
        <v/>
      </c>
      <c r="O10" s="287"/>
      <c r="P10" s="290" t="str">
        <f ca="1">IF(AND('Mapa final'!$H$46="Muy Alta",'Mapa final'!$L$46="Menor"),CONCATENATE("R",'Mapa final'!$A$46),"")</f>
        <v/>
      </c>
      <c r="Q10" s="286"/>
      <c r="R10" s="286" t="str">
        <f ca="1">IF(AND('Mapa final'!$H$52="Muy Alta",'Mapa final'!$L$52="Menor"),CONCATENATE("R",'Mapa final'!$A$52),"")</f>
        <v/>
      </c>
      <c r="S10" s="286"/>
      <c r="T10" s="286" t="str">
        <f ca="1">IF(AND('Mapa final'!$H$58="Muy Alta",'Mapa final'!$L$58="Menor"),CONCATENATE("R",'Mapa final'!$A$58),"")</f>
        <v/>
      </c>
      <c r="U10" s="287"/>
      <c r="V10" s="290" t="str">
        <f ca="1">IF(AND('Mapa final'!$H$46="Muy Alta",'Mapa final'!$L$46="Moderado"),CONCATENATE("R",'Mapa final'!$A$46),"")</f>
        <v/>
      </c>
      <c r="W10" s="286"/>
      <c r="X10" s="286" t="str">
        <f ca="1">IF(AND('Mapa final'!$H$52="Muy Alta",'Mapa final'!$L$52="Moderado"),CONCATENATE("R",'Mapa final'!$A$52),"")</f>
        <v/>
      </c>
      <c r="Y10" s="286"/>
      <c r="Z10" s="286" t="str">
        <f ca="1">IF(AND('Mapa final'!$H$58="Muy Alta",'Mapa final'!$L$58="Moderado"),CONCATENATE("R",'Mapa final'!$A$58),"")</f>
        <v/>
      </c>
      <c r="AA10" s="287"/>
      <c r="AB10" s="290" t="str">
        <f ca="1">IF(AND('Mapa final'!$H$46="Muy Alta",'Mapa final'!$L$46="Mayor"),CONCATENATE("R",'Mapa final'!$A$46),"")</f>
        <v/>
      </c>
      <c r="AC10" s="286"/>
      <c r="AD10" s="286" t="str">
        <f ca="1">IF(AND('Mapa final'!$H$52="Muy Alta",'Mapa final'!$L$52="Mayor"),CONCATENATE("R",'Mapa final'!$A$52),"")</f>
        <v/>
      </c>
      <c r="AE10" s="286"/>
      <c r="AF10" s="286" t="str">
        <f ca="1">IF(AND('Mapa final'!$H$58="Muy Alta",'Mapa final'!$L$58="Mayor"),CONCATENATE("R",'Mapa final'!$A$58),"")</f>
        <v/>
      </c>
      <c r="AG10" s="287"/>
      <c r="AH10" s="297" t="str">
        <f ca="1">IF(AND('Mapa final'!$H$46="Muy Alta",'Mapa final'!$L$46="Catastrófico"),CONCATENATE("R",'Mapa final'!$A$46),"")</f>
        <v/>
      </c>
      <c r="AI10" s="298"/>
      <c r="AJ10" s="298" t="str">
        <f ca="1">IF(AND('Mapa final'!$H$52="Muy Alta",'Mapa final'!$L$52="Catastrófico"),CONCATENATE("R",'Mapa final'!$A$52),"")</f>
        <v/>
      </c>
      <c r="AK10" s="298"/>
      <c r="AL10" s="298" t="str">
        <f ca="1">IF(AND('Mapa final'!$H$58="Muy Alta",'Mapa final'!$L$58="Catastrófico"),CONCATENATE("R",'Mapa final'!$A$58),"")</f>
        <v/>
      </c>
      <c r="AM10" s="299"/>
      <c r="AN10" s="83"/>
      <c r="AO10" s="244"/>
      <c r="AP10" s="245"/>
      <c r="AQ10" s="245"/>
      <c r="AR10" s="245"/>
      <c r="AS10" s="245"/>
      <c r="AT10" s="24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9"/>
      <c r="C11" s="239"/>
      <c r="D11" s="240"/>
      <c r="E11" s="280"/>
      <c r="F11" s="281"/>
      <c r="G11" s="281"/>
      <c r="H11" s="281"/>
      <c r="I11" s="282"/>
      <c r="J11" s="290"/>
      <c r="K11" s="286"/>
      <c r="L11" s="286"/>
      <c r="M11" s="286"/>
      <c r="N11" s="286"/>
      <c r="O11" s="287"/>
      <c r="P11" s="290"/>
      <c r="Q11" s="286"/>
      <c r="R11" s="286"/>
      <c r="S11" s="286"/>
      <c r="T11" s="286"/>
      <c r="U11" s="287"/>
      <c r="V11" s="290"/>
      <c r="W11" s="286"/>
      <c r="X11" s="286"/>
      <c r="Y11" s="286"/>
      <c r="Z11" s="286"/>
      <c r="AA11" s="287"/>
      <c r="AB11" s="290"/>
      <c r="AC11" s="286"/>
      <c r="AD11" s="286"/>
      <c r="AE11" s="286"/>
      <c r="AF11" s="286"/>
      <c r="AG11" s="287"/>
      <c r="AH11" s="297"/>
      <c r="AI11" s="298"/>
      <c r="AJ11" s="298"/>
      <c r="AK11" s="298"/>
      <c r="AL11" s="298"/>
      <c r="AM11" s="299"/>
      <c r="AN11" s="83"/>
      <c r="AO11" s="244"/>
      <c r="AP11" s="245"/>
      <c r="AQ11" s="245"/>
      <c r="AR11" s="245"/>
      <c r="AS11" s="245"/>
      <c r="AT11" s="24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9"/>
      <c r="C12" s="239"/>
      <c r="D12" s="240"/>
      <c r="E12" s="280"/>
      <c r="F12" s="281"/>
      <c r="G12" s="281"/>
      <c r="H12" s="281"/>
      <c r="I12" s="282"/>
      <c r="J12" s="290" t="str">
        <f ca="1">IF(AND('Mapa final'!$H$64="Muy Alta",'Mapa final'!$L$64="Leve"),CONCATENATE("R",'Mapa final'!$A$64),"")</f>
        <v/>
      </c>
      <c r="K12" s="286"/>
      <c r="L12" s="286" t="str">
        <f>IF(AND('Mapa final'!$H$70="Muy Alta",'Mapa final'!$L$70="Leve"),CONCATENATE("R",'Mapa final'!$A$70),"")</f>
        <v/>
      </c>
      <c r="M12" s="286"/>
      <c r="N12" s="286" t="str">
        <f>IF(AND('Mapa final'!$H$76="Muy Alta",'Mapa final'!$L$76="Leve"),CONCATENATE("R",'Mapa final'!$A$76),"")</f>
        <v/>
      </c>
      <c r="O12" s="287"/>
      <c r="P12" s="290" t="str">
        <f ca="1">IF(AND('Mapa final'!$H$64="Muy Alta",'Mapa final'!$L$64="Menor"),CONCATENATE("R",'Mapa final'!$A$64),"")</f>
        <v/>
      </c>
      <c r="Q12" s="286"/>
      <c r="R12" s="286" t="str">
        <f>IF(AND('Mapa final'!$H$70="Muy Alta",'Mapa final'!$L$70="Menor"),CONCATENATE("R",'Mapa final'!$A$70),"")</f>
        <v/>
      </c>
      <c r="S12" s="286"/>
      <c r="T12" s="286" t="str">
        <f>IF(AND('Mapa final'!$H$76="Muy Alta",'Mapa final'!$L$76="Menor"),CONCATENATE("R",'Mapa final'!$A$76),"")</f>
        <v/>
      </c>
      <c r="U12" s="287"/>
      <c r="V12" s="290" t="str">
        <f ca="1">IF(AND('Mapa final'!$H$64="Muy Alta",'Mapa final'!$L$64="Moderado"),CONCATENATE("R",'Mapa final'!$A$64),"")</f>
        <v/>
      </c>
      <c r="W12" s="286"/>
      <c r="X12" s="286" t="str">
        <f>IF(AND('Mapa final'!$H$70="Muy Alta",'Mapa final'!$L$70="Moderado"),CONCATENATE("R",'Mapa final'!$A$70),"")</f>
        <v/>
      </c>
      <c r="Y12" s="286"/>
      <c r="Z12" s="286" t="str">
        <f>IF(AND('Mapa final'!$H$76="Muy Alta",'Mapa final'!$L$76="Moderado"),CONCATENATE("R",'Mapa final'!$A$76),"")</f>
        <v/>
      </c>
      <c r="AA12" s="287"/>
      <c r="AB12" s="290" t="str">
        <f ca="1">IF(AND('Mapa final'!$H$64="Muy Alta",'Mapa final'!$L$64="Mayor"),CONCATENATE("R",'Mapa final'!$A$64),"")</f>
        <v/>
      </c>
      <c r="AC12" s="286"/>
      <c r="AD12" s="286" t="str">
        <f>IF(AND('Mapa final'!$H$70="Muy Alta",'Mapa final'!$L$70="Mayor"),CONCATENATE("R",'Mapa final'!$A$70),"")</f>
        <v/>
      </c>
      <c r="AE12" s="286"/>
      <c r="AF12" s="286" t="str">
        <f>IF(AND('Mapa final'!$H$76="Muy Alta",'Mapa final'!$L$76="Mayor"),CONCATENATE("R",'Mapa final'!$A$76),"")</f>
        <v/>
      </c>
      <c r="AG12" s="287"/>
      <c r="AH12" s="297" t="str">
        <f ca="1">IF(AND('Mapa final'!$H$64="Muy Alta",'Mapa final'!$L$64="Catastrófico"),CONCATENATE("R",'Mapa final'!$A$64),"")</f>
        <v/>
      </c>
      <c r="AI12" s="298"/>
      <c r="AJ12" s="298" t="str">
        <f>IF(AND('Mapa final'!$H$70="Muy Alta",'Mapa final'!$L$70="Catastrófico"),CONCATENATE("R",'Mapa final'!$A$70),"")</f>
        <v/>
      </c>
      <c r="AK12" s="298"/>
      <c r="AL12" s="298" t="str">
        <f>IF(AND('Mapa final'!$H$76="Muy Alta",'Mapa final'!$L$76="Catastrófico"),CONCATENATE("R",'Mapa final'!$A$76),"")</f>
        <v/>
      </c>
      <c r="AM12" s="299"/>
      <c r="AN12" s="83"/>
      <c r="AO12" s="244"/>
      <c r="AP12" s="245"/>
      <c r="AQ12" s="245"/>
      <c r="AR12" s="245"/>
      <c r="AS12" s="245"/>
      <c r="AT12" s="24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9"/>
      <c r="C13" s="239"/>
      <c r="D13" s="240"/>
      <c r="E13" s="283"/>
      <c r="F13" s="284"/>
      <c r="G13" s="284"/>
      <c r="H13" s="284"/>
      <c r="I13" s="285"/>
      <c r="J13" s="290"/>
      <c r="K13" s="286"/>
      <c r="L13" s="286"/>
      <c r="M13" s="286"/>
      <c r="N13" s="286"/>
      <c r="O13" s="287"/>
      <c r="P13" s="290"/>
      <c r="Q13" s="286"/>
      <c r="R13" s="286"/>
      <c r="S13" s="286"/>
      <c r="T13" s="286"/>
      <c r="U13" s="287"/>
      <c r="V13" s="290"/>
      <c r="W13" s="286"/>
      <c r="X13" s="286"/>
      <c r="Y13" s="286"/>
      <c r="Z13" s="286"/>
      <c r="AA13" s="287"/>
      <c r="AB13" s="290"/>
      <c r="AC13" s="286"/>
      <c r="AD13" s="286"/>
      <c r="AE13" s="286"/>
      <c r="AF13" s="286"/>
      <c r="AG13" s="287"/>
      <c r="AH13" s="300"/>
      <c r="AI13" s="301"/>
      <c r="AJ13" s="301"/>
      <c r="AK13" s="301"/>
      <c r="AL13" s="301"/>
      <c r="AM13" s="302"/>
      <c r="AN13" s="83"/>
      <c r="AO13" s="247"/>
      <c r="AP13" s="248"/>
      <c r="AQ13" s="248"/>
      <c r="AR13" s="248"/>
      <c r="AS13" s="248"/>
      <c r="AT13" s="24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9"/>
      <c r="C14" s="239"/>
      <c r="D14" s="240"/>
      <c r="E14" s="277" t="s">
        <v>115</v>
      </c>
      <c r="F14" s="278"/>
      <c r="G14" s="278"/>
      <c r="H14" s="278"/>
      <c r="I14" s="278"/>
      <c r="J14" s="312" t="str">
        <f ca="1">IF(AND('Mapa final'!$H$10="Alta",'Mapa final'!$L$10="Leve"),CONCATENATE("R",'Mapa final'!$A$10),"")</f>
        <v/>
      </c>
      <c r="K14" s="313"/>
      <c r="L14" s="313" t="str">
        <f ca="1">IF(AND('Mapa final'!$H$16="Alta",'Mapa final'!$L$16="Leve"),CONCATENATE("R",'Mapa final'!$A$16),"")</f>
        <v/>
      </c>
      <c r="M14" s="313"/>
      <c r="N14" s="313" t="str">
        <f ca="1">IF(AND('Mapa final'!$H$22="Alta",'Mapa final'!$L$22="Leve"),CONCATENATE("R",'Mapa final'!$A$22),"")</f>
        <v/>
      </c>
      <c r="O14" s="314"/>
      <c r="P14" s="312" t="str">
        <f ca="1">IF(AND('Mapa final'!$H$10="Alta",'Mapa final'!$L$10="Menor"),CONCATENATE("R",'Mapa final'!$A$10),"")</f>
        <v/>
      </c>
      <c r="Q14" s="313"/>
      <c r="R14" s="313" t="str">
        <f ca="1">IF(AND('Mapa final'!$H$16="Alta",'Mapa final'!$L$16="Menor"),CONCATENATE("R",'Mapa final'!$A$16),"")</f>
        <v/>
      </c>
      <c r="S14" s="313"/>
      <c r="T14" s="313" t="str">
        <f ca="1">IF(AND('Mapa final'!$H$22="Alta",'Mapa final'!$L$22="Menor"),CONCATENATE("R",'Mapa final'!$A$22),"")</f>
        <v/>
      </c>
      <c r="U14" s="314"/>
      <c r="V14" s="288" t="str">
        <f ca="1">IF(AND('Mapa final'!$H$10="Alta",'Mapa final'!$L$10="Moderado"),CONCATENATE("R",'Mapa final'!$A$10),"")</f>
        <v/>
      </c>
      <c r="W14" s="289"/>
      <c r="X14" s="289" t="str">
        <f ca="1">IF(AND('Mapa final'!$H$16="Alta",'Mapa final'!$L$16="Moderado"),CONCATENATE("R",'Mapa final'!$A$16),"")</f>
        <v/>
      </c>
      <c r="Y14" s="289"/>
      <c r="Z14" s="289" t="str">
        <f ca="1">IF(AND('Mapa final'!$H$22="Alta",'Mapa final'!$L$22="Moderado"),CONCATENATE("R",'Mapa final'!$A$22),"")</f>
        <v/>
      </c>
      <c r="AA14" s="291"/>
      <c r="AB14" s="288" t="str">
        <f ca="1">IF(AND('Mapa final'!$H$10="Alta",'Mapa final'!$L$10="Mayor"),CONCATENATE("R",'Mapa final'!$A$10),"")</f>
        <v/>
      </c>
      <c r="AC14" s="289"/>
      <c r="AD14" s="289" t="str">
        <f ca="1">IF(AND('Mapa final'!$H$16="Alta",'Mapa final'!$L$16="Mayor"),CONCATENATE("R",'Mapa final'!$A$16),"")</f>
        <v/>
      </c>
      <c r="AE14" s="289"/>
      <c r="AF14" s="289" t="str">
        <f ca="1">IF(AND('Mapa final'!$H$22="Alta",'Mapa final'!$L$22="Mayor"),CONCATENATE("R",'Mapa final'!$A$22),"")</f>
        <v/>
      </c>
      <c r="AG14" s="291"/>
      <c r="AH14" s="303" t="str">
        <f ca="1">IF(AND('Mapa final'!$H$10="Alta",'Mapa final'!$L$10="Catastrófico"),CONCATENATE("R",'Mapa final'!$A$10),"")</f>
        <v/>
      </c>
      <c r="AI14" s="304"/>
      <c r="AJ14" s="304" t="str">
        <f ca="1">IF(AND('Mapa final'!$H$16="Alta",'Mapa final'!$L$16="Catastrófico"),CONCATENATE("R",'Mapa final'!$A$16),"")</f>
        <v/>
      </c>
      <c r="AK14" s="304"/>
      <c r="AL14" s="304" t="str">
        <f ca="1">IF(AND('Mapa final'!$H$22="Alta",'Mapa final'!$L$22="Catastrófico"),CONCATENATE("R",'Mapa final'!$A$22),"")</f>
        <v/>
      </c>
      <c r="AM14" s="305"/>
      <c r="AN14" s="83"/>
      <c r="AO14" s="250" t="s">
        <v>80</v>
      </c>
      <c r="AP14" s="251"/>
      <c r="AQ14" s="251"/>
      <c r="AR14" s="251"/>
      <c r="AS14" s="251"/>
      <c r="AT14" s="25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9"/>
      <c r="C15" s="239"/>
      <c r="D15" s="240"/>
      <c r="E15" s="280"/>
      <c r="F15" s="281"/>
      <c r="G15" s="281"/>
      <c r="H15" s="281"/>
      <c r="I15" s="281"/>
      <c r="J15" s="306"/>
      <c r="K15" s="307"/>
      <c r="L15" s="307"/>
      <c r="M15" s="307"/>
      <c r="N15" s="307"/>
      <c r="O15" s="308"/>
      <c r="P15" s="306"/>
      <c r="Q15" s="307"/>
      <c r="R15" s="307"/>
      <c r="S15" s="307"/>
      <c r="T15" s="307"/>
      <c r="U15" s="308"/>
      <c r="V15" s="290"/>
      <c r="W15" s="286"/>
      <c r="X15" s="286"/>
      <c r="Y15" s="286"/>
      <c r="Z15" s="286"/>
      <c r="AA15" s="287"/>
      <c r="AB15" s="290"/>
      <c r="AC15" s="286"/>
      <c r="AD15" s="286"/>
      <c r="AE15" s="286"/>
      <c r="AF15" s="286"/>
      <c r="AG15" s="287"/>
      <c r="AH15" s="297"/>
      <c r="AI15" s="298"/>
      <c r="AJ15" s="298"/>
      <c r="AK15" s="298"/>
      <c r="AL15" s="298"/>
      <c r="AM15" s="299"/>
      <c r="AN15" s="83"/>
      <c r="AO15" s="253"/>
      <c r="AP15" s="254"/>
      <c r="AQ15" s="254"/>
      <c r="AR15" s="254"/>
      <c r="AS15" s="254"/>
      <c r="AT15" s="25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9"/>
      <c r="C16" s="239"/>
      <c r="D16" s="240"/>
      <c r="E16" s="280"/>
      <c r="F16" s="281"/>
      <c r="G16" s="281"/>
      <c r="H16" s="281"/>
      <c r="I16" s="281"/>
      <c r="J16" s="306" t="str">
        <f ca="1">IF(AND('Mapa final'!$H$28="Alta",'Mapa final'!$L$28="Leve"),CONCATENATE("R",'Mapa final'!$A$28),"")</f>
        <v/>
      </c>
      <c r="K16" s="307"/>
      <c r="L16" s="307" t="str">
        <f ca="1">IF(AND('Mapa final'!$H$34="Alta",'Mapa final'!$L$34="Leve"),CONCATENATE("R",'Mapa final'!$A$34),"")</f>
        <v/>
      </c>
      <c r="M16" s="307"/>
      <c r="N16" s="307" t="str">
        <f ca="1">IF(AND('Mapa final'!$H$40="Alta",'Mapa final'!$L$40="Leve"),CONCATENATE("R",'Mapa final'!$A$40),"")</f>
        <v/>
      </c>
      <c r="O16" s="308"/>
      <c r="P16" s="306" t="str">
        <f ca="1">IF(AND('Mapa final'!$H$28="Alta",'Mapa final'!$L$28="Menor"),CONCATENATE("R",'Mapa final'!$A$28),"")</f>
        <v/>
      </c>
      <c r="Q16" s="307"/>
      <c r="R16" s="307" t="str">
        <f ca="1">IF(AND('Mapa final'!$H$34="Alta",'Mapa final'!$L$34="Menor"),CONCATENATE("R",'Mapa final'!$A$34),"")</f>
        <v/>
      </c>
      <c r="S16" s="307"/>
      <c r="T16" s="307" t="str">
        <f ca="1">IF(AND('Mapa final'!$H$40="Alta",'Mapa final'!$L$40="Menor"),CONCATENATE("R",'Mapa final'!$A$40),"")</f>
        <v/>
      </c>
      <c r="U16" s="308"/>
      <c r="V16" s="290" t="str">
        <f ca="1">IF(AND('Mapa final'!$H$28="Alta",'Mapa final'!$L$28="Moderado"),CONCATENATE("R",'Mapa final'!$A$28),"")</f>
        <v/>
      </c>
      <c r="W16" s="286"/>
      <c r="X16" s="286" t="str">
        <f ca="1">IF(AND('Mapa final'!$H$34="Alta",'Mapa final'!$L$34="Moderado"),CONCATENATE("R",'Mapa final'!$A$34),"")</f>
        <v/>
      </c>
      <c r="Y16" s="286"/>
      <c r="Z16" s="286" t="str">
        <f ca="1">IF(AND('Mapa final'!$H$40="Alta",'Mapa final'!$L$40="Moderado"),CONCATENATE("R",'Mapa final'!$A$40),"")</f>
        <v/>
      </c>
      <c r="AA16" s="287"/>
      <c r="AB16" s="290" t="str">
        <f ca="1">IF(AND('Mapa final'!$H$28="Alta",'Mapa final'!$L$28="Mayor"),CONCATENATE("R",'Mapa final'!$A$28),"")</f>
        <v/>
      </c>
      <c r="AC16" s="286"/>
      <c r="AD16" s="286" t="str">
        <f ca="1">IF(AND('Mapa final'!$H$34="Alta",'Mapa final'!$L$34="Mayor"),CONCATENATE("R",'Mapa final'!$A$34),"")</f>
        <v/>
      </c>
      <c r="AE16" s="286"/>
      <c r="AF16" s="286" t="str">
        <f ca="1">IF(AND('Mapa final'!$H$40="Alta",'Mapa final'!$L$40="Mayor"),CONCATENATE("R",'Mapa final'!$A$40),"")</f>
        <v/>
      </c>
      <c r="AG16" s="287"/>
      <c r="AH16" s="297" t="str">
        <f ca="1">IF(AND('Mapa final'!$H$28="Alta",'Mapa final'!$L$28="Catastrófico"),CONCATENATE("R",'Mapa final'!$A$28),"")</f>
        <v/>
      </c>
      <c r="AI16" s="298"/>
      <c r="AJ16" s="298" t="str">
        <f ca="1">IF(AND('Mapa final'!$H$34="Alta",'Mapa final'!$L$34="Catastrófico"),CONCATENATE("R",'Mapa final'!$A$34),"")</f>
        <v/>
      </c>
      <c r="AK16" s="298"/>
      <c r="AL16" s="298" t="str">
        <f ca="1">IF(AND('Mapa final'!$H$40="Alta",'Mapa final'!$L$40="Catastrófico"),CONCATENATE("R",'Mapa final'!$A$40),"")</f>
        <v/>
      </c>
      <c r="AM16" s="299"/>
      <c r="AN16" s="83"/>
      <c r="AO16" s="253"/>
      <c r="AP16" s="254"/>
      <c r="AQ16" s="254"/>
      <c r="AR16" s="254"/>
      <c r="AS16" s="254"/>
      <c r="AT16" s="25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9"/>
      <c r="C17" s="239"/>
      <c r="D17" s="240"/>
      <c r="E17" s="280"/>
      <c r="F17" s="281"/>
      <c r="G17" s="281"/>
      <c r="H17" s="281"/>
      <c r="I17" s="281"/>
      <c r="J17" s="306"/>
      <c r="K17" s="307"/>
      <c r="L17" s="307"/>
      <c r="M17" s="307"/>
      <c r="N17" s="307"/>
      <c r="O17" s="308"/>
      <c r="P17" s="306"/>
      <c r="Q17" s="307"/>
      <c r="R17" s="307"/>
      <c r="S17" s="307"/>
      <c r="T17" s="307"/>
      <c r="U17" s="308"/>
      <c r="V17" s="290"/>
      <c r="W17" s="286"/>
      <c r="X17" s="286"/>
      <c r="Y17" s="286"/>
      <c r="Z17" s="286"/>
      <c r="AA17" s="287"/>
      <c r="AB17" s="290"/>
      <c r="AC17" s="286"/>
      <c r="AD17" s="286"/>
      <c r="AE17" s="286"/>
      <c r="AF17" s="286"/>
      <c r="AG17" s="287"/>
      <c r="AH17" s="297"/>
      <c r="AI17" s="298"/>
      <c r="AJ17" s="298"/>
      <c r="AK17" s="298"/>
      <c r="AL17" s="298"/>
      <c r="AM17" s="299"/>
      <c r="AN17" s="83"/>
      <c r="AO17" s="253"/>
      <c r="AP17" s="254"/>
      <c r="AQ17" s="254"/>
      <c r="AR17" s="254"/>
      <c r="AS17" s="254"/>
      <c r="AT17" s="25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9"/>
      <c r="C18" s="239"/>
      <c r="D18" s="240"/>
      <c r="E18" s="280"/>
      <c r="F18" s="281"/>
      <c r="G18" s="281"/>
      <c r="H18" s="281"/>
      <c r="I18" s="281"/>
      <c r="J18" s="306" t="str">
        <f ca="1">IF(AND('Mapa final'!$H$46="Alta",'Mapa final'!$L$46="Leve"),CONCATENATE("R",'Mapa final'!$A$46),"")</f>
        <v/>
      </c>
      <c r="K18" s="307"/>
      <c r="L18" s="307" t="str">
        <f ca="1">IF(AND('Mapa final'!$H$52="Alta",'Mapa final'!$L$52="Leve"),CONCATENATE("R",'Mapa final'!$A$52),"")</f>
        <v/>
      </c>
      <c r="M18" s="307"/>
      <c r="N18" s="307" t="str">
        <f ca="1">IF(AND('Mapa final'!$H$58="Alta",'Mapa final'!$L$58="Leve"),CONCATENATE("R",'Mapa final'!$A$58),"")</f>
        <v/>
      </c>
      <c r="O18" s="308"/>
      <c r="P18" s="306" t="str">
        <f ca="1">IF(AND('Mapa final'!$H$46="Alta",'Mapa final'!$L$46="Menor"),CONCATENATE("R",'Mapa final'!$A$46),"")</f>
        <v/>
      </c>
      <c r="Q18" s="307"/>
      <c r="R18" s="307" t="str">
        <f ca="1">IF(AND('Mapa final'!$H$52="Alta",'Mapa final'!$L$52="Menor"),CONCATENATE("R",'Mapa final'!$A$52),"")</f>
        <v/>
      </c>
      <c r="S18" s="307"/>
      <c r="T18" s="307" t="str">
        <f ca="1">IF(AND('Mapa final'!$H$58="Alta",'Mapa final'!$L$58="Menor"),CONCATENATE("R",'Mapa final'!$A$58),"")</f>
        <v/>
      </c>
      <c r="U18" s="308"/>
      <c r="V18" s="290" t="str">
        <f ca="1">IF(AND('Mapa final'!$H$46="Alta",'Mapa final'!$L$46="Moderado"),CONCATENATE("R",'Mapa final'!$A$46),"")</f>
        <v/>
      </c>
      <c r="W18" s="286"/>
      <c r="X18" s="286" t="str">
        <f ca="1">IF(AND('Mapa final'!$H$52="Alta",'Mapa final'!$L$52="Moderado"),CONCATENATE("R",'Mapa final'!$A$52),"")</f>
        <v/>
      </c>
      <c r="Y18" s="286"/>
      <c r="Z18" s="286" t="str">
        <f ca="1">IF(AND('Mapa final'!$H$58="Alta",'Mapa final'!$L$58="Moderado"),CONCATENATE("R",'Mapa final'!$A$58),"")</f>
        <v/>
      </c>
      <c r="AA18" s="287"/>
      <c r="AB18" s="290" t="str">
        <f ca="1">IF(AND('Mapa final'!$H$46="Alta",'Mapa final'!$L$46="Mayor"),CONCATENATE("R",'Mapa final'!$A$46),"")</f>
        <v/>
      </c>
      <c r="AC18" s="286"/>
      <c r="AD18" s="286" t="str">
        <f ca="1">IF(AND('Mapa final'!$H$52="Alta",'Mapa final'!$L$52="Mayor"),CONCATENATE("R",'Mapa final'!$A$52),"")</f>
        <v/>
      </c>
      <c r="AE18" s="286"/>
      <c r="AF18" s="286" t="str">
        <f ca="1">IF(AND('Mapa final'!$H$58="Alta",'Mapa final'!$L$58="Mayor"),CONCATENATE("R",'Mapa final'!$A$58),"")</f>
        <v/>
      </c>
      <c r="AG18" s="287"/>
      <c r="AH18" s="297" t="str">
        <f ca="1">IF(AND('Mapa final'!$H$46="Alta",'Mapa final'!$L$46="Catastrófico"),CONCATENATE("R",'Mapa final'!$A$46),"")</f>
        <v/>
      </c>
      <c r="AI18" s="298"/>
      <c r="AJ18" s="298" t="str">
        <f ca="1">IF(AND('Mapa final'!$H$52="Alta",'Mapa final'!$L$52="Catastrófico"),CONCATENATE("R",'Mapa final'!$A$52),"")</f>
        <v/>
      </c>
      <c r="AK18" s="298"/>
      <c r="AL18" s="298" t="str">
        <f ca="1">IF(AND('Mapa final'!$H$58="Alta",'Mapa final'!$L$58="Catastrófico"),CONCATENATE("R",'Mapa final'!$A$58),"")</f>
        <v/>
      </c>
      <c r="AM18" s="299"/>
      <c r="AN18" s="83"/>
      <c r="AO18" s="253"/>
      <c r="AP18" s="254"/>
      <c r="AQ18" s="254"/>
      <c r="AR18" s="254"/>
      <c r="AS18" s="254"/>
      <c r="AT18" s="25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9"/>
      <c r="C19" s="239"/>
      <c r="D19" s="240"/>
      <c r="E19" s="280"/>
      <c r="F19" s="281"/>
      <c r="G19" s="281"/>
      <c r="H19" s="281"/>
      <c r="I19" s="281"/>
      <c r="J19" s="306"/>
      <c r="K19" s="307"/>
      <c r="L19" s="307"/>
      <c r="M19" s="307"/>
      <c r="N19" s="307"/>
      <c r="O19" s="308"/>
      <c r="P19" s="306"/>
      <c r="Q19" s="307"/>
      <c r="R19" s="307"/>
      <c r="S19" s="307"/>
      <c r="T19" s="307"/>
      <c r="U19" s="308"/>
      <c r="V19" s="290"/>
      <c r="W19" s="286"/>
      <c r="X19" s="286"/>
      <c r="Y19" s="286"/>
      <c r="Z19" s="286"/>
      <c r="AA19" s="287"/>
      <c r="AB19" s="290"/>
      <c r="AC19" s="286"/>
      <c r="AD19" s="286"/>
      <c r="AE19" s="286"/>
      <c r="AF19" s="286"/>
      <c r="AG19" s="287"/>
      <c r="AH19" s="297"/>
      <c r="AI19" s="298"/>
      <c r="AJ19" s="298"/>
      <c r="AK19" s="298"/>
      <c r="AL19" s="298"/>
      <c r="AM19" s="299"/>
      <c r="AN19" s="83"/>
      <c r="AO19" s="253"/>
      <c r="AP19" s="254"/>
      <c r="AQ19" s="254"/>
      <c r="AR19" s="254"/>
      <c r="AS19" s="254"/>
      <c r="AT19" s="25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9"/>
      <c r="C20" s="239"/>
      <c r="D20" s="240"/>
      <c r="E20" s="280"/>
      <c r="F20" s="281"/>
      <c r="G20" s="281"/>
      <c r="H20" s="281"/>
      <c r="I20" s="281"/>
      <c r="J20" s="306" t="str">
        <f ca="1">IF(AND('Mapa final'!$H$64="Alta",'Mapa final'!$L$64="Leve"),CONCATENATE("R",'Mapa final'!$A$64),"")</f>
        <v/>
      </c>
      <c r="K20" s="307"/>
      <c r="L20" s="307" t="str">
        <f>IF(AND('Mapa final'!$H$70="Alta",'Mapa final'!$L$70="Leve"),CONCATENATE("R",'Mapa final'!$A$70),"")</f>
        <v/>
      </c>
      <c r="M20" s="307"/>
      <c r="N20" s="307" t="str">
        <f>IF(AND('Mapa final'!$H$76="Alta",'Mapa final'!$L$76="Leve"),CONCATENATE("R",'Mapa final'!$A$76),"")</f>
        <v/>
      </c>
      <c r="O20" s="308"/>
      <c r="P20" s="306" t="str">
        <f ca="1">IF(AND('Mapa final'!$H$64="Alta",'Mapa final'!$L$64="Menor"),CONCATENATE("R",'Mapa final'!$A$64),"")</f>
        <v/>
      </c>
      <c r="Q20" s="307"/>
      <c r="R20" s="307" t="str">
        <f>IF(AND('Mapa final'!$H$70="Alta",'Mapa final'!$L$70="Menor"),CONCATENATE("R",'Mapa final'!$A$70),"")</f>
        <v/>
      </c>
      <c r="S20" s="307"/>
      <c r="T20" s="307" t="str">
        <f>IF(AND('Mapa final'!$H$76="Alta",'Mapa final'!$L$76="Menor"),CONCATENATE("R",'Mapa final'!$A$76),"")</f>
        <v/>
      </c>
      <c r="U20" s="308"/>
      <c r="V20" s="290" t="str">
        <f ca="1">IF(AND('Mapa final'!$H$64="Alta",'Mapa final'!$L$64="Moderado"),CONCATENATE("R",'Mapa final'!$A$64),"")</f>
        <v/>
      </c>
      <c r="W20" s="286"/>
      <c r="X20" s="286" t="str">
        <f>IF(AND('Mapa final'!$H$70="Alta",'Mapa final'!$L$70="Moderado"),CONCATENATE("R",'Mapa final'!$A$70),"")</f>
        <v/>
      </c>
      <c r="Y20" s="286"/>
      <c r="Z20" s="286" t="str">
        <f>IF(AND('Mapa final'!$H$76="Alta",'Mapa final'!$L$76="Moderado"),CONCATENATE("R",'Mapa final'!$A$76),"")</f>
        <v/>
      </c>
      <c r="AA20" s="287"/>
      <c r="AB20" s="290" t="str">
        <f ca="1">IF(AND('Mapa final'!$H$64="Alta",'Mapa final'!$L$64="Mayor"),CONCATENATE("R",'Mapa final'!$A$64),"")</f>
        <v/>
      </c>
      <c r="AC20" s="286"/>
      <c r="AD20" s="286" t="str">
        <f>IF(AND('Mapa final'!$H$70="Alta",'Mapa final'!$L$70="Mayor"),CONCATENATE("R",'Mapa final'!$A$70),"")</f>
        <v/>
      </c>
      <c r="AE20" s="286"/>
      <c r="AF20" s="286" t="str">
        <f>IF(AND('Mapa final'!$H$76="Alta",'Mapa final'!$L$76="Mayor"),CONCATENATE("R",'Mapa final'!$A$76),"")</f>
        <v/>
      </c>
      <c r="AG20" s="287"/>
      <c r="AH20" s="297" t="str">
        <f ca="1">IF(AND('Mapa final'!$H$64="Alta",'Mapa final'!$L$64="Catastrófico"),CONCATENATE("R",'Mapa final'!$A$64),"")</f>
        <v/>
      </c>
      <c r="AI20" s="298"/>
      <c r="AJ20" s="298" t="str">
        <f>IF(AND('Mapa final'!$H$70="Alta",'Mapa final'!$L$70="Catastrófico"),CONCATENATE("R",'Mapa final'!$A$70),"")</f>
        <v/>
      </c>
      <c r="AK20" s="298"/>
      <c r="AL20" s="298" t="str">
        <f>IF(AND('Mapa final'!$H$76="Alta",'Mapa final'!$L$76="Catastrófico"),CONCATENATE("R",'Mapa final'!$A$76),"")</f>
        <v/>
      </c>
      <c r="AM20" s="299"/>
      <c r="AN20" s="83"/>
      <c r="AO20" s="253"/>
      <c r="AP20" s="254"/>
      <c r="AQ20" s="254"/>
      <c r="AR20" s="254"/>
      <c r="AS20" s="254"/>
      <c r="AT20" s="25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9"/>
      <c r="C21" s="239"/>
      <c r="D21" s="240"/>
      <c r="E21" s="283"/>
      <c r="F21" s="284"/>
      <c r="G21" s="284"/>
      <c r="H21" s="284"/>
      <c r="I21" s="284"/>
      <c r="J21" s="309"/>
      <c r="K21" s="310"/>
      <c r="L21" s="310"/>
      <c r="M21" s="310"/>
      <c r="N21" s="310"/>
      <c r="O21" s="311"/>
      <c r="P21" s="309"/>
      <c r="Q21" s="310"/>
      <c r="R21" s="310"/>
      <c r="S21" s="310"/>
      <c r="T21" s="310"/>
      <c r="U21" s="311"/>
      <c r="V21" s="294"/>
      <c r="W21" s="295"/>
      <c r="X21" s="295"/>
      <c r="Y21" s="295"/>
      <c r="Z21" s="295"/>
      <c r="AA21" s="296"/>
      <c r="AB21" s="294"/>
      <c r="AC21" s="295"/>
      <c r="AD21" s="295"/>
      <c r="AE21" s="295"/>
      <c r="AF21" s="295"/>
      <c r="AG21" s="296"/>
      <c r="AH21" s="300"/>
      <c r="AI21" s="301"/>
      <c r="AJ21" s="301"/>
      <c r="AK21" s="301"/>
      <c r="AL21" s="301"/>
      <c r="AM21" s="302"/>
      <c r="AN21" s="83"/>
      <c r="AO21" s="256"/>
      <c r="AP21" s="257"/>
      <c r="AQ21" s="257"/>
      <c r="AR21" s="257"/>
      <c r="AS21" s="257"/>
      <c r="AT21" s="25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9"/>
      <c r="C22" s="239"/>
      <c r="D22" s="240"/>
      <c r="E22" s="277" t="s">
        <v>117</v>
      </c>
      <c r="F22" s="278"/>
      <c r="G22" s="278"/>
      <c r="H22" s="278"/>
      <c r="I22" s="279"/>
      <c r="J22" s="312" t="str">
        <f ca="1">IF(AND('Mapa final'!$H$10="Media",'Mapa final'!$L$10="Leve"),CONCATENATE("R",'Mapa final'!$A$10),"")</f>
        <v/>
      </c>
      <c r="K22" s="313"/>
      <c r="L22" s="313" t="str">
        <f ca="1">IF(AND('Mapa final'!$H$16="Media",'Mapa final'!$L$16="Leve"),CONCATENATE("R",'Mapa final'!$A$16),"")</f>
        <v/>
      </c>
      <c r="M22" s="313"/>
      <c r="N22" s="313" t="str">
        <f ca="1">IF(AND('Mapa final'!$H$22="Media",'Mapa final'!$L$22="Leve"),CONCATENATE("R",'Mapa final'!$A$22),"")</f>
        <v/>
      </c>
      <c r="O22" s="314"/>
      <c r="P22" s="312" t="str">
        <f ca="1">IF(AND('Mapa final'!$H$10="Media",'Mapa final'!$L$10="Menor"),CONCATENATE("R",'Mapa final'!$A$10),"")</f>
        <v/>
      </c>
      <c r="Q22" s="313"/>
      <c r="R22" s="313" t="str">
        <f ca="1">IF(AND('Mapa final'!$H$16="Media",'Mapa final'!$L$16="Menor"),CONCATENATE("R",'Mapa final'!$A$16),"")</f>
        <v/>
      </c>
      <c r="S22" s="313"/>
      <c r="T22" s="313" t="str">
        <f ca="1">IF(AND('Mapa final'!$H$22="Media",'Mapa final'!$L$22="Menor"),CONCATENATE("R",'Mapa final'!$A$22),"")</f>
        <v/>
      </c>
      <c r="U22" s="314"/>
      <c r="V22" s="312" t="str">
        <f ca="1">IF(AND('Mapa final'!$H$10="Media",'Mapa final'!$L$10="Moderado"),CONCATENATE("R",'Mapa final'!$A$10),"")</f>
        <v/>
      </c>
      <c r="W22" s="313"/>
      <c r="X22" s="313" t="str">
        <f ca="1">IF(AND('Mapa final'!$H$16="Media",'Mapa final'!$L$16="Moderado"),CONCATENATE("R",'Mapa final'!$A$16),"")</f>
        <v/>
      </c>
      <c r="Y22" s="313"/>
      <c r="Z22" s="313" t="str">
        <f ca="1">IF(AND('Mapa final'!$H$22="Media",'Mapa final'!$L$22="Moderado"),CONCATENATE("R",'Mapa final'!$A$22),"")</f>
        <v/>
      </c>
      <c r="AA22" s="314"/>
      <c r="AB22" s="288" t="str">
        <f ca="1">IF(AND('Mapa final'!$H$10="Media",'Mapa final'!$L$10="Mayor"),CONCATENATE("R",'Mapa final'!$A$10),"")</f>
        <v/>
      </c>
      <c r="AC22" s="289"/>
      <c r="AD22" s="289" t="str">
        <f ca="1">IF(AND('Mapa final'!$H$16="Media",'Mapa final'!$L$16="Mayor"),CONCATENATE("R",'Mapa final'!$A$16),"")</f>
        <v/>
      </c>
      <c r="AE22" s="289"/>
      <c r="AF22" s="289" t="str">
        <f ca="1">IF(AND('Mapa final'!$H$22="Media",'Mapa final'!$L$22="Mayor"),CONCATENATE("R",'Mapa final'!$A$22),"")</f>
        <v>R3</v>
      </c>
      <c r="AG22" s="291"/>
      <c r="AH22" s="303" t="str">
        <f ca="1">IF(AND('Mapa final'!$H$10="Media",'Mapa final'!$L$10="Catastrófico"),CONCATENATE("R",'Mapa final'!$A$10),"")</f>
        <v/>
      </c>
      <c r="AI22" s="304"/>
      <c r="AJ22" s="304" t="str">
        <f ca="1">IF(AND('Mapa final'!$H$16="Media",'Mapa final'!$L$16="Catastrófico"),CONCATENATE("R",'Mapa final'!$A$16),"")</f>
        <v/>
      </c>
      <c r="AK22" s="304"/>
      <c r="AL22" s="304" t="str">
        <f ca="1">IF(AND('Mapa final'!$H$22="Media",'Mapa final'!$L$22="Catastrófico"),CONCATENATE("R",'Mapa final'!$A$22),"")</f>
        <v/>
      </c>
      <c r="AM22" s="305"/>
      <c r="AN22" s="83"/>
      <c r="AO22" s="259" t="s">
        <v>81</v>
      </c>
      <c r="AP22" s="260"/>
      <c r="AQ22" s="260"/>
      <c r="AR22" s="260"/>
      <c r="AS22" s="260"/>
      <c r="AT22" s="26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9"/>
      <c r="C23" s="239"/>
      <c r="D23" s="240"/>
      <c r="E23" s="280"/>
      <c r="F23" s="281"/>
      <c r="G23" s="281"/>
      <c r="H23" s="281"/>
      <c r="I23" s="282"/>
      <c r="J23" s="306"/>
      <c r="K23" s="307"/>
      <c r="L23" s="307"/>
      <c r="M23" s="307"/>
      <c r="N23" s="307"/>
      <c r="O23" s="308"/>
      <c r="P23" s="306"/>
      <c r="Q23" s="307"/>
      <c r="R23" s="307"/>
      <c r="S23" s="307"/>
      <c r="T23" s="307"/>
      <c r="U23" s="308"/>
      <c r="V23" s="306"/>
      <c r="W23" s="307"/>
      <c r="X23" s="307"/>
      <c r="Y23" s="307"/>
      <c r="Z23" s="307"/>
      <c r="AA23" s="308"/>
      <c r="AB23" s="290"/>
      <c r="AC23" s="286"/>
      <c r="AD23" s="286"/>
      <c r="AE23" s="286"/>
      <c r="AF23" s="286"/>
      <c r="AG23" s="287"/>
      <c r="AH23" s="297"/>
      <c r="AI23" s="298"/>
      <c r="AJ23" s="298"/>
      <c r="AK23" s="298"/>
      <c r="AL23" s="298"/>
      <c r="AM23" s="299"/>
      <c r="AN23" s="83"/>
      <c r="AO23" s="262"/>
      <c r="AP23" s="263"/>
      <c r="AQ23" s="263"/>
      <c r="AR23" s="263"/>
      <c r="AS23" s="263"/>
      <c r="AT23" s="26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9"/>
      <c r="C24" s="239"/>
      <c r="D24" s="240"/>
      <c r="E24" s="280"/>
      <c r="F24" s="281"/>
      <c r="G24" s="281"/>
      <c r="H24" s="281"/>
      <c r="I24" s="282"/>
      <c r="J24" s="306" t="str">
        <f ca="1">IF(AND('Mapa final'!$H$28="Media",'Mapa final'!$L$28="Leve"),CONCATENATE("R",'Mapa final'!$A$28),"")</f>
        <v/>
      </c>
      <c r="K24" s="307"/>
      <c r="L24" s="307" t="str">
        <f ca="1">IF(AND('Mapa final'!$H$34="Media",'Mapa final'!$L$34="Leve"),CONCATENATE("R",'Mapa final'!$A$34),"")</f>
        <v/>
      </c>
      <c r="M24" s="307"/>
      <c r="N24" s="307" t="str">
        <f ca="1">IF(AND('Mapa final'!$H$40="Media",'Mapa final'!$L$40="Leve"),CONCATENATE("R",'Mapa final'!$A$40),"")</f>
        <v/>
      </c>
      <c r="O24" s="308"/>
      <c r="P24" s="306" t="str">
        <f ca="1">IF(AND('Mapa final'!$H$28="Media",'Mapa final'!$L$28="Menor"),CONCATENATE("R",'Mapa final'!$A$28),"")</f>
        <v/>
      </c>
      <c r="Q24" s="307"/>
      <c r="R24" s="307" t="str">
        <f ca="1">IF(AND('Mapa final'!$H$34="Media",'Mapa final'!$L$34="Menor"),CONCATENATE("R",'Mapa final'!$A$34),"")</f>
        <v/>
      </c>
      <c r="S24" s="307"/>
      <c r="T24" s="307" t="str">
        <f ca="1">IF(AND('Mapa final'!$H$40="Media",'Mapa final'!$L$40="Menor"),CONCATENATE("R",'Mapa final'!$A$40),"")</f>
        <v/>
      </c>
      <c r="U24" s="308"/>
      <c r="V24" s="306" t="str">
        <f ca="1">IF(AND('Mapa final'!$H$28="Media",'Mapa final'!$L$28="Moderado"),CONCATENATE("R",'Mapa final'!$A$28),"")</f>
        <v/>
      </c>
      <c r="W24" s="307"/>
      <c r="X24" s="307" t="str">
        <f ca="1">IF(AND('Mapa final'!$H$34="Media",'Mapa final'!$L$34="Moderado"),CONCATENATE("R",'Mapa final'!$A$34),"")</f>
        <v/>
      </c>
      <c r="Y24" s="307"/>
      <c r="Z24" s="307" t="str">
        <f ca="1">IF(AND('Mapa final'!$H$40="Media",'Mapa final'!$L$40="Moderado"),CONCATENATE("R",'Mapa final'!$A$40),"")</f>
        <v/>
      </c>
      <c r="AA24" s="308"/>
      <c r="AB24" s="290" t="str">
        <f ca="1">IF(AND('Mapa final'!$H$28="Media",'Mapa final'!$L$28="Mayor"),CONCATENATE("R",'Mapa final'!$A$28),"")</f>
        <v/>
      </c>
      <c r="AC24" s="286"/>
      <c r="AD24" s="286" t="str">
        <f ca="1">IF(AND('Mapa final'!$H$34="Media",'Mapa final'!$L$34="Mayor"),CONCATENATE("R",'Mapa final'!$A$34),"")</f>
        <v/>
      </c>
      <c r="AE24" s="286"/>
      <c r="AF24" s="286" t="str">
        <f ca="1">IF(AND('Mapa final'!$H$40="Media",'Mapa final'!$L$40="Mayor"),CONCATENATE("R",'Mapa final'!$A$40),"")</f>
        <v>R6</v>
      </c>
      <c r="AG24" s="287"/>
      <c r="AH24" s="297" t="str">
        <f ca="1">IF(AND('Mapa final'!$H$28="Media",'Mapa final'!$L$28="Catastrófico"),CONCATENATE("R",'Mapa final'!$A$28),"")</f>
        <v/>
      </c>
      <c r="AI24" s="298"/>
      <c r="AJ24" s="298" t="str">
        <f ca="1">IF(AND('Mapa final'!$H$34="Media",'Mapa final'!$L$34="Catastrófico"),CONCATENATE("R",'Mapa final'!$A$34),"")</f>
        <v/>
      </c>
      <c r="AK24" s="298"/>
      <c r="AL24" s="298" t="str">
        <f ca="1">IF(AND('Mapa final'!$H$40="Media",'Mapa final'!$L$40="Catastrófico"),CONCATENATE("R",'Mapa final'!$A$40),"")</f>
        <v/>
      </c>
      <c r="AM24" s="299"/>
      <c r="AN24" s="83"/>
      <c r="AO24" s="262"/>
      <c r="AP24" s="263"/>
      <c r="AQ24" s="263"/>
      <c r="AR24" s="263"/>
      <c r="AS24" s="263"/>
      <c r="AT24" s="26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9"/>
      <c r="C25" s="239"/>
      <c r="D25" s="240"/>
      <c r="E25" s="280"/>
      <c r="F25" s="281"/>
      <c r="G25" s="281"/>
      <c r="H25" s="281"/>
      <c r="I25" s="282"/>
      <c r="J25" s="306"/>
      <c r="K25" s="307"/>
      <c r="L25" s="307"/>
      <c r="M25" s="307"/>
      <c r="N25" s="307"/>
      <c r="O25" s="308"/>
      <c r="P25" s="306"/>
      <c r="Q25" s="307"/>
      <c r="R25" s="307"/>
      <c r="S25" s="307"/>
      <c r="T25" s="307"/>
      <c r="U25" s="308"/>
      <c r="V25" s="306"/>
      <c r="W25" s="307"/>
      <c r="X25" s="307"/>
      <c r="Y25" s="307"/>
      <c r="Z25" s="307"/>
      <c r="AA25" s="308"/>
      <c r="AB25" s="290"/>
      <c r="AC25" s="286"/>
      <c r="AD25" s="286"/>
      <c r="AE25" s="286"/>
      <c r="AF25" s="286"/>
      <c r="AG25" s="287"/>
      <c r="AH25" s="297"/>
      <c r="AI25" s="298"/>
      <c r="AJ25" s="298"/>
      <c r="AK25" s="298"/>
      <c r="AL25" s="298"/>
      <c r="AM25" s="299"/>
      <c r="AN25" s="83"/>
      <c r="AO25" s="262"/>
      <c r="AP25" s="263"/>
      <c r="AQ25" s="263"/>
      <c r="AR25" s="263"/>
      <c r="AS25" s="263"/>
      <c r="AT25" s="26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9"/>
      <c r="C26" s="239"/>
      <c r="D26" s="240"/>
      <c r="E26" s="280"/>
      <c r="F26" s="281"/>
      <c r="G26" s="281"/>
      <c r="H26" s="281"/>
      <c r="I26" s="282"/>
      <c r="J26" s="306" t="str">
        <f ca="1">IF(AND('Mapa final'!$H$46="Media",'Mapa final'!$L$46="Leve"),CONCATENATE("R",'Mapa final'!$A$46),"")</f>
        <v/>
      </c>
      <c r="K26" s="307"/>
      <c r="L26" s="307" t="str">
        <f ca="1">IF(AND('Mapa final'!$H$52="Media",'Mapa final'!$L$52="Leve"),CONCATENATE("R",'Mapa final'!$A$52),"")</f>
        <v/>
      </c>
      <c r="M26" s="307"/>
      <c r="N26" s="307" t="str">
        <f ca="1">IF(AND('Mapa final'!$H$58="Media",'Mapa final'!$L$58="Leve"),CONCATENATE("R",'Mapa final'!$A$58),"")</f>
        <v/>
      </c>
      <c r="O26" s="308"/>
      <c r="P26" s="306" t="str">
        <f ca="1">IF(AND('Mapa final'!$H$46="Media",'Mapa final'!$L$46="Menor"),CONCATENATE("R",'Mapa final'!$A$46),"")</f>
        <v/>
      </c>
      <c r="Q26" s="307"/>
      <c r="R26" s="307" t="str">
        <f ca="1">IF(AND('Mapa final'!$H$52="Media",'Mapa final'!$L$52="Menor"),CONCATENATE("R",'Mapa final'!$A$52),"")</f>
        <v/>
      </c>
      <c r="S26" s="307"/>
      <c r="T26" s="307" t="str">
        <f ca="1">IF(AND('Mapa final'!$H$58="Media",'Mapa final'!$L$58="Menor"),CONCATENATE("R",'Mapa final'!$A$58),"")</f>
        <v/>
      </c>
      <c r="U26" s="308"/>
      <c r="V26" s="306" t="str">
        <f ca="1">IF(AND('Mapa final'!$H$46="Media",'Mapa final'!$L$46="Moderado"),CONCATENATE("R",'Mapa final'!$A$46),"")</f>
        <v/>
      </c>
      <c r="W26" s="307"/>
      <c r="X26" s="307" t="str">
        <f ca="1">IF(AND('Mapa final'!$H$52="Media",'Mapa final'!$L$52="Moderado"),CONCATENATE("R",'Mapa final'!$A$52),"")</f>
        <v/>
      </c>
      <c r="Y26" s="307"/>
      <c r="Z26" s="307" t="str">
        <f ca="1">IF(AND('Mapa final'!$H$58="Media",'Mapa final'!$L$58="Moderado"),CONCATENATE("R",'Mapa final'!$A$58),"")</f>
        <v/>
      </c>
      <c r="AA26" s="308"/>
      <c r="AB26" s="290" t="str">
        <f ca="1">IF(AND('Mapa final'!$H$46="Media",'Mapa final'!$L$46="Mayor"),CONCATENATE("R",'Mapa final'!$A$46),"")</f>
        <v>R7</v>
      </c>
      <c r="AC26" s="286"/>
      <c r="AD26" s="286" t="str">
        <f ca="1">IF(AND('Mapa final'!$H$52="Media",'Mapa final'!$L$52="Mayor"),CONCATENATE("R",'Mapa final'!$A$52),"")</f>
        <v>R8</v>
      </c>
      <c r="AE26" s="286"/>
      <c r="AF26" s="286" t="str">
        <f ca="1">IF(AND('Mapa final'!$H$58="Media",'Mapa final'!$L$58="Mayor"),CONCATENATE("R",'Mapa final'!$A$58),"")</f>
        <v>R9</v>
      </c>
      <c r="AG26" s="287"/>
      <c r="AH26" s="297" t="str">
        <f ca="1">IF(AND('Mapa final'!$H$46="Media",'Mapa final'!$L$46="Catastrófico"),CONCATENATE("R",'Mapa final'!$A$46),"")</f>
        <v/>
      </c>
      <c r="AI26" s="298"/>
      <c r="AJ26" s="298" t="str">
        <f ca="1">IF(AND('Mapa final'!$H$52="Media",'Mapa final'!$L$52="Catastrófico"),CONCATENATE("R",'Mapa final'!$A$52),"")</f>
        <v/>
      </c>
      <c r="AK26" s="298"/>
      <c r="AL26" s="298" t="str">
        <f ca="1">IF(AND('Mapa final'!$H$58="Media",'Mapa final'!$L$58="Catastrófico"),CONCATENATE("R",'Mapa final'!$A$58),"")</f>
        <v/>
      </c>
      <c r="AM26" s="299"/>
      <c r="AN26" s="83"/>
      <c r="AO26" s="262"/>
      <c r="AP26" s="263"/>
      <c r="AQ26" s="263"/>
      <c r="AR26" s="263"/>
      <c r="AS26" s="263"/>
      <c r="AT26" s="2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9"/>
      <c r="C27" s="239"/>
      <c r="D27" s="240"/>
      <c r="E27" s="280"/>
      <c r="F27" s="281"/>
      <c r="G27" s="281"/>
      <c r="H27" s="281"/>
      <c r="I27" s="282"/>
      <c r="J27" s="306"/>
      <c r="K27" s="307"/>
      <c r="L27" s="307"/>
      <c r="M27" s="307"/>
      <c r="N27" s="307"/>
      <c r="O27" s="308"/>
      <c r="P27" s="306"/>
      <c r="Q27" s="307"/>
      <c r="R27" s="307"/>
      <c r="S27" s="307"/>
      <c r="T27" s="307"/>
      <c r="U27" s="308"/>
      <c r="V27" s="306"/>
      <c r="W27" s="307"/>
      <c r="X27" s="307"/>
      <c r="Y27" s="307"/>
      <c r="Z27" s="307"/>
      <c r="AA27" s="308"/>
      <c r="AB27" s="290"/>
      <c r="AC27" s="286"/>
      <c r="AD27" s="286"/>
      <c r="AE27" s="286"/>
      <c r="AF27" s="286"/>
      <c r="AG27" s="287"/>
      <c r="AH27" s="297"/>
      <c r="AI27" s="298"/>
      <c r="AJ27" s="298"/>
      <c r="AK27" s="298"/>
      <c r="AL27" s="298"/>
      <c r="AM27" s="299"/>
      <c r="AN27" s="83"/>
      <c r="AO27" s="262"/>
      <c r="AP27" s="263"/>
      <c r="AQ27" s="263"/>
      <c r="AR27" s="263"/>
      <c r="AS27" s="263"/>
      <c r="AT27" s="26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9"/>
      <c r="C28" s="239"/>
      <c r="D28" s="240"/>
      <c r="E28" s="280"/>
      <c r="F28" s="281"/>
      <c r="G28" s="281"/>
      <c r="H28" s="281"/>
      <c r="I28" s="282"/>
      <c r="J28" s="306" t="str">
        <f ca="1">IF(AND('Mapa final'!$H$64="Media",'Mapa final'!$L$64="Leve"),CONCATENATE("R",'Mapa final'!$A$64),"")</f>
        <v/>
      </c>
      <c r="K28" s="307"/>
      <c r="L28" s="307" t="str">
        <f>IF(AND('Mapa final'!$H$70="Media",'Mapa final'!$L$70="Leve"),CONCATENATE("R",'Mapa final'!$A$70),"")</f>
        <v/>
      </c>
      <c r="M28" s="307"/>
      <c r="N28" s="307" t="str">
        <f>IF(AND('Mapa final'!$H$76="Media",'Mapa final'!$L$76="Leve"),CONCATENATE("R",'Mapa final'!$A$76),"")</f>
        <v/>
      </c>
      <c r="O28" s="308"/>
      <c r="P28" s="306" t="str">
        <f ca="1">IF(AND('Mapa final'!$H$64="Media",'Mapa final'!$L$64="Menor"),CONCATENATE("R",'Mapa final'!$A$64),"")</f>
        <v/>
      </c>
      <c r="Q28" s="307"/>
      <c r="R28" s="307" t="str">
        <f>IF(AND('Mapa final'!$H$70="Media",'Mapa final'!$L$70="Menor"),CONCATENATE("R",'Mapa final'!$A$70),"")</f>
        <v/>
      </c>
      <c r="S28" s="307"/>
      <c r="T28" s="307" t="str">
        <f>IF(AND('Mapa final'!$H$76="Media",'Mapa final'!$L$76="Menor"),CONCATENATE("R",'Mapa final'!$A$76),"")</f>
        <v/>
      </c>
      <c r="U28" s="308"/>
      <c r="V28" s="306" t="str">
        <f ca="1">IF(AND('Mapa final'!$H$64="Media",'Mapa final'!$L$64="Moderado"),CONCATENATE("R",'Mapa final'!$A$64),"")</f>
        <v>R10</v>
      </c>
      <c r="W28" s="307"/>
      <c r="X28" s="307" t="str">
        <f>IF(AND('Mapa final'!$H$70="Media",'Mapa final'!$L$70="Moderado"),CONCATENATE("R",'Mapa final'!$A$70),"")</f>
        <v/>
      </c>
      <c r="Y28" s="307"/>
      <c r="Z28" s="307" t="str">
        <f>IF(AND('Mapa final'!$H$76="Media",'Mapa final'!$L$76="Moderado"),CONCATENATE("R",'Mapa final'!$A$76),"")</f>
        <v/>
      </c>
      <c r="AA28" s="308"/>
      <c r="AB28" s="290" t="str">
        <f ca="1">IF(AND('Mapa final'!$H$64="Media",'Mapa final'!$L$64="Mayor"),CONCATENATE("R",'Mapa final'!$A$64),"")</f>
        <v/>
      </c>
      <c r="AC28" s="286"/>
      <c r="AD28" s="286" t="str">
        <f>IF(AND('Mapa final'!$H$70="Media",'Mapa final'!$L$70="Mayor"),CONCATENATE("R",'Mapa final'!$A$70),"")</f>
        <v/>
      </c>
      <c r="AE28" s="286"/>
      <c r="AF28" s="286" t="str">
        <f>IF(AND('Mapa final'!$H$76="Media",'Mapa final'!$L$76="Mayor"),CONCATENATE("R",'Mapa final'!$A$76),"")</f>
        <v/>
      </c>
      <c r="AG28" s="287"/>
      <c r="AH28" s="297" t="str">
        <f ca="1">IF(AND('Mapa final'!$H$64="Media",'Mapa final'!$L$64="Catastrófico"),CONCATENATE("R",'Mapa final'!$A$64),"")</f>
        <v/>
      </c>
      <c r="AI28" s="298"/>
      <c r="AJ28" s="298" t="str">
        <f>IF(AND('Mapa final'!$H$70="Media",'Mapa final'!$L$70="Catastrófico"),CONCATENATE("R",'Mapa final'!$A$70),"")</f>
        <v/>
      </c>
      <c r="AK28" s="298"/>
      <c r="AL28" s="298" t="str">
        <f>IF(AND('Mapa final'!$H$76="Media",'Mapa final'!$L$76="Catastrófico"),CONCATENATE("R",'Mapa final'!$A$76),"")</f>
        <v/>
      </c>
      <c r="AM28" s="299"/>
      <c r="AN28" s="83"/>
      <c r="AO28" s="262"/>
      <c r="AP28" s="263"/>
      <c r="AQ28" s="263"/>
      <c r="AR28" s="263"/>
      <c r="AS28" s="263"/>
      <c r="AT28" s="26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9"/>
      <c r="C29" s="239"/>
      <c r="D29" s="240"/>
      <c r="E29" s="283"/>
      <c r="F29" s="284"/>
      <c r="G29" s="284"/>
      <c r="H29" s="284"/>
      <c r="I29" s="285"/>
      <c r="J29" s="306"/>
      <c r="K29" s="307"/>
      <c r="L29" s="307"/>
      <c r="M29" s="307"/>
      <c r="N29" s="307"/>
      <c r="O29" s="308"/>
      <c r="P29" s="309"/>
      <c r="Q29" s="310"/>
      <c r="R29" s="310"/>
      <c r="S29" s="310"/>
      <c r="T29" s="310"/>
      <c r="U29" s="311"/>
      <c r="V29" s="309"/>
      <c r="W29" s="310"/>
      <c r="X29" s="310"/>
      <c r="Y29" s="310"/>
      <c r="Z29" s="310"/>
      <c r="AA29" s="311"/>
      <c r="AB29" s="294"/>
      <c r="AC29" s="295"/>
      <c r="AD29" s="295"/>
      <c r="AE29" s="295"/>
      <c r="AF29" s="295"/>
      <c r="AG29" s="296"/>
      <c r="AH29" s="300"/>
      <c r="AI29" s="301"/>
      <c r="AJ29" s="301"/>
      <c r="AK29" s="301"/>
      <c r="AL29" s="301"/>
      <c r="AM29" s="302"/>
      <c r="AN29" s="83"/>
      <c r="AO29" s="265"/>
      <c r="AP29" s="266"/>
      <c r="AQ29" s="266"/>
      <c r="AR29" s="266"/>
      <c r="AS29" s="266"/>
      <c r="AT29" s="2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9"/>
      <c r="C30" s="239"/>
      <c r="D30" s="240"/>
      <c r="E30" s="277" t="s">
        <v>114</v>
      </c>
      <c r="F30" s="278"/>
      <c r="G30" s="278"/>
      <c r="H30" s="278"/>
      <c r="I30" s="278"/>
      <c r="J30" s="321" t="str">
        <f ca="1">IF(AND('Mapa final'!$H$10="Baja",'Mapa final'!$L$10="Leve"),CONCATENATE("R",'Mapa final'!$A$10),"")</f>
        <v/>
      </c>
      <c r="K30" s="322"/>
      <c r="L30" s="322" t="str">
        <f ca="1">IF(AND('Mapa final'!$H$16="Baja",'Mapa final'!$L$16="Leve"),CONCATENATE("R",'Mapa final'!$A$16),"")</f>
        <v/>
      </c>
      <c r="M30" s="322"/>
      <c r="N30" s="322" t="str">
        <f ca="1">IF(AND('Mapa final'!$H$22="Baja",'Mapa final'!$L$22="Leve"),CONCATENATE("R",'Mapa final'!$A$22),"")</f>
        <v/>
      </c>
      <c r="O30" s="323"/>
      <c r="P30" s="313" t="str">
        <f ca="1">IF(AND('Mapa final'!$H$10="Baja",'Mapa final'!$L$10="Menor"),CONCATENATE("R",'Mapa final'!$A$10),"")</f>
        <v/>
      </c>
      <c r="Q30" s="313"/>
      <c r="R30" s="313" t="str">
        <f ca="1">IF(AND('Mapa final'!$H$16="Baja",'Mapa final'!$L$16="Menor"),CONCATENATE("R",'Mapa final'!$A$16),"")</f>
        <v/>
      </c>
      <c r="S30" s="313"/>
      <c r="T30" s="313" t="str">
        <f ca="1">IF(AND('Mapa final'!$H$22="Baja",'Mapa final'!$L$22="Menor"),CONCATENATE("R",'Mapa final'!$A$22),"")</f>
        <v/>
      </c>
      <c r="U30" s="314"/>
      <c r="V30" s="312" t="str">
        <f ca="1">IF(AND('Mapa final'!$H$10="Baja",'Mapa final'!$L$10="Moderado"),CONCATENATE("R",'Mapa final'!$A$10),"")</f>
        <v/>
      </c>
      <c r="W30" s="313"/>
      <c r="X30" s="313" t="str">
        <f ca="1">IF(AND('Mapa final'!$H$16="Baja",'Mapa final'!$L$16="Moderado"),CONCATENATE("R",'Mapa final'!$A$16),"")</f>
        <v/>
      </c>
      <c r="Y30" s="313"/>
      <c r="Z30" s="313" t="str">
        <f ca="1">IF(AND('Mapa final'!$H$22="Baja",'Mapa final'!$L$22="Moderado"),CONCATENATE("R",'Mapa final'!$A$22),"")</f>
        <v/>
      </c>
      <c r="AA30" s="314"/>
      <c r="AB30" s="288" t="str">
        <f ca="1">IF(AND('Mapa final'!$H$10="Baja",'Mapa final'!$L$10="Mayor"),CONCATENATE("R",'Mapa final'!$A$10),"")</f>
        <v/>
      </c>
      <c r="AC30" s="289"/>
      <c r="AD30" s="289" t="str">
        <f ca="1">IF(AND('Mapa final'!$H$16="Baja",'Mapa final'!$L$16="Mayor"),CONCATENATE("R",'Mapa final'!$A$16),"")</f>
        <v/>
      </c>
      <c r="AE30" s="289"/>
      <c r="AF30" s="289" t="str">
        <f ca="1">IF(AND('Mapa final'!$H$22="Baja",'Mapa final'!$L$22="Mayor"),CONCATENATE("R",'Mapa final'!$A$22),"")</f>
        <v/>
      </c>
      <c r="AG30" s="291"/>
      <c r="AH30" s="303" t="str">
        <f ca="1">IF(AND('Mapa final'!$H$10="Baja",'Mapa final'!$L$10="Catastrófico"),CONCATENATE("R",'Mapa final'!$A$10),"")</f>
        <v/>
      </c>
      <c r="AI30" s="304"/>
      <c r="AJ30" s="304" t="str">
        <f ca="1">IF(AND('Mapa final'!$H$16="Baja",'Mapa final'!$L$16="Catastrófico"),CONCATENATE("R",'Mapa final'!$A$16),"")</f>
        <v/>
      </c>
      <c r="AK30" s="304"/>
      <c r="AL30" s="304" t="str">
        <f ca="1">IF(AND('Mapa final'!$H$22="Baja",'Mapa final'!$L$22="Catastrófico"),CONCATENATE("R",'Mapa final'!$A$22),"")</f>
        <v/>
      </c>
      <c r="AM30" s="305"/>
      <c r="AN30" s="83"/>
      <c r="AO30" s="268" t="s">
        <v>82</v>
      </c>
      <c r="AP30" s="269"/>
      <c r="AQ30" s="269"/>
      <c r="AR30" s="269"/>
      <c r="AS30" s="269"/>
      <c r="AT30" s="27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9"/>
      <c r="C31" s="239"/>
      <c r="D31" s="240"/>
      <c r="E31" s="280"/>
      <c r="F31" s="281"/>
      <c r="G31" s="281"/>
      <c r="H31" s="281"/>
      <c r="I31" s="281"/>
      <c r="J31" s="317"/>
      <c r="K31" s="315"/>
      <c r="L31" s="315"/>
      <c r="M31" s="315"/>
      <c r="N31" s="315"/>
      <c r="O31" s="316"/>
      <c r="P31" s="307"/>
      <c r="Q31" s="307"/>
      <c r="R31" s="307"/>
      <c r="S31" s="307"/>
      <c r="T31" s="307"/>
      <c r="U31" s="308"/>
      <c r="V31" s="306"/>
      <c r="W31" s="307"/>
      <c r="X31" s="307"/>
      <c r="Y31" s="307"/>
      <c r="Z31" s="307"/>
      <c r="AA31" s="308"/>
      <c r="AB31" s="290"/>
      <c r="AC31" s="286"/>
      <c r="AD31" s="286"/>
      <c r="AE31" s="286"/>
      <c r="AF31" s="286"/>
      <c r="AG31" s="287"/>
      <c r="AH31" s="297"/>
      <c r="AI31" s="298"/>
      <c r="AJ31" s="298"/>
      <c r="AK31" s="298"/>
      <c r="AL31" s="298"/>
      <c r="AM31" s="299"/>
      <c r="AN31" s="83"/>
      <c r="AO31" s="271"/>
      <c r="AP31" s="272"/>
      <c r="AQ31" s="272"/>
      <c r="AR31" s="272"/>
      <c r="AS31" s="272"/>
      <c r="AT31" s="27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9"/>
      <c r="C32" s="239"/>
      <c r="D32" s="240"/>
      <c r="E32" s="280"/>
      <c r="F32" s="281"/>
      <c r="G32" s="281"/>
      <c r="H32" s="281"/>
      <c r="I32" s="281"/>
      <c r="J32" s="317" t="str">
        <f ca="1">IF(AND('Mapa final'!$H$28="Baja",'Mapa final'!$L$28="Leve"),CONCATENATE("R",'Mapa final'!$A$28),"")</f>
        <v/>
      </c>
      <c r="K32" s="315"/>
      <c r="L32" s="315" t="str">
        <f ca="1">IF(AND('Mapa final'!$H$34="Baja",'Mapa final'!$L$34="Leve"),CONCATENATE("R",'Mapa final'!$A$34),"")</f>
        <v/>
      </c>
      <c r="M32" s="315"/>
      <c r="N32" s="315" t="str">
        <f ca="1">IF(AND('Mapa final'!$H$40="Baja",'Mapa final'!$L$40="Leve"),CONCATENATE("R",'Mapa final'!$A$40),"")</f>
        <v/>
      </c>
      <c r="O32" s="316"/>
      <c r="P32" s="307" t="str">
        <f ca="1">IF(AND('Mapa final'!$H$28="Baja",'Mapa final'!$L$28="Menor"),CONCATENATE("R",'Mapa final'!$A$28),"")</f>
        <v/>
      </c>
      <c r="Q32" s="307"/>
      <c r="R32" s="307" t="str">
        <f ca="1">IF(AND('Mapa final'!$H$34="Baja",'Mapa final'!$L$34="Menor"),CONCATENATE("R",'Mapa final'!$A$34),"")</f>
        <v/>
      </c>
      <c r="S32" s="307"/>
      <c r="T32" s="307" t="str">
        <f ca="1">IF(AND('Mapa final'!$H$40="Baja",'Mapa final'!$L$40="Menor"),CONCATENATE("R",'Mapa final'!$A$40),"")</f>
        <v/>
      </c>
      <c r="U32" s="308"/>
      <c r="V32" s="306" t="str">
        <f ca="1">IF(AND('Mapa final'!$H$28="Baja",'Mapa final'!$L$28="Moderado"),CONCATENATE("R",'Mapa final'!$A$28),"")</f>
        <v/>
      </c>
      <c r="W32" s="307"/>
      <c r="X32" s="307" t="str">
        <f ca="1">IF(AND('Mapa final'!$H$34="Baja",'Mapa final'!$L$34="Moderado"),CONCATENATE("R",'Mapa final'!$A$34),"")</f>
        <v/>
      </c>
      <c r="Y32" s="307"/>
      <c r="Z32" s="307" t="str">
        <f ca="1">IF(AND('Mapa final'!$H$40="Baja",'Mapa final'!$L$40="Moderado"),CONCATENATE("R",'Mapa final'!$A$40),"")</f>
        <v/>
      </c>
      <c r="AA32" s="308"/>
      <c r="AB32" s="290" t="str">
        <f ca="1">IF(AND('Mapa final'!$H$28="Baja",'Mapa final'!$L$28="Mayor"),CONCATENATE("R",'Mapa final'!$A$28),"")</f>
        <v/>
      </c>
      <c r="AC32" s="286"/>
      <c r="AD32" s="286" t="str">
        <f ca="1">IF(AND('Mapa final'!$H$34="Baja",'Mapa final'!$L$34="Mayor"),CONCATENATE("R",'Mapa final'!$A$34),"")</f>
        <v/>
      </c>
      <c r="AE32" s="286"/>
      <c r="AF32" s="286" t="str">
        <f ca="1">IF(AND('Mapa final'!$H$40="Baja",'Mapa final'!$L$40="Mayor"),CONCATENATE("R",'Mapa final'!$A$40),"")</f>
        <v/>
      </c>
      <c r="AG32" s="287"/>
      <c r="AH32" s="297" t="str">
        <f ca="1">IF(AND('Mapa final'!$H$28="Baja",'Mapa final'!$L$28="Catastrófico"),CONCATENATE("R",'Mapa final'!$A$28),"")</f>
        <v/>
      </c>
      <c r="AI32" s="298"/>
      <c r="AJ32" s="298" t="str">
        <f ca="1">IF(AND('Mapa final'!$H$34="Baja",'Mapa final'!$L$34="Catastrófico"),CONCATENATE("R",'Mapa final'!$A$34),"")</f>
        <v/>
      </c>
      <c r="AK32" s="298"/>
      <c r="AL32" s="298" t="str">
        <f ca="1">IF(AND('Mapa final'!$H$40="Baja",'Mapa final'!$L$40="Catastrófico"),CONCATENATE("R",'Mapa final'!$A$40),"")</f>
        <v/>
      </c>
      <c r="AM32" s="299"/>
      <c r="AN32" s="83"/>
      <c r="AO32" s="271"/>
      <c r="AP32" s="272"/>
      <c r="AQ32" s="272"/>
      <c r="AR32" s="272"/>
      <c r="AS32" s="272"/>
      <c r="AT32" s="27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9"/>
      <c r="C33" s="239"/>
      <c r="D33" s="240"/>
      <c r="E33" s="280"/>
      <c r="F33" s="281"/>
      <c r="G33" s="281"/>
      <c r="H33" s="281"/>
      <c r="I33" s="281"/>
      <c r="J33" s="317"/>
      <c r="K33" s="315"/>
      <c r="L33" s="315"/>
      <c r="M33" s="315"/>
      <c r="N33" s="315"/>
      <c r="O33" s="316"/>
      <c r="P33" s="307"/>
      <c r="Q33" s="307"/>
      <c r="R33" s="307"/>
      <c r="S33" s="307"/>
      <c r="T33" s="307"/>
      <c r="U33" s="308"/>
      <c r="V33" s="306"/>
      <c r="W33" s="307"/>
      <c r="X33" s="307"/>
      <c r="Y33" s="307"/>
      <c r="Z33" s="307"/>
      <c r="AA33" s="308"/>
      <c r="AB33" s="290"/>
      <c r="AC33" s="286"/>
      <c r="AD33" s="286"/>
      <c r="AE33" s="286"/>
      <c r="AF33" s="286"/>
      <c r="AG33" s="287"/>
      <c r="AH33" s="297"/>
      <c r="AI33" s="298"/>
      <c r="AJ33" s="298"/>
      <c r="AK33" s="298"/>
      <c r="AL33" s="298"/>
      <c r="AM33" s="299"/>
      <c r="AN33" s="83"/>
      <c r="AO33" s="271"/>
      <c r="AP33" s="272"/>
      <c r="AQ33" s="272"/>
      <c r="AR33" s="272"/>
      <c r="AS33" s="272"/>
      <c r="AT33" s="27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9"/>
      <c r="C34" s="239"/>
      <c r="D34" s="240"/>
      <c r="E34" s="280"/>
      <c r="F34" s="281"/>
      <c r="G34" s="281"/>
      <c r="H34" s="281"/>
      <c r="I34" s="281"/>
      <c r="J34" s="317" t="str">
        <f ca="1">IF(AND('Mapa final'!$H$46="Baja",'Mapa final'!$L$46="Leve"),CONCATENATE("R",'Mapa final'!$A$46),"")</f>
        <v/>
      </c>
      <c r="K34" s="315"/>
      <c r="L34" s="315" t="str">
        <f ca="1">IF(AND('Mapa final'!$H$52="Baja",'Mapa final'!$L$52="Leve"),CONCATENATE("R",'Mapa final'!$A$52),"")</f>
        <v/>
      </c>
      <c r="M34" s="315"/>
      <c r="N34" s="315" t="str">
        <f ca="1">IF(AND('Mapa final'!$H$58="Baja",'Mapa final'!$L$58="Leve"),CONCATENATE("R",'Mapa final'!$A$58),"")</f>
        <v/>
      </c>
      <c r="O34" s="316"/>
      <c r="P34" s="307" t="str">
        <f ca="1">IF(AND('Mapa final'!$H$46="Baja",'Mapa final'!$L$46="Menor"),CONCATENATE("R",'Mapa final'!$A$46),"")</f>
        <v/>
      </c>
      <c r="Q34" s="307"/>
      <c r="R34" s="307" t="str">
        <f ca="1">IF(AND('Mapa final'!$H$52="Baja",'Mapa final'!$L$52="Menor"),CONCATENATE("R",'Mapa final'!$A$52),"")</f>
        <v/>
      </c>
      <c r="S34" s="307"/>
      <c r="T34" s="307" t="str">
        <f ca="1">IF(AND('Mapa final'!$H$58="Baja",'Mapa final'!$L$58="Menor"),CONCATENATE("R",'Mapa final'!$A$58),"")</f>
        <v/>
      </c>
      <c r="U34" s="308"/>
      <c r="V34" s="306" t="str">
        <f ca="1">IF(AND('Mapa final'!$H$46="Baja",'Mapa final'!$L$46="Moderado"),CONCATENATE("R",'Mapa final'!$A$46),"")</f>
        <v/>
      </c>
      <c r="W34" s="307"/>
      <c r="X34" s="307" t="str">
        <f ca="1">IF(AND('Mapa final'!$H$52="Baja",'Mapa final'!$L$52="Moderado"),CONCATENATE("R",'Mapa final'!$A$52),"")</f>
        <v/>
      </c>
      <c r="Y34" s="307"/>
      <c r="Z34" s="307" t="str">
        <f ca="1">IF(AND('Mapa final'!$H$58="Baja",'Mapa final'!$L$58="Moderado"),CONCATENATE("R",'Mapa final'!$A$58),"")</f>
        <v/>
      </c>
      <c r="AA34" s="308"/>
      <c r="AB34" s="290" t="str">
        <f ca="1">IF(AND('Mapa final'!$H$46="Baja",'Mapa final'!$L$46="Mayor"),CONCATENATE("R",'Mapa final'!$A$46),"")</f>
        <v/>
      </c>
      <c r="AC34" s="286"/>
      <c r="AD34" s="286" t="str">
        <f ca="1">IF(AND('Mapa final'!$H$52="Baja",'Mapa final'!$L$52="Mayor"),CONCATENATE("R",'Mapa final'!$A$52),"")</f>
        <v/>
      </c>
      <c r="AE34" s="286"/>
      <c r="AF34" s="286" t="str">
        <f ca="1">IF(AND('Mapa final'!$H$58="Baja",'Mapa final'!$L$58="Mayor"),CONCATENATE("R",'Mapa final'!$A$58),"")</f>
        <v/>
      </c>
      <c r="AG34" s="287"/>
      <c r="AH34" s="297" t="str">
        <f ca="1">IF(AND('Mapa final'!$H$46="Baja",'Mapa final'!$L$46="Catastrófico"),CONCATENATE("R",'Mapa final'!$A$46),"")</f>
        <v/>
      </c>
      <c r="AI34" s="298"/>
      <c r="AJ34" s="298" t="str">
        <f ca="1">IF(AND('Mapa final'!$H$52="Baja",'Mapa final'!$L$52="Catastrófico"),CONCATENATE("R",'Mapa final'!$A$52),"")</f>
        <v/>
      </c>
      <c r="AK34" s="298"/>
      <c r="AL34" s="298" t="str">
        <f ca="1">IF(AND('Mapa final'!$H$58="Baja",'Mapa final'!$L$58="Catastrófico"),CONCATENATE("R",'Mapa final'!$A$58),"")</f>
        <v/>
      </c>
      <c r="AM34" s="299"/>
      <c r="AN34" s="83"/>
      <c r="AO34" s="271"/>
      <c r="AP34" s="272"/>
      <c r="AQ34" s="272"/>
      <c r="AR34" s="272"/>
      <c r="AS34" s="272"/>
      <c r="AT34" s="27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9"/>
      <c r="C35" s="239"/>
      <c r="D35" s="240"/>
      <c r="E35" s="280"/>
      <c r="F35" s="281"/>
      <c r="G35" s="281"/>
      <c r="H35" s="281"/>
      <c r="I35" s="281"/>
      <c r="J35" s="317"/>
      <c r="K35" s="315"/>
      <c r="L35" s="315"/>
      <c r="M35" s="315"/>
      <c r="N35" s="315"/>
      <c r="O35" s="316"/>
      <c r="P35" s="307"/>
      <c r="Q35" s="307"/>
      <c r="R35" s="307"/>
      <c r="S35" s="307"/>
      <c r="T35" s="307"/>
      <c r="U35" s="308"/>
      <c r="V35" s="306"/>
      <c r="W35" s="307"/>
      <c r="X35" s="307"/>
      <c r="Y35" s="307"/>
      <c r="Z35" s="307"/>
      <c r="AA35" s="308"/>
      <c r="AB35" s="290"/>
      <c r="AC35" s="286"/>
      <c r="AD35" s="286"/>
      <c r="AE35" s="286"/>
      <c r="AF35" s="286"/>
      <c r="AG35" s="287"/>
      <c r="AH35" s="297"/>
      <c r="AI35" s="298"/>
      <c r="AJ35" s="298"/>
      <c r="AK35" s="298"/>
      <c r="AL35" s="298"/>
      <c r="AM35" s="299"/>
      <c r="AN35" s="83"/>
      <c r="AO35" s="271"/>
      <c r="AP35" s="272"/>
      <c r="AQ35" s="272"/>
      <c r="AR35" s="272"/>
      <c r="AS35" s="272"/>
      <c r="AT35" s="27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9"/>
      <c r="C36" s="239"/>
      <c r="D36" s="240"/>
      <c r="E36" s="280"/>
      <c r="F36" s="281"/>
      <c r="G36" s="281"/>
      <c r="H36" s="281"/>
      <c r="I36" s="281"/>
      <c r="J36" s="317" t="str">
        <f ca="1">IF(AND('Mapa final'!$H$64="Baja",'Mapa final'!$L$64="Leve"),CONCATENATE("R",'Mapa final'!$A$64),"")</f>
        <v/>
      </c>
      <c r="K36" s="315"/>
      <c r="L36" s="315" t="str">
        <f>IF(AND('Mapa final'!$H$70="Baja",'Mapa final'!$L$70="Leve"),CONCATENATE("R",'Mapa final'!$A$70),"")</f>
        <v/>
      </c>
      <c r="M36" s="315"/>
      <c r="N36" s="315" t="str">
        <f>IF(AND('Mapa final'!$H$76="Baja",'Mapa final'!$L$76="Leve"),CONCATENATE("R",'Mapa final'!$A$76),"")</f>
        <v/>
      </c>
      <c r="O36" s="316"/>
      <c r="P36" s="307" t="str">
        <f ca="1">IF(AND('Mapa final'!$H$64="Baja",'Mapa final'!$L$64="Menor"),CONCATENATE("R",'Mapa final'!$A$64),"")</f>
        <v/>
      </c>
      <c r="Q36" s="307"/>
      <c r="R36" s="307" t="str">
        <f>IF(AND('Mapa final'!$H$70="Baja",'Mapa final'!$L$70="Menor"),CONCATENATE("R",'Mapa final'!$A$70),"")</f>
        <v/>
      </c>
      <c r="S36" s="307"/>
      <c r="T36" s="307" t="str">
        <f>IF(AND('Mapa final'!$H$76="Baja",'Mapa final'!$L$76="Menor"),CONCATENATE("R",'Mapa final'!$A$76),"")</f>
        <v/>
      </c>
      <c r="U36" s="308"/>
      <c r="V36" s="306" t="str">
        <f ca="1">IF(AND('Mapa final'!$H$64="Baja",'Mapa final'!$L$64="Moderado"),CONCATENATE("R",'Mapa final'!$A$64),"")</f>
        <v/>
      </c>
      <c r="W36" s="307"/>
      <c r="X36" s="307" t="str">
        <f>IF(AND('Mapa final'!$H$70="Baja",'Mapa final'!$L$70="Moderado"),CONCATENATE("R",'Mapa final'!$A$70),"")</f>
        <v/>
      </c>
      <c r="Y36" s="307"/>
      <c r="Z36" s="307" t="str">
        <f>IF(AND('Mapa final'!$H$76="Baja",'Mapa final'!$L$76="Moderado"),CONCATENATE("R",'Mapa final'!$A$76),"")</f>
        <v/>
      </c>
      <c r="AA36" s="308"/>
      <c r="AB36" s="290" t="str">
        <f ca="1">IF(AND('Mapa final'!$H$64="Baja",'Mapa final'!$L$64="Mayor"),CONCATENATE("R",'Mapa final'!$A$64),"")</f>
        <v/>
      </c>
      <c r="AC36" s="286"/>
      <c r="AD36" s="286" t="str">
        <f>IF(AND('Mapa final'!$H$70="Baja",'Mapa final'!$L$70="Mayor"),CONCATENATE("R",'Mapa final'!$A$70),"")</f>
        <v/>
      </c>
      <c r="AE36" s="286"/>
      <c r="AF36" s="286" t="str">
        <f>IF(AND('Mapa final'!$H$76="Baja",'Mapa final'!$L$76="Mayor"),CONCATENATE("R",'Mapa final'!$A$76),"")</f>
        <v/>
      </c>
      <c r="AG36" s="287"/>
      <c r="AH36" s="297" t="str">
        <f ca="1">IF(AND('Mapa final'!$H$64="Baja",'Mapa final'!$L$64="Catastrófico"),CONCATENATE("R",'Mapa final'!$A$64),"")</f>
        <v/>
      </c>
      <c r="AI36" s="298"/>
      <c r="AJ36" s="298" t="str">
        <f>IF(AND('Mapa final'!$H$70="Baja",'Mapa final'!$L$70="Catastrófico"),CONCATENATE("R",'Mapa final'!$A$70),"")</f>
        <v/>
      </c>
      <c r="AK36" s="298"/>
      <c r="AL36" s="298" t="str">
        <f>IF(AND('Mapa final'!$H$76="Baja",'Mapa final'!$L$76="Catastrófico"),CONCATENATE("R",'Mapa final'!$A$76),"")</f>
        <v/>
      </c>
      <c r="AM36" s="299"/>
      <c r="AN36" s="83"/>
      <c r="AO36" s="271"/>
      <c r="AP36" s="272"/>
      <c r="AQ36" s="272"/>
      <c r="AR36" s="272"/>
      <c r="AS36" s="272"/>
      <c r="AT36" s="27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9"/>
      <c r="C37" s="239"/>
      <c r="D37" s="240"/>
      <c r="E37" s="283"/>
      <c r="F37" s="284"/>
      <c r="G37" s="284"/>
      <c r="H37" s="284"/>
      <c r="I37" s="284"/>
      <c r="J37" s="318"/>
      <c r="K37" s="319"/>
      <c r="L37" s="319"/>
      <c r="M37" s="319"/>
      <c r="N37" s="319"/>
      <c r="O37" s="320"/>
      <c r="P37" s="310"/>
      <c r="Q37" s="310"/>
      <c r="R37" s="310"/>
      <c r="S37" s="310"/>
      <c r="T37" s="310"/>
      <c r="U37" s="311"/>
      <c r="V37" s="309"/>
      <c r="W37" s="310"/>
      <c r="X37" s="310"/>
      <c r="Y37" s="310"/>
      <c r="Z37" s="310"/>
      <c r="AA37" s="311"/>
      <c r="AB37" s="294"/>
      <c r="AC37" s="295"/>
      <c r="AD37" s="295"/>
      <c r="AE37" s="295"/>
      <c r="AF37" s="295"/>
      <c r="AG37" s="296"/>
      <c r="AH37" s="300"/>
      <c r="AI37" s="301"/>
      <c r="AJ37" s="301"/>
      <c r="AK37" s="301"/>
      <c r="AL37" s="301"/>
      <c r="AM37" s="302"/>
      <c r="AN37" s="83"/>
      <c r="AO37" s="274"/>
      <c r="AP37" s="275"/>
      <c r="AQ37" s="275"/>
      <c r="AR37" s="275"/>
      <c r="AS37" s="275"/>
      <c r="AT37" s="27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9"/>
      <c r="C38" s="239"/>
      <c r="D38" s="240"/>
      <c r="E38" s="277" t="s">
        <v>113</v>
      </c>
      <c r="F38" s="278"/>
      <c r="G38" s="278"/>
      <c r="H38" s="278"/>
      <c r="I38" s="279"/>
      <c r="J38" s="321" t="str">
        <f ca="1">IF(AND('Mapa final'!$H$10="Muy Baja",'Mapa final'!$L$10="Leve"),CONCATENATE("R",'Mapa final'!$A$10),"")</f>
        <v/>
      </c>
      <c r="K38" s="322"/>
      <c r="L38" s="322" t="str">
        <f ca="1">IF(AND('Mapa final'!$H$16="Muy Baja",'Mapa final'!$L$16="Leve"),CONCATENATE("R",'Mapa final'!$A$16),"")</f>
        <v/>
      </c>
      <c r="M38" s="322"/>
      <c r="N38" s="322" t="str">
        <f ca="1">IF(AND('Mapa final'!$H$22="Muy Baja",'Mapa final'!$L$22="Leve"),CONCATENATE("R",'Mapa final'!$A$22),"")</f>
        <v/>
      </c>
      <c r="O38" s="323"/>
      <c r="P38" s="321" t="str">
        <f ca="1">IF(AND('Mapa final'!$H$10="Muy Baja",'Mapa final'!$L$10="Menor"),CONCATENATE("R",'Mapa final'!$A$10),"")</f>
        <v>R1</v>
      </c>
      <c r="Q38" s="322"/>
      <c r="R38" s="322" t="str">
        <f ca="1">IF(AND('Mapa final'!$H$16="Muy Baja",'Mapa final'!$L$16="Menor"),CONCATENATE("R",'Mapa final'!$A$16),"")</f>
        <v/>
      </c>
      <c r="S38" s="322"/>
      <c r="T38" s="322" t="str">
        <f ca="1">IF(AND('Mapa final'!$H$22="Muy Baja",'Mapa final'!$L$22="Menor"),CONCATENATE("R",'Mapa final'!$A$22),"")</f>
        <v/>
      </c>
      <c r="U38" s="323"/>
      <c r="V38" s="312" t="str">
        <f ca="1">IF(AND('Mapa final'!$H$10="Muy Baja",'Mapa final'!$L$10="Moderado"),CONCATENATE("R",'Mapa final'!$A$10),"")</f>
        <v/>
      </c>
      <c r="W38" s="313"/>
      <c r="X38" s="313" t="str">
        <f ca="1">IF(AND('Mapa final'!$H$16="Muy Baja",'Mapa final'!$L$16="Moderado"),CONCATENATE("R",'Mapa final'!$A$16),"")</f>
        <v>R2</v>
      </c>
      <c r="Y38" s="313"/>
      <c r="Z38" s="313" t="str">
        <f ca="1">IF(AND('Mapa final'!$H$22="Muy Baja",'Mapa final'!$L$22="Moderado"),CONCATENATE("R",'Mapa final'!$A$22),"")</f>
        <v/>
      </c>
      <c r="AA38" s="314"/>
      <c r="AB38" s="288" t="str">
        <f ca="1">IF(AND('Mapa final'!$H$10="Muy Baja",'Mapa final'!$L$10="Mayor"),CONCATENATE("R",'Mapa final'!$A$10),"")</f>
        <v/>
      </c>
      <c r="AC38" s="289"/>
      <c r="AD38" s="289" t="str">
        <f ca="1">IF(AND('Mapa final'!$H$16="Muy Baja",'Mapa final'!$L$16="Mayor"),CONCATENATE("R",'Mapa final'!$A$16),"")</f>
        <v/>
      </c>
      <c r="AE38" s="289"/>
      <c r="AF38" s="289" t="str">
        <f ca="1">IF(AND('Mapa final'!$H$22="Muy Baja",'Mapa final'!$L$22="Mayor"),CONCATENATE("R",'Mapa final'!$A$22),"")</f>
        <v/>
      </c>
      <c r="AG38" s="291"/>
      <c r="AH38" s="303" t="str">
        <f ca="1">IF(AND('Mapa final'!$H$10="Muy Baja",'Mapa final'!$L$10="Catastrófico"),CONCATENATE("R",'Mapa final'!$A$10),"")</f>
        <v/>
      </c>
      <c r="AI38" s="304"/>
      <c r="AJ38" s="304" t="str">
        <f ca="1">IF(AND('Mapa final'!$H$16="Muy Baja",'Mapa final'!$L$16="Catastrófico"),CONCATENATE("R",'Mapa final'!$A$16),"")</f>
        <v/>
      </c>
      <c r="AK38" s="304"/>
      <c r="AL38" s="304" t="str">
        <f ca="1">IF(AND('Mapa final'!$H$22="Muy Baja",'Mapa final'!$L$22="Catastrófico"),CONCATENATE("R",'Mapa final'!$A$22),"")</f>
        <v/>
      </c>
      <c r="AM38" s="30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9"/>
      <c r="C39" s="239"/>
      <c r="D39" s="240"/>
      <c r="E39" s="280"/>
      <c r="F39" s="281"/>
      <c r="G39" s="281"/>
      <c r="H39" s="281"/>
      <c r="I39" s="282"/>
      <c r="J39" s="317"/>
      <c r="K39" s="315"/>
      <c r="L39" s="315"/>
      <c r="M39" s="315"/>
      <c r="N39" s="315"/>
      <c r="O39" s="316"/>
      <c r="P39" s="317"/>
      <c r="Q39" s="315"/>
      <c r="R39" s="315"/>
      <c r="S39" s="315"/>
      <c r="T39" s="315"/>
      <c r="U39" s="316"/>
      <c r="V39" s="306"/>
      <c r="W39" s="307"/>
      <c r="X39" s="307"/>
      <c r="Y39" s="307"/>
      <c r="Z39" s="307"/>
      <c r="AA39" s="308"/>
      <c r="AB39" s="290"/>
      <c r="AC39" s="286"/>
      <c r="AD39" s="286"/>
      <c r="AE39" s="286"/>
      <c r="AF39" s="286"/>
      <c r="AG39" s="287"/>
      <c r="AH39" s="297"/>
      <c r="AI39" s="298"/>
      <c r="AJ39" s="298"/>
      <c r="AK39" s="298"/>
      <c r="AL39" s="298"/>
      <c r="AM39" s="29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9"/>
      <c r="C40" s="239"/>
      <c r="D40" s="240"/>
      <c r="E40" s="280"/>
      <c r="F40" s="281"/>
      <c r="G40" s="281"/>
      <c r="H40" s="281"/>
      <c r="I40" s="282"/>
      <c r="J40" s="317" t="str">
        <f ca="1">IF(AND('Mapa final'!$H$28="Muy Baja",'Mapa final'!$L$28="Leve"),CONCATENATE("R",'Mapa final'!$A$28),"")</f>
        <v/>
      </c>
      <c r="K40" s="315"/>
      <c r="L40" s="315" t="str">
        <f ca="1">IF(AND('Mapa final'!$H$34="Muy Baja",'Mapa final'!$L$34="Leve"),CONCATENATE("R",'Mapa final'!$A$34),"")</f>
        <v/>
      </c>
      <c r="M40" s="315"/>
      <c r="N40" s="315" t="str">
        <f ca="1">IF(AND('Mapa final'!$H$40="Muy Baja",'Mapa final'!$L$40="Leve"),CONCATENATE("R",'Mapa final'!$A$40),"")</f>
        <v/>
      </c>
      <c r="O40" s="316"/>
      <c r="P40" s="317" t="str">
        <f ca="1">IF(AND('Mapa final'!$H$28="Muy Baja",'Mapa final'!$L$28="Menor"),CONCATENATE("R",'Mapa final'!$A$28),"")</f>
        <v/>
      </c>
      <c r="Q40" s="315"/>
      <c r="R40" s="315" t="str">
        <f ca="1">IF(AND('Mapa final'!$H$34="Muy Baja",'Mapa final'!$L$34="Menor"),CONCATENATE("R",'Mapa final'!$A$34),"")</f>
        <v>R5</v>
      </c>
      <c r="S40" s="315"/>
      <c r="T40" s="315" t="str">
        <f ca="1">IF(AND('Mapa final'!$H$40="Muy Baja",'Mapa final'!$L$40="Menor"),CONCATENATE("R",'Mapa final'!$A$40),"")</f>
        <v/>
      </c>
      <c r="U40" s="316"/>
      <c r="V40" s="306" t="str">
        <f ca="1">IF(AND('Mapa final'!$H$28="Muy Baja",'Mapa final'!$L$28="Moderado"),CONCATENATE("R",'Mapa final'!$A$28),"")</f>
        <v/>
      </c>
      <c r="W40" s="307"/>
      <c r="X40" s="307" t="str">
        <f ca="1">IF(AND('Mapa final'!$H$34="Muy Baja",'Mapa final'!$L$34="Moderado"),CONCATENATE("R",'Mapa final'!$A$34),"")</f>
        <v/>
      </c>
      <c r="Y40" s="307"/>
      <c r="Z40" s="307" t="str">
        <f ca="1">IF(AND('Mapa final'!$H$40="Muy Baja",'Mapa final'!$L$40="Moderado"),CONCATENATE("R",'Mapa final'!$A$40),"")</f>
        <v/>
      </c>
      <c r="AA40" s="308"/>
      <c r="AB40" s="290" t="str">
        <f ca="1">IF(AND('Mapa final'!$H$28="Muy Baja",'Mapa final'!$L$28="Mayor"),CONCATENATE("R",'Mapa final'!$A$28),"")</f>
        <v>R4</v>
      </c>
      <c r="AC40" s="286"/>
      <c r="AD40" s="286" t="str">
        <f ca="1">IF(AND('Mapa final'!$H$34="Muy Baja",'Mapa final'!$L$34="Mayor"),CONCATENATE("R",'Mapa final'!$A$34),"")</f>
        <v/>
      </c>
      <c r="AE40" s="286"/>
      <c r="AF40" s="286" t="str">
        <f ca="1">IF(AND('Mapa final'!$H$40="Muy Baja",'Mapa final'!$L$40="Mayor"),CONCATENATE("R",'Mapa final'!$A$40),"")</f>
        <v/>
      </c>
      <c r="AG40" s="287"/>
      <c r="AH40" s="297" t="str">
        <f ca="1">IF(AND('Mapa final'!$H$28="Muy Baja",'Mapa final'!$L$28="Catastrófico"),CONCATENATE("R",'Mapa final'!$A$28),"")</f>
        <v/>
      </c>
      <c r="AI40" s="298"/>
      <c r="AJ40" s="298" t="str">
        <f ca="1">IF(AND('Mapa final'!$H$34="Muy Baja",'Mapa final'!$L$34="Catastrófico"),CONCATENATE("R",'Mapa final'!$A$34),"")</f>
        <v/>
      </c>
      <c r="AK40" s="298"/>
      <c r="AL40" s="298" t="str">
        <f ca="1">IF(AND('Mapa final'!$H$40="Muy Baja",'Mapa final'!$L$40="Catastrófico"),CONCATENATE("R",'Mapa final'!$A$40),"")</f>
        <v/>
      </c>
      <c r="AM40" s="29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9"/>
      <c r="C41" s="239"/>
      <c r="D41" s="240"/>
      <c r="E41" s="280"/>
      <c r="F41" s="281"/>
      <c r="G41" s="281"/>
      <c r="H41" s="281"/>
      <c r="I41" s="282"/>
      <c r="J41" s="317"/>
      <c r="K41" s="315"/>
      <c r="L41" s="315"/>
      <c r="M41" s="315"/>
      <c r="N41" s="315"/>
      <c r="O41" s="316"/>
      <c r="P41" s="317"/>
      <c r="Q41" s="315"/>
      <c r="R41" s="315"/>
      <c r="S41" s="315"/>
      <c r="T41" s="315"/>
      <c r="U41" s="316"/>
      <c r="V41" s="306"/>
      <c r="W41" s="307"/>
      <c r="X41" s="307"/>
      <c r="Y41" s="307"/>
      <c r="Z41" s="307"/>
      <c r="AA41" s="308"/>
      <c r="AB41" s="290"/>
      <c r="AC41" s="286"/>
      <c r="AD41" s="286"/>
      <c r="AE41" s="286"/>
      <c r="AF41" s="286"/>
      <c r="AG41" s="287"/>
      <c r="AH41" s="297"/>
      <c r="AI41" s="298"/>
      <c r="AJ41" s="298"/>
      <c r="AK41" s="298"/>
      <c r="AL41" s="298"/>
      <c r="AM41" s="29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9"/>
      <c r="C42" s="239"/>
      <c r="D42" s="240"/>
      <c r="E42" s="280"/>
      <c r="F42" s="281"/>
      <c r="G42" s="281"/>
      <c r="H42" s="281"/>
      <c r="I42" s="282"/>
      <c r="J42" s="317" t="str">
        <f ca="1">IF(AND('Mapa final'!$H$46="Muy Baja",'Mapa final'!$L$46="Leve"),CONCATENATE("R",'Mapa final'!$A$46),"")</f>
        <v/>
      </c>
      <c r="K42" s="315"/>
      <c r="L42" s="315" t="str">
        <f ca="1">IF(AND('Mapa final'!$H$52="Muy Baja",'Mapa final'!$L$52="Leve"),CONCATENATE("R",'Mapa final'!$A$52),"")</f>
        <v/>
      </c>
      <c r="M42" s="315"/>
      <c r="N42" s="315" t="str">
        <f ca="1">IF(AND('Mapa final'!$H$58="Muy Baja",'Mapa final'!$L$58="Leve"),CONCATENATE("R",'Mapa final'!$A$58),"")</f>
        <v/>
      </c>
      <c r="O42" s="316"/>
      <c r="P42" s="317" t="str">
        <f ca="1">IF(AND('Mapa final'!$H$46="Muy Baja",'Mapa final'!$L$46="Menor"),CONCATENATE("R",'Mapa final'!$A$46),"")</f>
        <v/>
      </c>
      <c r="Q42" s="315"/>
      <c r="R42" s="315" t="str">
        <f ca="1">IF(AND('Mapa final'!$H$52="Muy Baja",'Mapa final'!$L$52="Menor"),CONCATENATE("R",'Mapa final'!$A$52),"")</f>
        <v/>
      </c>
      <c r="S42" s="315"/>
      <c r="T42" s="315" t="str">
        <f ca="1">IF(AND('Mapa final'!$H$58="Muy Baja",'Mapa final'!$L$58="Menor"),CONCATENATE("R",'Mapa final'!$A$58),"")</f>
        <v/>
      </c>
      <c r="U42" s="316"/>
      <c r="V42" s="306" t="str">
        <f ca="1">IF(AND('Mapa final'!$H$46="Muy Baja",'Mapa final'!$L$46="Moderado"),CONCATENATE("R",'Mapa final'!$A$46),"")</f>
        <v/>
      </c>
      <c r="W42" s="307"/>
      <c r="X42" s="307" t="str">
        <f ca="1">IF(AND('Mapa final'!$H$52="Muy Baja",'Mapa final'!$L$52="Moderado"),CONCATENATE("R",'Mapa final'!$A$52),"")</f>
        <v/>
      </c>
      <c r="Y42" s="307"/>
      <c r="Z42" s="307" t="str">
        <f ca="1">IF(AND('Mapa final'!$H$58="Muy Baja",'Mapa final'!$L$58="Moderado"),CONCATENATE("R",'Mapa final'!$A$58),"")</f>
        <v/>
      </c>
      <c r="AA42" s="308"/>
      <c r="AB42" s="290" t="str">
        <f ca="1">IF(AND('Mapa final'!$H$46="Muy Baja",'Mapa final'!$L$46="Mayor"),CONCATENATE("R",'Mapa final'!$A$46),"")</f>
        <v/>
      </c>
      <c r="AC42" s="286"/>
      <c r="AD42" s="286" t="str">
        <f ca="1">IF(AND('Mapa final'!$H$52="Muy Baja",'Mapa final'!$L$52="Mayor"),CONCATENATE("R",'Mapa final'!$A$52),"")</f>
        <v/>
      </c>
      <c r="AE42" s="286"/>
      <c r="AF42" s="286" t="str">
        <f ca="1">IF(AND('Mapa final'!$H$58="Muy Baja",'Mapa final'!$L$58="Mayor"),CONCATENATE("R",'Mapa final'!$A$58),"")</f>
        <v/>
      </c>
      <c r="AG42" s="287"/>
      <c r="AH42" s="297" t="str">
        <f ca="1">IF(AND('Mapa final'!$H$46="Muy Baja",'Mapa final'!$L$46="Catastrófico"),CONCATENATE("R",'Mapa final'!$A$46),"")</f>
        <v/>
      </c>
      <c r="AI42" s="298"/>
      <c r="AJ42" s="298" t="str">
        <f ca="1">IF(AND('Mapa final'!$H$52="Muy Baja",'Mapa final'!$L$52="Catastrófico"),CONCATENATE("R",'Mapa final'!$A$52),"")</f>
        <v/>
      </c>
      <c r="AK42" s="298"/>
      <c r="AL42" s="298" t="str">
        <f ca="1">IF(AND('Mapa final'!$H$58="Muy Baja",'Mapa final'!$L$58="Catastrófico"),CONCATENATE("R",'Mapa final'!$A$58),"")</f>
        <v/>
      </c>
      <c r="AM42" s="29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9"/>
      <c r="C43" s="239"/>
      <c r="D43" s="240"/>
      <c r="E43" s="280"/>
      <c r="F43" s="281"/>
      <c r="G43" s="281"/>
      <c r="H43" s="281"/>
      <c r="I43" s="282"/>
      <c r="J43" s="317"/>
      <c r="K43" s="315"/>
      <c r="L43" s="315"/>
      <c r="M43" s="315"/>
      <c r="N43" s="315"/>
      <c r="O43" s="316"/>
      <c r="P43" s="317"/>
      <c r="Q43" s="315"/>
      <c r="R43" s="315"/>
      <c r="S43" s="315"/>
      <c r="T43" s="315"/>
      <c r="U43" s="316"/>
      <c r="V43" s="306"/>
      <c r="W43" s="307"/>
      <c r="X43" s="307"/>
      <c r="Y43" s="307"/>
      <c r="Z43" s="307"/>
      <c r="AA43" s="308"/>
      <c r="AB43" s="290"/>
      <c r="AC43" s="286"/>
      <c r="AD43" s="286"/>
      <c r="AE43" s="286"/>
      <c r="AF43" s="286"/>
      <c r="AG43" s="287"/>
      <c r="AH43" s="297"/>
      <c r="AI43" s="298"/>
      <c r="AJ43" s="298"/>
      <c r="AK43" s="298"/>
      <c r="AL43" s="298"/>
      <c r="AM43" s="29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9"/>
      <c r="C44" s="239"/>
      <c r="D44" s="240"/>
      <c r="E44" s="280"/>
      <c r="F44" s="281"/>
      <c r="G44" s="281"/>
      <c r="H44" s="281"/>
      <c r="I44" s="282"/>
      <c r="J44" s="317" t="str">
        <f ca="1">IF(AND('Mapa final'!$H$64="Muy Baja",'Mapa final'!$L$64="Leve"),CONCATENATE("R",'Mapa final'!$A$64),"")</f>
        <v/>
      </c>
      <c r="K44" s="315"/>
      <c r="L44" s="315" t="str">
        <f>IF(AND('Mapa final'!$H$70="Muy Baja",'Mapa final'!$L$70="Leve"),CONCATENATE("R",'Mapa final'!$A$70),"")</f>
        <v/>
      </c>
      <c r="M44" s="315"/>
      <c r="N44" s="315" t="str">
        <f>IF(AND('Mapa final'!$H$76="Muy Baja",'Mapa final'!$L$76="Leve"),CONCATENATE("R",'Mapa final'!$A$76),"")</f>
        <v/>
      </c>
      <c r="O44" s="316"/>
      <c r="P44" s="317" t="str">
        <f ca="1">IF(AND('Mapa final'!$H$64="Muy Baja",'Mapa final'!$L$64="Menor"),CONCATENATE("R",'Mapa final'!$A$64),"")</f>
        <v/>
      </c>
      <c r="Q44" s="315"/>
      <c r="R44" s="315" t="str">
        <f>IF(AND('Mapa final'!$H$70="Muy Baja",'Mapa final'!$L$70="Menor"),CONCATENATE("R",'Mapa final'!$A$70),"")</f>
        <v/>
      </c>
      <c r="S44" s="315"/>
      <c r="T44" s="315" t="str">
        <f>IF(AND('Mapa final'!$H$76="Muy Baja",'Mapa final'!$L$76="Menor"),CONCATENATE("R",'Mapa final'!$A$76),"")</f>
        <v/>
      </c>
      <c r="U44" s="316"/>
      <c r="V44" s="306" t="str">
        <f ca="1">IF(AND('Mapa final'!$H$64="Muy Baja",'Mapa final'!$L$64="Moderado"),CONCATENATE("R",'Mapa final'!$A$64),"")</f>
        <v/>
      </c>
      <c r="W44" s="307"/>
      <c r="X44" s="307" t="str">
        <f>IF(AND('Mapa final'!$H$70="Muy Baja",'Mapa final'!$L$70="Moderado"),CONCATENATE("R",'Mapa final'!$A$70),"")</f>
        <v/>
      </c>
      <c r="Y44" s="307"/>
      <c r="Z44" s="307" t="str">
        <f>IF(AND('Mapa final'!$H$76="Muy Baja",'Mapa final'!$L$76="Moderado"),CONCATENATE("R",'Mapa final'!$A$76),"")</f>
        <v/>
      </c>
      <c r="AA44" s="308"/>
      <c r="AB44" s="290" t="str">
        <f ca="1">IF(AND('Mapa final'!$H$64="Muy Baja",'Mapa final'!$L$64="Mayor"),CONCATENATE("R",'Mapa final'!$A$64),"")</f>
        <v/>
      </c>
      <c r="AC44" s="286"/>
      <c r="AD44" s="286" t="str">
        <f>IF(AND('Mapa final'!$H$70="Muy Baja",'Mapa final'!$L$70="Mayor"),CONCATENATE("R",'Mapa final'!$A$70),"")</f>
        <v/>
      </c>
      <c r="AE44" s="286"/>
      <c r="AF44" s="286" t="str">
        <f>IF(AND('Mapa final'!$H$76="Muy Baja",'Mapa final'!$L$76="Mayor"),CONCATENATE("R",'Mapa final'!$A$76),"")</f>
        <v/>
      </c>
      <c r="AG44" s="287"/>
      <c r="AH44" s="297" t="str">
        <f ca="1">IF(AND('Mapa final'!$H$64="Muy Baja",'Mapa final'!$L$64="Catastrófico"),CONCATENATE("R",'Mapa final'!$A$64),"")</f>
        <v/>
      </c>
      <c r="AI44" s="298"/>
      <c r="AJ44" s="298" t="str">
        <f>IF(AND('Mapa final'!$H$70="Muy Baja",'Mapa final'!$L$70="Catastrófico"),CONCATENATE("R",'Mapa final'!$A$70),"")</f>
        <v/>
      </c>
      <c r="AK44" s="298"/>
      <c r="AL44" s="298" t="str">
        <f>IF(AND('Mapa final'!$H$76="Muy Baja",'Mapa final'!$L$76="Catastrófico"),CONCATENATE("R",'Mapa final'!$A$76),"")</f>
        <v/>
      </c>
      <c r="AM44" s="29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9"/>
      <c r="C45" s="239"/>
      <c r="D45" s="240"/>
      <c r="E45" s="283"/>
      <c r="F45" s="284"/>
      <c r="G45" s="284"/>
      <c r="H45" s="284"/>
      <c r="I45" s="285"/>
      <c r="J45" s="318"/>
      <c r="K45" s="319"/>
      <c r="L45" s="319"/>
      <c r="M45" s="319"/>
      <c r="N45" s="319"/>
      <c r="O45" s="320"/>
      <c r="P45" s="318"/>
      <c r="Q45" s="319"/>
      <c r="R45" s="319"/>
      <c r="S45" s="319"/>
      <c r="T45" s="319"/>
      <c r="U45" s="320"/>
      <c r="V45" s="309"/>
      <c r="W45" s="310"/>
      <c r="X45" s="310"/>
      <c r="Y45" s="310"/>
      <c r="Z45" s="310"/>
      <c r="AA45" s="311"/>
      <c r="AB45" s="294"/>
      <c r="AC45" s="295"/>
      <c r="AD45" s="295"/>
      <c r="AE45" s="295"/>
      <c r="AF45" s="295"/>
      <c r="AG45" s="296"/>
      <c r="AH45" s="300"/>
      <c r="AI45" s="301"/>
      <c r="AJ45" s="301"/>
      <c r="AK45" s="301"/>
      <c r="AL45" s="301"/>
      <c r="AM45" s="30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93"/>
      <c r="AD46" s="278"/>
      <c r="AE46" s="278"/>
      <c r="AF46" s="278"/>
      <c r="AG46" s="279"/>
      <c r="AH46" s="277" t="s">
        <v>108</v>
      </c>
      <c r="AI46" s="278"/>
      <c r="AJ46" s="278"/>
      <c r="AK46" s="278"/>
      <c r="AL46" s="278"/>
      <c r="AM46" s="27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0" t="s">
        <v>160</v>
      </c>
      <c r="C2" s="351"/>
      <c r="D2" s="351"/>
      <c r="E2" s="351"/>
      <c r="F2" s="351"/>
      <c r="G2" s="351"/>
      <c r="H2" s="351"/>
      <c r="I2" s="351"/>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1"/>
      <c r="C3" s="351"/>
      <c r="D3" s="351"/>
      <c r="E3" s="351"/>
      <c r="F3" s="351"/>
      <c r="G3" s="351"/>
      <c r="H3" s="351"/>
      <c r="I3" s="351"/>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1"/>
      <c r="C4" s="351"/>
      <c r="D4" s="351"/>
      <c r="E4" s="351"/>
      <c r="F4" s="351"/>
      <c r="G4" s="351"/>
      <c r="H4" s="351"/>
      <c r="I4" s="351"/>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9" t="s">
        <v>4</v>
      </c>
      <c r="C6" s="239"/>
      <c r="D6" s="240"/>
      <c r="E6" s="334" t="s">
        <v>116</v>
      </c>
      <c r="F6" s="335"/>
      <c r="G6" s="335"/>
      <c r="H6" s="335"/>
      <c r="I6" s="352"/>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1" t="s">
        <v>79</v>
      </c>
      <c r="AP6" s="342"/>
      <c r="AQ6" s="342"/>
      <c r="AR6" s="342"/>
      <c r="AS6" s="342"/>
      <c r="AT6" s="34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9"/>
      <c r="C7" s="239"/>
      <c r="D7" s="240"/>
      <c r="E7" s="338"/>
      <c r="F7" s="337"/>
      <c r="G7" s="337"/>
      <c r="H7" s="337"/>
      <c r="I7" s="353"/>
      <c r="J7" s="52" t="str">
        <f ca="1">IF(AND('Mapa final'!$Y$16="Muy Alta",'Mapa final'!$AA$16="Leve"),CONCATENATE("R2C",'Mapa final'!$O$16),"")</f>
        <v/>
      </c>
      <c r="K7" s="53" t="str">
        <f ca="1">IF(AND('Mapa final'!$Y$17="Muy Alta",'Mapa final'!$AA$17="Leve"),CONCATENATE("R2C",'Mapa final'!$O$17),"")</f>
        <v/>
      </c>
      <c r="L7" s="53" t="str">
        <f ca="1">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 ca="1">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 ca="1">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 ca="1">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 ca="1">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4"/>
      <c r="AP7" s="345"/>
      <c r="AQ7" s="345"/>
      <c r="AR7" s="345"/>
      <c r="AS7" s="345"/>
      <c r="AT7" s="34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9"/>
      <c r="C8" s="239"/>
      <c r="D8" s="240"/>
      <c r="E8" s="338"/>
      <c r="F8" s="337"/>
      <c r="G8" s="337"/>
      <c r="H8" s="337"/>
      <c r="I8" s="353"/>
      <c r="J8" s="52" t="str">
        <f ca="1">IF(AND('Mapa final'!$Y$22="Muy Alta",'Mapa final'!$AA$22="Leve"),CONCATENATE("R3C",'Mapa final'!$O$22),"")</f>
        <v/>
      </c>
      <c r="K8" s="53" t="str">
        <f ca="1">IF(AND('Mapa final'!$Y$23="Muy Alta",'Mapa final'!$AA$23="Leve"),CONCATENATE("R3C",'Mapa final'!$O$23),"")</f>
        <v/>
      </c>
      <c r="L8" s="53" t="str">
        <f ca="1">IF(AND('Mapa final'!$Y$24="Muy Alta",'Mapa final'!$AA$24="Leve"),CONCATENATE("R3C",'Mapa final'!$O$24),"")</f>
        <v/>
      </c>
      <c r="M8" s="53" t="str">
        <f ca="1">IF(AND('Mapa final'!$Y$25="Muy Alta",'Mapa final'!$AA$25="Leve"),CONCATENATE("R3C",'Mapa final'!$O$25),"")</f>
        <v/>
      </c>
      <c r="N8" s="53" t="str">
        <f ca="1">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 ca="1">IF(AND('Mapa final'!$Y$24="Muy Alta",'Mapa final'!$AA$24="Menor"),CONCATENATE("R3C",'Mapa final'!$O$24),"")</f>
        <v/>
      </c>
      <c r="S8" s="53" t="str">
        <f ca="1">IF(AND('Mapa final'!$Y$25="Muy Alta",'Mapa final'!$AA$25="Menor"),CONCATENATE("R3C",'Mapa final'!$O$25),"")</f>
        <v/>
      </c>
      <c r="T8" s="53" t="str">
        <f ca="1">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 ca="1">IF(AND('Mapa final'!$Y$24="Muy Alta",'Mapa final'!$AA$24="Moderado"),CONCATENATE("R3C",'Mapa final'!$O$24),"")</f>
        <v/>
      </c>
      <c r="Y8" s="53" t="str">
        <f ca="1">IF(AND('Mapa final'!$Y$25="Muy Alta",'Mapa final'!$AA$25="Moderado"),CONCATENATE("R3C",'Mapa final'!$O$25),"")</f>
        <v/>
      </c>
      <c r="Z8" s="53" t="str">
        <f ca="1">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 ca="1">IF(AND('Mapa final'!$Y$24="Muy Alta",'Mapa final'!$AA$24="Mayor"),CONCATENATE("R3C",'Mapa final'!$O$24),"")</f>
        <v/>
      </c>
      <c r="AE8" s="53" t="str">
        <f ca="1">IF(AND('Mapa final'!$Y$25="Muy Alta",'Mapa final'!$AA$25="Mayor"),CONCATENATE("R3C",'Mapa final'!$O$25),"")</f>
        <v/>
      </c>
      <c r="AF8" s="53" t="str">
        <f ca="1">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 ca="1">IF(AND('Mapa final'!$Y$24="Muy Alta",'Mapa final'!$AA$24="Catastrófico"),CONCATENATE("R3C",'Mapa final'!$O$24),"")</f>
        <v/>
      </c>
      <c r="AK8" s="56" t="str">
        <f ca="1">IF(AND('Mapa final'!$Y$25="Muy Alta",'Mapa final'!$AA$25="Catastrófico"),CONCATENATE("R3C",'Mapa final'!$O$25),"")</f>
        <v/>
      </c>
      <c r="AL8" s="56" t="str">
        <f ca="1">IF(AND('Mapa final'!$Y$26="Muy Alta",'Mapa final'!$AA$26="Catastrófico"),CONCATENATE("R3C",'Mapa final'!$O$26),"")</f>
        <v/>
      </c>
      <c r="AM8" s="57" t="str">
        <f>IF(AND('Mapa final'!$Y$27="Muy Alta",'Mapa final'!$AA$27="Catastrófico"),CONCATENATE("R3C",'Mapa final'!$O$27),"")</f>
        <v/>
      </c>
      <c r="AN8" s="83"/>
      <c r="AO8" s="344"/>
      <c r="AP8" s="345"/>
      <c r="AQ8" s="345"/>
      <c r="AR8" s="345"/>
      <c r="AS8" s="345"/>
      <c r="AT8" s="34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9"/>
      <c r="C9" s="239"/>
      <c r="D9" s="240"/>
      <c r="E9" s="338"/>
      <c r="F9" s="337"/>
      <c r="G9" s="337"/>
      <c r="H9" s="337"/>
      <c r="I9" s="353"/>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4"/>
      <c r="AP9" s="345"/>
      <c r="AQ9" s="345"/>
      <c r="AR9" s="345"/>
      <c r="AS9" s="345"/>
      <c r="AT9" s="34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9"/>
      <c r="C10" s="239"/>
      <c r="D10" s="240"/>
      <c r="E10" s="338"/>
      <c r="F10" s="337"/>
      <c r="G10" s="337"/>
      <c r="H10" s="337"/>
      <c r="I10" s="353"/>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4"/>
      <c r="AP10" s="345"/>
      <c r="AQ10" s="345"/>
      <c r="AR10" s="345"/>
      <c r="AS10" s="345"/>
      <c r="AT10" s="34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9"/>
      <c r="C11" s="239"/>
      <c r="D11" s="240"/>
      <c r="E11" s="338"/>
      <c r="F11" s="337"/>
      <c r="G11" s="337"/>
      <c r="H11" s="337"/>
      <c r="I11" s="353"/>
      <c r="J11" s="52" t="str">
        <f ca="1">IF(AND('Mapa final'!$Y$40="Muy Alta",'Mapa final'!$AA$40="Leve"),CONCATENATE("R6C",'Mapa final'!$O$40),"")</f>
        <v/>
      </c>
      <c r="K11" s="53" t="str">
        <f ca="1">IF(AND('Mapa final'!$Y$41="Muy Alta",'Mapa final'!$AA$41="Leve"),CONCATENATE("R6C",'Mapa final'!$O$41),"")</f>
        <v/>
      </c>
      <c r="L11" s="53" t="str">
        <f ca="1">IF(AND('Mapa final'!$Y$42="Muy Alta",'Mapa final'!$AA$42="Leve"),CONCATENATE("R6C",'Mapa final'!$O$42),"")</f>
        <v/>
      </c>
      <c r="M11" s="53" t="str">
        <f ca="1">IF(AND('Mapa final'!$Y$43="Muy Alta",'Mapa final'!$AA$43="Leve"),CONCATENATE("R6C",'Mapa final'!$O$43),"")</f>
        <v/>
      </c>
      <c r="N11" s="53" t="str">
        <f ca="1">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 ca="1">IF(AND('Mapa final'!$Y$41="Muy Alta",'Mapa final'!$AA$41="Menor"),CONCATENATE("R6C",'Mapa final'!$O$41),"")</f>
        <v/>
      </c>
      <c r="R11" s="53" t="str">
        <f ca="1">IF(AND('Mapa final'!$Y$42="Muy Alta",'Mapa final'!$AA$42="Menor"),CONCATENATE("R6C",'Mapa final'!$O$42),"")</f>
        <v/>
      </c>
      <c r="S11" s="53" t="str">
        <f ca="1">IF(AND('Mapa final'!$Y$43="Muy Alta",'Mapa final'!$AA$43="Menor"),CONCATENATE("R6C",'Mapa final'!$O$43),"")</f>
        <v/>
      </c>
      <c r="T11" s="53" t="str">
        <f ca="1">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 ca="1">IF(AND('Mapa final'!$Y$41="Muy Alta",'Mapa final'!$AA$41="Moderado"),CONCATENATE("R6C",'Mapa final'!$O$41),"")</f>
        <v/>
      </c>
      <c r="X11" s="53" t="str">
        <f ca="1">IF(AND('Mapa final'!$Y$42="Muy Alta",'Mapa final'!$AA$42="Moderado"),CONCATENATE("R6C",'Mapa final'!$O$42),"")</f>
        <v/>
      </c>
      <c r="Y11" s="53" t="str">
        <f ca="1">IF(AND('Mapa final'!$Y$43="Muy Alta",'Mapa final'!$AA$43="Moderado"),CONCATENATE("R6C",'Mapa final'!$O$43),"")</f>
        <v/>
      </c>
      <c r="Z11" s="53" t="str">
        <f ca="1">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 ca="1">IF(AND('Mapa final'!$Y$41="Muy Alta",'Mapa final'!$AA$41="Mayor"),CONCATENATE("R6C",'Mapa final'!$O$41),"")</f>
        <v/>
      </c>
      <c r="AD11" s="53" t="str">
        <f ca="1">IF(AND('Mapa final'!$Y$42="Muy Alta",'Mapa final'!$AA$42="Mayor"),CONCATENATE("R6C",'Mapa final'!$O$42),"")</f>
        <v/>
      </c>
      <c r="AE11" s="53" t="str">
        <f ca="1">IF(AND('Mapa final'!$Y$43="Muy Alta",'Mapa final'!$AA$43="Mayor"),CONCATENATE("R6C",'Mapa final'!$O$43),"")</f>
        <v/>
      </c>
      <c r="AF11" s="53" t="str">
        <f ca="1">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 ca="1">IF(AND('Mapa final'!$Y$41="Muy Alta",'Mapa final'!$AA$41="Catastrófico"),CONCATENATE("R6C",'Mapa final'!$O$41),"")</f>
        <v/>
      </c>
      <c r="AJ11" s="56" t="str">
        <f ca="1">IF(AND('Mapa final'!$Y$42="Muy Alta",'Mapa final'!$AA$42="Catastrófico"),CONCATENATE("R6C",'Mapa final'!$O$42),"")</f>
        <v/>
      </c>
      <c r="AK11" s="56" t="str">
        <f ca="1">IF(AND('Mapa final'!$Y$43="Muy Alta",'Mapa final'!$AA$43="Catastrófico"),CONCATENATE("R6C",'Mapa final'!$O$43),"")</f>
        <v/>
      </c>
      <c r="AL11" s="56" t="str">
        <f ca="1">IF(AND('Mapa final'!$Y$44="Muy Alta",'Mapa final'!$AA$44="Catastrófico"),CONCATENATE("R6C",'Mapa final'!$O$44),"")</f>
        <v/>
      </c>
      <c r="AM11" s="57" t="str">
        <f>IF(AND('Mapa final'!$Y$45="Muy Alta",'Mapa final'!$AA$45="Catastrófico"),CONCATENATE("R6C",'Mapa final'!$O$45),"")</f>
        <v/>
      </c>
      <c r="AN11" s="83"/>
      <c r="AO11" s="344"/>
      <c r="AP11" s="345"/>
      <c r="AQ11" s="345"/>
      <c r="AR11" s="345"/>
      <c r="AS11" s="345"/>
      <c r="AT11" s="34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9"/>
      <c r="C12" s="239"/>
      <c r="D12" s="240"/>
      <c r="E12" s="338"/>
      <c r="F12" s="337"/>
      <c r="G12" s="337"/>
      <c r="H12" s="337"/>
      <c r="I12" s="353"/>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4"/>
      <c r="AP12" s="345"/>
      <c r="AQ12" s="345"/>
      <c r="AR12" s="345"/>
      <c r="AS12" s="345"/>
      <c r="AT12" s="34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9"/>
      <c r="C13" s="239"/>
      <c r="D13" s="240"/>
      <c r="E13" s="338"/>
      <c r="F13" s="337"/>
      <c r="G13" s="337"/>
      <c r="H13" s="337"/>
      <c r="I13" s="353"/>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4"/>
      <c r="AP13" s="345"/>
      <c r="AQ13" s="345"/>
      <c r="AR13" s="345"/>
      <c r="AS13" s="345"/>
      <c r="AT13" s="3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9"/>
      <c r="C14" s="239"/>
      <c r="D14" s="240"/>
      <c r="E14" s="338"/>
      <c r="F14" s="337"/>
      <c r="G14" s="337"/>
      <c r="H14" s="337"/>
      <c r="I14" s="353"/>
      <c r="J14" s="52" t="str">
        <f ca="1">IF(AND('Mapa final'!$Y$58="Muy Alta",'Mapa final'!$AA$58="Leve"),CONCATENATE("R9C",'Mapa final'!$O$58),"")</f>
        <v/>
      </c>
      <c r="K14" s="53" t="str">
        <f ca="1">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 ca="1">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 ca="1">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 ca="1">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 ca="1">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4"/>
      <c r="AP14" s="345"/>
      <c r="AQ14" s="345"/>
      <c r="AR14" s="345"/>
      <c r="AS14" s="345"/>
      <c r="AT14" s="34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9"/>
      <c r="C15" s="239"/>
      <c r="D15" s="240"/>
      <c r="E15" s="339"/>
      <c r="F15" s="340"/>
      <c r="G15" s="340"/>
      <c r="H15" s="340"/>
      <c r="I15" s="354"/>
      <c r="J15" s="58" t="str">
        <f ca="1">IF(AND('Mapa final'!$Y$64="Muy Alta",'Mapa final'!$AA$64="Leve"),CONCATENATE("R10C",'Mapa final'!$O$64),"")</f>
        <v/>
      </c>
      <c r="K15" s="59" t="str">
        <f ca="1">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 ca="1">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 ca="1">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 ca="1">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 ca="1">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7"/>
      <c r="AP15" s="348"/>
      <c r="AQ15" s="348"/>
      <c r="AR15" s="348"/>
      <c r="AS15" s="348"/>
      <c r="AT15" s="34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9"/>
      <c r="C16" s="239"/>
      <c r="D16" s="240"/>
      <c r="E16" s="334" t="s">
        <v>115</v>
      </c>
      <c r="F16" s="335"/>
      <c r="G16" s="335"/>
      <c r="H16" s="335"/>
      <c r="I16" s="335"/>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5" t="s">
        <v>80</v>
      </c>
      <c r="AP16" s="326"/>
      <c r="AQ16" s="326"/>
      <c r="AR16" s="326"/>
      <c r="AS16" s="326"/>
      <c r="AT16" s="32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9"/>
      <c r="C17" s="239"/>
      <c r="D17" s="240"/>
      <c r="E17" s="336"/>
      <c r="F17" s="337"/>
      <c r="G17" s="337"/>
      <c r="H17" s="337"/>
      <c r="I17" s="337"/>
      <c r="J17" s="67" t="str">
        <f ca="1">IF(AND('Mapa final'!$Y$16="Alta",'Mapa final'!$AA$16="Leve"),CONCATENATE("R2C",'Mapa final'!$O$16),"")</f>
        <v/>
      </c>
      <c r="K17" s="68" t="str">
        <f ca="1">IF(AND('Mapa final'!$Y$17="Alta",'Mapa final'!$AA$17="Leve"),CONCATENATE("R2C",'Mapa final'!$O$17),"")</f>
        <v/>
      </c>
      <c r="L17" s="68" t="str">
        <f ca="1">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 ca="1">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 ca="1">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 ca="1">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 ca="1">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8"/>
      <c r="AP17" s="329"/>
      <c r="AQ17" s="329"/>
      <c r="AR17" s="329"/>
      <c r="AS17" s="329"/>
      <c r="AT17" s="33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9"/>
      <c r="C18" s="239"/>
      <c r="D18" s="240"/>
      <c r="E18" s="338"/>
      <c r="F18" s="337"/>
      <c r="G18" s="337"/>
      <c r="H18" s="337"/>
      <c r="I18" s="337"/>
      <c r="J18" s="67" t="str">
        <f ca="1">IF(AND('Mapa final'!$Y$22="Alta",'Mapa final'!$AA$22="Leve"),CONCATENATE("R3C",'Mapa final'!$O$22),"")</f>
        <v/>
      </c>
      <c r="K18" s="68" t="str">
        <f ca="1">IF(AND('Mapa final'!$Y$23="Alta",'Mapa final'!$AA$23="Leve"),CONCATENATE("R3C",'Mapa final'!$O$23),"")</f>
        <v/>
      </c>
      <c r="L18" s="68" t="str">
        <f ca="1">IF(AND('Mapa final'!$Y$24="Alta",'Mapa final'!$AA$24="Leve"),CONCATENATE("R3C",'Mapa final'!$O$24),"")</f>
        <v/>
      </c>
      <c r="M18" s="68" t="str">
        <f ca="1">IF(AND('Mapa final'!$Y$25="Alta",'Mapa final'!$AA$25="Leve"),CONCATENATE("R3C",'Mapa final'!$O$25),"")</f>
        <v/>
      </c>
      <c r="N18" s="68" t="str">
        <f ca="1">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 ca="1">IF(AND('Mapa final'!$Y$24="Alta",'Mapa final'!$AA$24="Menor"),CONCATENATE("R3C",'Mapa final'!$O$24),"")</f>
        <v/>
      </c>
      <c r="S18" s="68" t="str">
        <f ca="1">IF(AND('Mapa final'!$Y$25="Alta",'Mapa final'!$AA$25="Menor"),CONCATENATE("R3C",'Mapa final'!$O$25),"")</f>
        <v/>
      </c>
      <c r="T18" s="68" t="str">
        <f ca="1">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 ca="1">IF(AND('Mapa final'!$Y$24="Alta",'Mapa final'!$AA$24="Moderado"),CONCATENATE("R3C",'Mapa final'!$O$24),"")</f>
        <v/>
      </c>
      <c r="Y18" s="53" t="str">
        <f ca="1">IF(AND('Mapa final'!$Y$25="Alta",'Mapa final'!$AA$25="Moderado"),CONCATENATE("R3C",'Mapa final'!$O$25),"")</f>
        <v/>
      </c>
      <c r="Z18" s="53" t="str">
        <f ca="1">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 ca="1">IF(AND('Mapa final'!$Y$24="Alta",'Mapa final'!$AA$24="Mayor"),CONCATENATE("R3C",'Mapa final'!$O$24),"")</f>
        <v/>
      </c>
      <c r="AE18" s="53" t="str">
        <f ca="1">IF(AND('Mapa final'!$Y$25="Alta",'Mapa final'!$AA$25="Mayor"),CONCATENATE("R3C",'Mapa final'!$O$25),"")</f>
        <v/>
      </c>
      <c r="AF18" s="53" t="str">
        <f ca="1">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 ca="1">IF(AND('Mapa final'!$Y$24="Alta",'Mapa final'!$AA$24="Catastrófico"),CONCATENATE("R3C",'Mapa final'!$O$24),"")</f>
        <v/>
      </c>
      <c r="AK18" s="56" t="str">
        <f ca="1">IF(AND('Mapa final'!$Y$25="Alta",'Mapa final'!$AA$25="Catastrófico"),CONCATENATE("R3C",'Mapa final'!$O$25),"")</f>
        <v/>
      </c>
      <c r="AL18" s="56" t="str">
        <f ca="1">IF(AND('Mapa final'!$Y$26="Alta",'Mapa final'!$AA$26="Catastrófico"),CONCATENATE("R3C",'Mapa final'!$O$26),"")</f>
        <v/>
      </c>
      <c r="AM18" s="57" t="str">
        <f>IF(AND('Mapa final'!$Y$27="Alta",'Mapa final'!$AA$27="Catastrófico"),CONCATENATE("R3C",'Mapa final'!$O$27),"")</f>
        <v/>
      </c>
      <c r="AN18" s="83"/>
      <c r="AO18" s="328"/>
      <c r="AP18" s="329"/>
      <c r="AQ18" s="329"/>
      <c r="AR18" s="329"/>
      <c r="AS18" s="329"/>
      <c r="AT18" s="33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9"/>
      <c r="C19" s="239"/>
      <c r="D19" s="240"/>
      <c r="E19" s="338"/>
      <c r="F19" s="337"/>
      <c r="G19" s="337"/>
      <c r="H19" s="337"/>
      <c r="I19" s="337"/>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8"/>
      <c r="AP19" s="329"/>
      <c r="AQ19" s="329"/>
      <c r="AR19" s="329"/>
      <c r="AS19" s="329"/>
      <c r="AT19" s="33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9"/>
      <c r="C20" s="239"/>
      <c r="D20" s="240"/>
      <c r="E20" s="338"/>
      <c r="F20" s="337"/>
      <c r="G20" s="337"/>
      <c r="H20" s="337"/>
      <c r="I20" s="337"/>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8"/>
      <c r="AP20" s="329"/>
      <c r="AQ20" s="329"/>
      <c r="AR20" s="329"/>
      <c r="AS20" s="329"/>
      <c r="AT20" s="33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9"/>
      <c r="C21" s="239"/>
      <c r="D21" s="240"/>
      <c r="E21" s="338"/>
      <c r="F21" s="337"/>
      <c r="G21" s="337"/>
      <c r="H21" s="337"/>
      <c r="I21" s="337"/>
      <c r="J21" s="67" t="str">
        <f ca="1">IF(AND('Mapa final'!$Y$40="Alta",'Mapa final'!$AA$40="Leve"),CONCATENATE("R6C",'Mapa final'!$O$40),"")</f>
        <v/>
      </c>
      <c r="K21" s="68" t="str">
        <f ca="1">IF(AND('Mapa final'!$Y$41="Alta",'Mapa final'!$AA$41="Leve"),CONCATENATE("R6C",'Mapa final'!$O$41),"")</f>
        <v/>
      </c>
      <c r="L21" s="68" t="str">
        <f ca="1">IF(AND('Mapa final'!$Y$42="Alta",'Mapa final'!$AA$42="Leve"),CONCATENATE("R6C",'Mapa final'!$O$42),"")</f>
        <v/>
      </c>
      <c r="M21" s="68" t="str">
        <f ca="1">IF(AND('Mapa final'!$Y$43="Alta",'Mapa final'!$AA$43="Leve"),CONCATENATE("R6C",'Mapa final'!$O$43),"")</f>
        <v/>
      </c>
      <c r="N21" s="68" t="str">
        <f ca="1">IF(AND('Mapa final'!$Y$44="Alta",'Mapa final'!$AA$44="Leve"),CONCATENATE("R6C",'Mapa final'!$O$44),"")</f>
        <v/>
      </c>
      <c r="O21" s="69" t="str">
        <f>IF(AND('Mapa final'!$Y$45="Alta",'Mapa final'!$AA$45="Leve"),CONCATENATE("R6C",'Mapa final'!$O$45),"")</f>
        <v/>
      </c>
      <c r="P21" s="67" t="str">
        <f ca="1">IF(AND('Mapa final'!$Y$40="Alta",'Mapa final'!$AA$40="Menor"),CONCATENATE("R6C",'Mapa final'!$O$40),"")</f>
        <v/>
      </c>
      <c r="Q21" s="68" t="str">
        <f ca="1">IF(AND('Mapa final'!$Y$41="Alta",'Mapa final'!$AA$41="Menor"),CONCATENATE("R6C",'Mapa final'!$O$41),"")</f>
        <v/>
      </c>
      <c r="R21" s="68" t="str">
        <f ca="1">IF(AND('Mapa final'!$Y$42="Alta",'Mapa final'!$AA$42="Menor"),CONCATENATE("R6C",'Mapa final'!$O$42),"")</f>
        <v/>
      </c>
      <c r="S21" s="68" t="str">
        <f ca="1">IF(AND('Mapa final'!$Y$43="Alta",'Mapa final'!$AA$43="Menor"),CONCATENATE("R6C",'Mapa final'!$O$43),"")</f>
        <v/>
      </c>
      <c r="T21" s="68" t="str">
        <f ca="1">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 ca="1">IF(AND('Mapa final'!$Y$41="Alta",'Mapa final'!$AA$41="Moderado"),CONCATENATE("R6C",'Mapa final'!$O$41),"")</f>
        <v/>
      </c>
      <c r="X21" s="53" t="str">
        <f ca="1">IF(AND('Mapa final'!$Y$42="Alta",'Mapa final'!$AA$42="Moderado"),CONCATENATE("R6C",'Mapa final'!$O$42),"")</f>
        <v/>
      </c>
      <c r="Y21" s="53" t="str">
        <f ca="1">IF(AND('Mapa final'!$Y$43="Alta",'Mapa final'!$AA$43="Moderado"),CONCATENATE("R6C",'Mapa final'!$O$43),"")</f>
        <v/>
      </c>
      <c r="Z21" s="53" t="str">
        <f ca="1">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 ca="1">IF(AND('Mapa final'!$Y$41="Alta",'Mapa final'!$AA$41="Mayor"),CONCATENATE("R6C",'Mapa final'!$O$41),"")</f>
        <v/>
      </c>
      <c r="AD21" s="53" t="str">
        <f ca="1">IF(AND('Mapa final'!$Y$42="Alta",'Mapa final'!$AA$42="Mayor"),CONCATENATE("R6C",'Mapa final'!$O$42),"")</f>
        <v/>
      </c>
      <c r="AE21" s="53" t="str">
        <f ca="1">IF(AND('Mapa final'!$Y$43="Alta",'Mapa final'!$AA$43="Mayor"),CONCATENATE("R6C",'Mapa final'!$O$43),"")</f>
        <v/>
      </c>
      <c r="AF21" s="53" t="str">
        <f ca="1">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 ca="1">IF(AND('Mapa final'!$Y$41="Alta",'Mapa final'!$AA$41="Catastrófico"),CONCATENATE("R6C",'Mapa final'!$O$41),"")</f>
        <v/>
      </c>
      <c r="AJ21" s="56" t="str">
        <f ca="1">IF(AND('Mapa final'!$Y$42="Alta",'Mapa final'!$AA$42="Catastrófico"),CONCATENATE("R6C",'Mapa final'!$O$42),"")</f>
        <v/>
      </c>
      <c r="AK21" s="56" t="str">
        <f ca="1">IF(AND('Mapa final'!$Y$43="Alta",'Mapa final'!$AA$43="Catastrófico"),CONCATENATE("R6C",'Mapa final'!$O$43),"")</f>
        <v/>
      </c>
      <c r="AL21" s="56" t="str">
        <f ca="1">IF(AND('Mapa final'!$Y$44="Alta",'Mapa final'!$AA$44="Catastrófico"),CONCATENATE("R6C",'Mapa final'!$O$44),"")</f>
        <v/>
      </c>
      <c r="AM21" s="57" t="str">
        <f>IF(AND('Mapa final'!$Y$45="Alta",'Mapa final'!$AA$45="Catastrófico"),CONCATENATE("R6C",'Mapa final'!$O$45),"")</f>
        <v/>
      </c>
      <c r="AN21" s="83"/>
      <c r="AO21" s="328"/>
      <c r="AP21" s="329"/>
      <c r="AQ21" s="329"/>
      <c r="AR21" s="329"/>
      <c r="AS21" s="329"/>
      <c r="AT21" s="33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9"/>
      <c r="C22" s="239"/>
      <c r="D22" s="240"/>
      <c r="E22" s="338"/>
      <c r="F22" s="337"/>
      <c r="G22" s="337"/>
      <c r="H22" s="337"/>
      <c r="I22" s="33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8"/>
      <c r="AP22" s="329"/>
      <c r="AQ22" s="329"/>
      <c r="AR22" s="329"/>
      <c r="AS22" s="329"/>
      <c r="AT22" s="33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9"/>
      <c r="C23" s="239"/>
      <c r="D23" s="240"/>
      <c r="E23" s="338"/>
      <c r="F23" s="337"/>
      <c r="G23" s="337"/>
      <c r="H23" s="337"/>
      <c r="I23" s="337"/>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8"/>
      <c r="AP23" s="329"/>
      <c r="AQ23" s="329"/>
      <c r="AR23" s="329"/>
      <c r="AS23" s="329"/>
      <c r="AT23" s="33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9"/>
      <c r="C24" s="239"/>
      <c r="D24" s="240"/>
      <c r="E24" s="338"/>
      <c r="F24" s="337"/>
      <c r="G24" s="337"/>
      <c r="H24" s="337"/>
      <c r="I24" s="337"/>
      <c r="J24" s="67" t="str">
        <f ca="1">IF(AND('Mapa final'!$Y$58="Alta",'Mapa final'!$AA$58="Leve"),CONCATENATE("R9C",'Mapa final'!$O$58),"")</f>
        <v/>
      </c>
      <c r="K24" s="68" t="str">
        <f ca="1">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 ca="1">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 ca="1">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 ca="1">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 ca="1">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8"/>
      <c r="AP24" s="329"/>
      <c r="AQ24" s="329"/>
      <c r="AR24" s="329"/>
      <c r="AS24" s="329"/>
      <c r="AT24" s="33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9"/>
      <c r="C25" s="239"/>
      <c r="D25" s="240"/>
      <c r="E25" s="339"/>
      <c r="F25" s="340"/>
      <c r="G25" s="340"/>
      <c r="H25" s="340"/>
      <c r="I25" s="340"/>
      <c r="J25" s="70" t="str">
        <f ca="1">IF(AND('Mapa final'!$Y$64="Alta",'Mapa final'!$AA$64="Leve"),CONCATENATE("R10C",'Mapa final'!$O$64),"")</f>
        <v/>
      </c>
      <c r="K25" s="71" t="str">
        <f ca="1">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 ca="1">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 ca="1">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 ca="1">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 ca="1">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1"/>
      <c r="AP25" s="332"/>
      <c r="AQ25" s="332"/>
      <c r="AR25" s="332"/>
      <c r="AS25" s="332"/>
      <c r="AT25" s="33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9"/>
      <c r="C26" s="239"/>
      <c r="D26" s="240"/>
      <c r="E26" s="334" t="s">
        <v>117</v>
      </c>
      <c r="F26" s="335"/>
      <c r="G26" s="335"/>
      <c r="H26" s="335"/>
      <c r="I26" s="352"/>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4" t="s">
        <v>81</v>
      </c>
      <c r="AP26" s="365"/>
      <c r="AQ26" s="365"/>
      <c r="AR26" s="365"/>
      <c r="AS26" s="365"/>
      <c r="AT26" s="36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9"/>
      <c r="C27" s="239"/>
      <c r="D27" s="240"/>
      <c r="E27" s="336"/>
      <c r="F27" s="337"/>
      <c r="G27" s="337"/>
      <c r="H27" s="337"/>
      <c r="I27" s="353"/>
      <c r="J27" s="67" t="str">
        <f ca="1">IF(AND('Mapa final'!$Y$16="Media",'Mapa final'!$AA$16="Leve"),CONCATENATE("R2C",'Mapa final'!$O$16),"")</f>
        <v/>
      </c>
      <c r="K27" s="68" t="str">
        <f ca="1">IF(AND('Mapa final'!$Y$17="Media",'Mapa final'!$AA$17="Leve"),CONCATENATE("R2C",'Mapa final'!$O$17),"")</f>
        <v/>
      </c>
      <c r="L27" s="68" t="str">
        <f ca="1">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 ca="1">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 ca="1">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 ca="1">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 ca="1">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7"/>
      <c r="AP27" s="368"/>
      <c r="AQ27" s="368"/>
      <c r="AR27" s="368"/>
      <c r="AS27" s="368"/>
      <c r="AT27" s="36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9"/>
      <c r="C28" s="239"/>
      <c r="D28" s="240"/>
      <c r="E28" s="338"/>
      <c r="F28" s="337"/>
      <c r="G28" s="337"/>
      <c r="H28" s="337"/>
      <c r="I28" s="353"/>
      <c r="J28" s="67" t="str">
        <f ca="1">IF(AND('Mapa final'!$Y$22="Media",'Mapa final'!$AA$22="Leve"),CONCATENATE("R3C",'Mapa final'!$O$22),"")</f>
        <v/>
      </c>
      <c r="K28" s="68" t="str">
        <f ca="1">IF(AND('Mapa final'!$Y$23="Media",'Mapa final'!$AA$23="Leve"),CONCATENATE("R3C",'Mapa final'!$O$23),"")</f>
        <v/>
      </c>
      <c r="L28" s="68" t="str">
        <f ca="1">IF(AND('Mapa final'!$Y$24="Media",'Mapa final'!$AA$24="Leve"),CONCATENATE("R3C",'Mapa final'!$O$24),"")</f>
        <v/>
      </c>
      <c r="M28" s="68" t="str">
        <f ca="1">IF(AND('Mapa final'!$Y$25="Media",'Mapa final'!$AA$25="Leve"),CONCATENATE("R3C",'Mapa final'!$O$25),"")</f>
        <v/>
      </c>
      <c r="N28" s="68" t="str">
        <f ca="1">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 ca="1">IF(AND('Mapa final'!$Y$24="Media",'Mapa final'!$AA$24="Menor"),CONCATENATE("R3C",'Mapa final'!$O$24),"")</f>
        <v/>
      </c>
      <c r="S28" s="68" t="str">
        <f ca="1">IF(AND('Mapa final'!$Y$25="Media",'Mapa final'!$AA$25="Menor"),CONCATENATE("R3C",'Mapa final'!$O$25),"")</f>
        <v/>
      </c>
      <c r="T28" s="68" t="str">
        <f ca="1">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 ca="1">IF(AND('Mapa final'!$Y$24="Media",'Mapa final'!$AA$24="Moderado"),CONCATENATE("R3C",'Mapa final'!$O$24),"")</f>
        <v/>
      </c>
      <c r="Y28" s="68" t="str">
        <f ca="1">IF(AND('Mapa final'!$Y$25="Media",'Mapa final'!$AA$25="Moderado"),CONCATENATE("R3C",'Mapa final'!$O$25),"")</f>
        <v/>
      </c>
      <c r="Z28" s="68" t="str">
        <f ca="1">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 ca="1">IF(AND('Mapa final'!$Y$24="Media",'Mapa final'!$AA$24="Mayor"),CONCATENATE("R3C",'Mapa final'!$O$24),"")</f>
        <v/>
      </c>
      <c r="AE28" s="53" t="str">
        <f ca="1">IF(AND('Mapa final'!$Y$25="Media",'Mapa final'!$AA$25="Mayor"),CONCATENATE("R3C",'Mapa final'!$O$25),"")</f>
        <v/>
      </c>
      <c r="AF28" s="53" t="str">
        <f ca="1">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 ca="1">IF(AND('Mapa final'!$Y$24="Media",'Mapa final'!$AA$24="Catastrófico"),CONCATENATE("R3C",'Mapa final'!$O$24),"")</f>
        <v/>
      </c>
      <c r="AK28" s="56" t="str">
        <f ca="1">IF(AND('Mapa final'!$Y$25="Media",'Mapa final'!$AA$25="Catastrófico"),CONCATENATE("R3C",'Mapa final'!$O$25),"")</f>
        <v/>
      </c>
      <c r="AL28" s="56" t="str">
        <f ca="1">IF(AND('Mapa final'!$Y$26="Media",'Mapa final'!$AA$26="Catastrófico"),CONCATENATE("R3C",'Mapa final'!$O$26),"")</f>
        <v/>
      </c>
      <c r="AM28" s="57" t="str">
        <f>IF(AND('Mapa final'!$Y$27="Media",'Mapa final'!$AA$27="Catastrófico"),CONCATENATE("R3C",'Mapa final'!$O$27),"")</f>
        <v/>
      </c>
      <c r="AN28" s="83"/>
      <c r="AO28" s="367"/>
      <c r="AP28" s="368"/>
      <c r="AQ28" s="368"/>
      <c r="AR28" s="368"/>
      <c r="AS28" s="368"/>
      <c r="AT28" s="36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9"/>
      <c r="C29" s="239"/>
      <c r="D29" s="240"/>
      <c r="E29" s="338"/>
      <c r="F29" s="337"/>
      <c r="G29" s="337"/>
      <c r="H29" s="337"/>
      <c r="I29" s="353"/>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7"/>
      <c r="AP29" s="368"/>
      <c r="AQ29" s="368"/>
      <c r="AR29" s="368"/>
      <c r="AS29" s="368"/>
      <c r="AT29" s="36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9"/>
      <c r="C30" s="239"/>
      <c r="D30" s="240"/>
      <c r="E30" s="338"/>
      <c r="F30" s="337"/>
      <c r="G30" s="337"/>
      <c r="H30" s="337"/>
      <c r="I30" s="353"/>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7"/>
      <c r="AP30" s="368"/>
      <c r="AQ30" s="368"/>
      <c r="AR30" s="368"/>
      <c r="AS30" s="368"/>
      <c r="AT30" s="3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9"/>
      <c r="C31" s="239"/>
      <c r="D31" s="240"/>
      <c r="E31" s="338"/>
      <c r="F31" s="337"/>
      <c r="G31" s="337"/>
      <c r="H31" s="337"/>
      <c r="I31" s="353"/>
      <c r="J31" s="67" t="str">
        <f ca="1">IF(AND('Mapa final'!$Y$40="Media",'Mapa final'!$AA$40="Leve"),CONCATENATE("R6C",'Mapa final'!$O$40),"")</f>
        <v/>
      </c>
      <c r="K31" s="68" t="str">
        <f ca="1">IF(AND('Mapa final'!$Y$41="Media",'Mapa final'!$AA$41="Leve"),CONCATENATE("R6C",'Mapa final'!$O$41),"")</f>
        <v/>
      </c>
      <c r="L31" s="68" t="str">
        <f ca="1">IF(AND('Mapa final'!$Y$42="Media",'Mapa final'!$AA$42="Leve"),CONCATENATE("R6C",'Mapa final'!$O$42),"")</f>
        <v/>
      </c>
      <c r="M31" s="68" t="str">
        <f ca="1">IF(AND('Mapa final'!$Y$43="Media",'Mapa final'!$AA$43="Leve"),CONCATENATE("R6C",'Mapa final'!$O$43),"")</f>
        <v/>
      </c>
      <c r="N31" s="68" t="str">
        <f ca="1">IF(AND('Mapa final'!$Y$44="Media",'Mapa final'!$AA$44="Leve"),CONCATENATE("R6C",'Mapa final'!$O$44),"")</f>
        <v/>
      </c>
      <c r="O31" s="69" t="str">
        <f>IF(AND('Mapa final'!$Y$45="Media",'Mapa final'!$AA$45="Leve"),CONCATENATE("R6C",'Mapa final'!$O$45),"")</f>
        <v/>
      </c>
      <c r="P31" s="67" t="str">
        <f ca="1">IF(AND('Mapa final'!$Y$40="Media",'Mapa final'!$AA$40="Menor"),CONCATENATE("R6C",'Mapa final'!$O$40),"")</f>
        <v/>
      </c>
      <c r="Q31" s="68" t="str">
        <f ca="1">IF(AND('Mapa final'!$Y$41="Media",'Mapa final'!$AA$41="Menor"),CONCATENATE("R6C",'Mapa final'!$O$41),"")</f>
        <v/>
      </c>
      <c r="R31" s="68" t="str">
        <f ca="1">IF(AND('Mapa final'!$Y$42="Media",'Mapa final'!$AA$42="Menor"),CONCATENATE("R6C",'Mapa final'!$O$42),"")</f>
        <v/>
      </c>
      <c r="S31" s="68" t="str">
        <f ca="1">IF(AND('Mapa final'!$Y$43="Media",'Mapa final'!$AA$43="Menor"),CONCATENATE("R6C",'Mapa final'!$O$43),"")</f>
        <v/>
      </c>
      <c r="T31" s="68" t="str">
        <f ca="1">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 ca="1">IF(AND('Mapa final'!$Y$41="Media",'Mapa final'!$AA$41="Moderado"),CONCATENATE("R6C",'Mapa final'!$O$41),"")</f>
        <v/>
      </c>
      <c r="X31" s="68" t="str">
        <f ca="1">IF(AND('Mapa final'!$Y$42="Media",'Mapa final'!$AA$42="Moderado"),CONCATENATE("R6C",'Mapa final'!$O$42),"")</f>
        <v/>
      </c>
      <c r="Y31" s="68" t="str">
        <f ca="1">IF(AND('Mapa final'!$Y$43="Media",'Mapa final'!$AA$43="Moderado"),CONCATENATE("R6C",'Mapa final'!$O$43),"")</f>
        <v/>
      </c>
      <c r="Z31" s="68" t="str">
        <f ca="1">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 ca="1">IF(AND('Mapa final'!$Y$41="Media",'Mapa final'!$AA$41="Mayor"),CONCATENATE("R6C",'Mapa final'!$O$41),"")</f>
        <v/>
      </c>
      <c r="AD31" s="53" t="str">
        <f ca="1">IF(AND('Mapa final'!$Y$42="Media",'Mapa final'!$AA$42="Mayor"),CONCATENATE("R6C",'Mapa final'!$O$42),"")</f>
        <v/>
      </c>
      <c r="AE31" s="53" t="str">
        <f ca="1">IF(AND('Mapa final'!$Y$43="Media",'Mapa final'!$AA$43="Mayor"),CONCATENATE("R6C",'Mapa final'!$O$43),"")</f>
        <v/>
      </c>
      <c r="AF31" s="53" t="str">
        <f ca="1">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 ca="1">IF(AND('Mapa final'!$Y$41="Media",'Mapa final'!$AA$41="Catastrófico"),CONCATENATE("R6C",'Mapa final'!$O$41),"")</f>
        <v/>
      </c>
      <c r="AJ31" s="56" t="str">
        <f ca="1">IF(AND('Mapa final'!$Y$42="Media",'Mapa final'!$AA$42="Catastrófico"),CONCATENATE("R6C",'Mapa final'!$O$42),"")</f>
        <v/>
      </c>
      <c r="AK31" s="56" t="str">
        <f ca="1">IF(AND('Mapa final'!$Y$43="Media",'Mapa final'!$AA$43="Catastrófico"),CONCATENATE("R6C",'Mapa final'!$O$43),"")</f>
        <v/>
      </c>
      <c r="AL31" s="56" t="str">
        <f ca="1">IF(AND('Mapa final'!$Y$44="Media",'Mapa final'!$AA$44="Catastrófico"),CONCATENATE("R6C",'Mapa final'!$O$44),"")</f>
        <v/>
      </c>
      <c r="AM31" s="57" t="str">
        <f>IF(AND('Mapa final'!$Y$45="Media",'Mapa final'!$AA$45="Catastrófico"),CONCATENATE("R6C",'Mapa final'!$O$45),"")</f>
        <v/>
      </c>
      <c r="AN31" s="83"/>
      <c r="AO31" s="367"/>
      <c r="AP31" s="368"/>
      <c r="AQ31" s="368"/>
      <c r="AR31" s="368"/>
      <c r="AS31" s="368"/>
      <c r="AT31" s="36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9"/>
      <c r="C32" s="239"/>
      <c r="D32" s="240"/>
      <c r="E32" s="338"/>
      <c r="F32" s="337"/>
      <c r="G32" s="337"/>
      <c r="H32" s="337"/>
      <c r="I32" s="353"/>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7"/>
      <c r="AP32" s="368"/>
      <c r="AQ32" s="368"/>
      <c r="AR32" s="368"/>
      <c r="AS32" s="368"/>
      <c r="AT32" s="36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9"/>
      <c r="C33" s="239"/>
      <c r="D33" s="240"/>
      <c r="E33" s="338"/>
      <c r="F33" s="337"/>
      <c r="G33" s="337"/>
      <c r="H33" s="337"/>
      <c r="I33" s="353"/>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7"/>
      <c r="AP33" s="368"/>
      <c r="AQ33" s="368"/>
      <c r="AR33" s="368"/>
      <c r="AS33" s="368"/>
      <c r="AT33" s="36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9"/>
      <c r="C34" s="239"/>
      <c r="D34" s="240"/>
      <c r="E34" s="338"/>
      <c r="F34" s="337"/>
      <c r="G34" s="337"/>
      <c r="H34" s="337"/>
      <c r="I34" s="353"/>
      <c r="J34" s="67" t="str">
        <f ca="1">IF(AND('Mapa final'!$Y$58="Media",'Mapa final'!$AA$58="Leve"),CONCATENATE("R9C",'Mapa final'!$O$58),"")</f>
        <v/>
      </c>
      <c r="K34" s="68" t="str">
        <f ca="1">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 ca="1">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 ca="1">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 ca="1">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 ca="1">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7"/>
      <c r="AP34" s="368"/>
      <c r="AQ34" s="368"/>
      <c r="AR34" s="368"/>
      <c r="AS34" s="368"/>
      <c r="AT34" s="36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9"/>
      <c r="C35" s="239"/>
      <c r="D35" s="240"/>
      <c r="E35" s="339"/>
      <c r="F35" s="340"/>
      <c r="G35" s="340"/>
      <c r="H35" s="340"/>
      <c r="I35" s="354"/>
      <c r="J35" s="67" t="str">
        <f ca="1">IF(AND('Mapa final'!$Y$64="Media",'Mapa final'!$AA$64="Leve"),CONCATENATE("R10C",'Mapa final'!$O$64),"")</f>
        <v/>
      </c>
      <c r="K35" s="68" t="str">
        <f ca="1">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 ca="1">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R10C1</v>
      </c>
      <c r="W35" s="68" t="str">
        <f ca="1">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 ca="1">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 ca="1">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0"/>
      <c r="AP35" s="371"/>
      <c r="AQ35" s="371"/>
      <c r="AR35" s="371"/>
      <c r="AS35" s="371"/>
      <c r="AT35" s="3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9"/>
      <c r="C36" s="239"/>
      <c r="D36" s="240"/>
      <c r="E36" s="334" t="s">
        <v>114</v>
      </c>
      <c r="F36" s="335"/>
      <c r="G36" s="335"/>
      <c r="H36" s="335"/>
      <c r="I36" s="335"/>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5" t="s">
        <v>82</v>
      </c>
      <c r="AP36" s="356"/>
      <c r="AQ36" s="356"/>
      <c r="AR36" s="356"/>
      <c r="AS36" s="356"/>
      <c r="AT36" s="35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9"/>
      <c r="C37" s="239"/>
      <c r="D37" s="240"/>
      <c r="E37" s="336"/>
      <c r="F37" s="337"/>
      <c r="G37" s="337"/>
      <c r="H37" s="337"/>
      <c r="I37" s="337"/>
      <c r="J37" s="76" t="str">
        <f ca="1">IF(AND('Mapa final'!$Y$16="Baja",'Mapa final'!$AA$16="Leve"),CONCATENATE("R2C",'Mapa final'!$O$16),"")</f>
        <v/>
      </c>
      <c r="K37" s="77" t="str">
        <f ca="1">IF(AND('Mapa final'!$Y$17="Baja",'Mapa final'!$AA$17="Leve"),CONCATENATE("R2C",'Mapa final'!$O$17),"")</f>
        <v/>
      </c>
      <c r="L37" s="77" t="str">
        <f ca="1">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 ca="1">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
      </c>
      <c r="X37" s="68" t="str">
        <f ca="1">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 ca="1">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 ca="1">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8"/>
      <c r="AP37" s="359"/>
      <c r="AQ37" s="359"/>
      <c r="AR37" s="359"/>
      <c r="AS37" s="359"/>
      <c r="AT37" s="36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9"/>
      <c r="C38" s="239"/>
      <c r="D38" s="240"/>
      <c r="E38" s="338"/>
      <c r="F38" s="337"/>
      <c r="G38" s="337"/>
      <c r="H38" s="337"/>
      <c r="I38" s="337"/>
      <c r="J38" s="76" t="str">
        <f ca="1">IF(AND('Mapa final'!$Y$22="Baja",'Mapa final'!$AA$22="Leve"),CONCATENATE("R3C",'Mapa final'!$O$22),"")</f>
        <v/>
      </c>
      <c r="K38" s="77" t="str">
        <f ca="1">IF(AND('Mapa final'!$Y$23="Baja",'Mapa final'!$AA$23="Leve"),CONCATENATE("R3C",'Mapa final'!$O$23),"")</f>
        <v/>
      </c>
      <c r="L38" s="77" t="str">
        <f ca="1">IF(AND('Mapa final'!$Y$24="Baja",'Mapa final'!$AA$24="Leve"),CONCATENATE("R3C",'Mapa final'!$O$24),"")</f>
        <v/>
      </c>
      <c r="M38" s="77" t="str">
        <f ca="1">IF(AND('Mapa final'!$Y$25="Baja",'Mapa final'!$AA$25="Leve"),CONCATENATE("R3C",'Mapa final'!$O$25),"")</f>
        <v/>
      </c>
      <c r="N38" s="77" t="str">
        <f ca="1">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 ca="1">IF(AND('Mapa final'!$Y$24="Baja",'Mapa final'!$AA$24="Menor"),CONCATENATE("R3C",'Mapa final'!$O$24),"")</f>
        <v/>
      </c>
      <c r="S38" s="68" t="str">
        <f ca="1">IF(AND('Mapa final'!$Y$25="Baja",'Mapa final'!$AA$25="Menor"),CONCATENATE("R3C",'Mapa final'!$O$25),"")</f>
        <v/>
      </c>
      <c r="T38" s="68" t="str">
        <f ca="1">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R3C2</v>
      </c>
      <c r="X38" s="68" t="str">
        <f ca="1">IF(AND('Mapa final'!$Y$24="Baja",'Mapa final'!$AA$24="Moderado"),CONCATENATE("R3C",'Mapa final'!$O$24),"")</f>
        <v/>
      </c>
      <c r="Y38" s="68" t="str">
        <f ca="1">IF(AND('Mapa final'!$Y$25="Baja",'Mapa final'!$AA$25="Moderado"),CONCATENATE("R3C",'Mapa final'!$O$25),"")</f>
        <v/>
      </c>
      <c r="Z38" s="68" t="str">
        <f ca="1">IF(AND('Mapa final'!$Y$26="Baja",'Mapa final'!$AA$26="Moderado"),CONCATENATE("R3C",'Mapa final'!$O$26),"")</f>
        <v/>
      </c>
      <c r="AA38" s="69" t="str">
        <f>IF(AND('Mapa final'!$Y$27="Baja",'Mapa final'!$AA$27="Moderado"),CONCATENATE("R3C",'Mapa final'!$O$27),"")</f>
        <v/>
      </c>
      <c r="AB38" s="52" t="str">
        <f ca="1">IF(AND('Mapa final'!$Y$22="Baja",'Mapa final'!$AA$22="Mayor"),CONCATENATE("R3C",'Mapa final'!$O$22),"")</f>
        <v>R3C1</v>
      </c>
      <c r="AC38" s="53" t="str">
        <f ca="1">IF(AND('Mapa final'!$Y$23="Baja",'Mapa final'!$AA$23="Mayor"),CONCATENATE("R3C",'Mapa final'!$O$23),"")</f>
        <v/>
      </c>
      <c r="AD38" s="53" t="str">
        <f ca="1">IF(AND('Mapa final'!$Y$24="Baja",'Mapa final'!$AA$24="Mayor"),CONCATENATE("R3C",'Mapa final'!$O$24),"")</f>
        <v/>
      </c>
      <c r="AE38" s="53" t="str">
        <f ca="1">IF(AND('Mapa final'!$Y$25="Baja",'Mapa final'!$AA$25="Mayor"),CONCATENATE("R3C",'Mapa final'!$O$25),"")</f>
        <v/>
      </c>
      <c r="AF38" s="53" t="str">
        <f ca="1">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 ca="1">IF(AND('Mapa final'!$Y$24="Baja",'Mapa final'!$AA$24="Catastrófico"),CONCATENATE("R3C",'Mapa final'!$O$24),"")</f>
        <v/>
      </c>
      <c r="AK38" s="56" t="str">
        <f ca="1">IF(AND('Mapa final'!$Y$25="Baja",'Mapa final'!$AA$25="Catastrófico"),CONCATENATE("R3C",'Mapa final'!$O$25),"")</f>
        <v/>
      </c>
      <c r="AL38" s="56" t="str">
        <f ca="1">IF(AND('Mapa final'!$Y$26="Baja",'Mapa final'!$AA$26="Catastrófico"),CONCATENATE("R3C",'Mapa final'!$O$26),"")</f>
        <v/>
      </c>
      <c r="AM38" s="57" t="str">
        <f>IF(AND('Mapa final'!$Y$27="Baja",'Mapa final'!$AA$27="Catastrófico"),CONCATENATE("R3C",'Mapa final'!$O$27),"")</f>
        <v/>
      </c>
      <c r="AN38" s="83"/>
      <c r="AO38" s="358"/>
      <c r="AP38" s="359"/>
      <c r="AQ38" s="359"/>
      <c r="AR38" s="359"/>
      <c r="AS38" s="359"/>
      <c r="AT38" s="36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9"/>
      <c r="C39" s="239"/>
      <c r="D39" s="240"/>
      <c r="E39" s="338"/>
      <c r="F39" s="337"/>
      <c r="G39" s="337"/>
      <c r="H39" s="337"/>
      <c r="I39" s="337"/>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8"/>
      <c r="AP39" s="359"/>
      <c r="AQ39" s="359"/>
      <c r="AR39" s="359"/>
      <c r="AS39" s="359"/>
      <c r="AT39" s="36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9"/>
      <c r="C40" s="239"/>
      <c r="D40" s="240"/>
      <c r="E40" s="338"/>
      <c r="F40" s="337"/>
      <c r="G40" s="337"/>
      <c r="H40" s="337"/>
      <c r="I40" s="337"/>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8"/>
      <c r="AP40" s="359"/>
      <c r="AQ40" s="359"/>
      <c r="AR40" s="359"/>
      <c r="AS40" s="359"/>
      <c r="AT40" s="36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9"/>
      <c r="C41" s="239"/>
      <c r="D41" s="240"/>
      <c r="E41" s="338"/>
      <c r="F41" s="337"/>
      <c r="G41" s="337"/>
      <c r="H41" s="337"/>
      <c r="I41" s="337"/>
      <c r="J41" s="76" t="str">
        <f ca="1">IF(AND('Mapa final'!$Y$40="Baja",'Mapa final'!$AA$40="Leve"),CONCATENATE("R6C",'Mapa final'!$O$40),"")</f>
        <v/>
      </c>
      <c r="K41" s="77" t="str">
        <f ca="1">IF(AND('Mapa final'!$Y$41="Baja",'Mapa final'!$AA$41="Leve"),CONCATENATE("R6C",'Mapa final'!$O$41),"")</f>
        <v/>
      </c>
      <c r="L41" s="77" t="str">
        <f ca="1">IF(AND('Mapa final'!$Y$42="Baja",'Mapa final'!$AA$42="Leve"),CONCATENATE("R6C",'Mapa final'!$O$42),"")</f>
        <v/>
      </c>
      <c r="M41" s="77" t="str">
        <f ca="1">IF(AND('Mapa final'!$Y$43="Baja",'Mapa final'!$AA$43="Leve"),CONCATENATE("R6C",'Mapa final'!$O$43),"")</f>
        <v/>
      </c>
      <c r="N41" s="77" t="str">
        <f ca="1">IF(AND('Mapa final'!$Y$44="Baja",'Mapa final'!$AA$44="Leve"),CONCATENATE("R6C",'Mapa final'!$O$44),"")</f>
        <v/>
      </c>
      <c r="O41" s="78" t="str">
        <f>IF(AND('Mapa final'!$Y$45="Baja",'Mapa final'!$AA$45="Leve"),CONCATENATE("R6C",'Mapa final'!$O$45),"")</f>
        <v/>
      </c>
      <c r="P41" s="67" t="str">
        <f ca="1">IF(AND('Mapa final'!$Y$40="Baja",'Mapa final'!$AA$40="Menor"),CONCATENATE("R6C",'Mapa final'!$O$40),"")</f>
        <v/>
      </c>
      <c r="Q41" s="68" t="str">
        <f ca="1">IF(AND('Mapa final'!$Y$41="Baja",'Mapa final'!$AA$41="Menor"),CONCATENATE("R6C",'Mapa final'!$O$41),"")</f>
        <v>R6C2</v>
      </c>
      <c r="R41" s="68" t="str">
        <f ca="1">IF(AND('Mapa final'!$Y$42="Baja",'Mapa final'!$AA$42="Menor"),CONCATENATE("R6C",'Mapa final'!$O$42),"")</f>
        <v/>
      </c>
      <c r="S41" s="68" t="str">
        <f ca="1">IF(AND('Mapa final'!$Y$43="Baja",'Mapa final'!$AA$43="Menor"),CONCATENATE("R6C",'Mapa final'!$O$43),"")</f>
        <v/>
      </c>
      <c r="T41" s="68" t="str">
        <f ca="1">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 ca="1">IF(AND('Mapa final'!$Y$41="Baja",'Mapa final'!$AA$41="Moderado"),CONCATENATE("R6C",'Mapa final'!$O$41),"")</f>
        <v/>
      </c>
      <c r="X41" s="68" t="str">
        <f ca="1">IF(AND('Mapa final'!$Y$42="Baja",'Mapa final'!$AA$42="Moderado"),CONCATENATE("R6C",'Mapa final'!$O$42),"")</f>
        <v/>
      </c>
      <c r="Y41" s="68" t="str">
        <f ca="1">IF(AND('Mapa final'!$Y$43="Baja",'Mapa final'!$AA$43="Moderado"),CONCATENATE("R6C",'Mapa final'!$O$43),"")</f>
        <v/>
      </c>
      <c r="Z41" s="68" t="str">
        <f ca="1">IF(AND('Mapa final'!$Y$44="Baja",'Mapa final'!$AA$44="Moderado"),CONCATENATE("R6C",'Mapa final'!$O$44),"")</f>
        <v/>
      </c>
      <c r="AA41" s="69" t="str">
        <f>IF(AND('Mapa final'!$Y$45="Baja",'Mapa final'!$AA$45="Moderado"),CONCATENATE("R6C",'Mapa final'!$O$45),"")</f>
        <v/>
      </c>
      <c r="AB41" s="52" t="str">
        <f ca="1">IF(AND('Mapa final'!$Y$40="Baja",'Mapa final'!$AA$40="Mayor"),CONCATENATE("R6C",'Mapa final'!$O$40),"")</f>
        <v>R6C1</v>
      </c>
      <c r="AC41" s="53" t="str">
        <f ca="1">IF(AND('Mapa final'!$Y$41="Baja",'Mapa final'!$AA$41="Mayor"),CONCATENATE("R6C",'Mapa final'!$O$41),"")</f>
        <v/>
      </c>
      <c r="AD41" s="53" t="str">
        <f ca="1">IF(AND('Mapa final'!$Y$42="Baja",'Mapa final'!$AA$42="Mayor"),CONCATENATE("R6C",'Mapa final'!$O$42),"")</f>
        <v/>
      </c>
      <c r="AE41" s="53" t="str">
        <f ca="1">IF(AND('Mapa final'!$Y$43="Baja",'Mapa final'!$AA$43="Mayor"),CONCATENATE("R6C",'Mapa final'!$O$43),"")</f>
        <v/>
      </c>
      <c r="AF41" s="53" t="str">
        <f ca="1">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 ca="1">IF(AND('Mapa final'!$Y$41="Baja",'Mapa final'!$AA$41="Catastrófico"),CONCATENATE("R6C",'Mapa final'!$O$41),"")</f>
        <v/>
      </c>
      <c r="AJ41" s="56" t="str">
        <f ca="1">IF(AND('Mapa final'!$Y$42="Baja",'Mapa final'!$AA$42="Catastrófico"),CONCATENATE("R6C",'Mapa final'!$O$42),"")</f>
        <v/>
      </c>
      <c r="AK41" s="56" t="str">
        <f ca="1">IF(AND('Mapa final'!$Y$43="Baja",'Mapa final'!$AA$43="Catastrófico"),CONCATENATE("R6C",'Mapa final'!$O$43),"")</f>
        <v/>
      </c>
      <c r="AL41" s="56" t="str">
        <f ca="1">IF(AND('Mapa final'!$Y$44="Baja",'Mapa final'!$AA$44="Catastrófico"),CONCATENATE("R6C",'Mapa final'!$O$44),"")</f>
        <v/>
      </c>
      <c r="AM41" s="57" t="str">
        <f>IF(AND('Mapa final'!$Y$45="Baja",'Mapa final'!$AA$45="Catastrófico"),CONCATENATE("R6C",'Mapa final'!$O$45),"")</f>
        <v/>
      </c>
      <c r="AN41" s="83"/>
      <c r="AO41" s="358"/>
      <c r="AP41" s="359"/>
      <c r="AQ41" s="359"/>
      <c r="AR41" s="359"/>
      <c r="AS41" s="359"/>
      <c r="AT41" s="36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9"/>
      <c r="C42" s="239"/>
      <c r="D42" s="240"/>
      <c r="E42" s="338"/>
      <c r="F42" s="337"/>
      <c r="G42" s="337"/>
      <c r="H42" s="337"/>
      <c r="I42" s="33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8"/>
      <c r="AP42" s="359"/>
      <c r="AQ42" s="359"/>
      <c r="AR42" s="359"/>
      <c r="AS42" s="359"/>
      <c r="AT42" s="36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9"/>
      <c r="C43" s="239"/>
      <c r="D43" s="240"/>
      <c r="E43" s="338"/>
      <c r="F43" s="337"/>
      <c r="G43" s="337"/>
      <c r="H43" s="337"/>
      <c r="I43" s="337"/>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R8C1</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8"/>
      <c r="AP43" s="359"/>
      <c r="AQ43" s="359"/>
      <c r="AR43" s="359"/>
      <c r="AS43" s="359"/>
      <c r="AT43" s="36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9"/>
      <c r="C44" s="239"/>
      <c r="D44" s="240"/>
      <c r="E44" s="338"/>
      <c r="F44" s="337"/>
      <c r="G44" s="337"/>
      <c r="H44" s="337"/>
      <c r="I44" s="337"/>
      <c r="J44" s="76" t="str">
        <f ca="1">IF(AND('Mapa final'!$Y$58="Baja",'Mapa final'!$AA$58="Leve"),CONCATENATE("R9C",'Mapa final'!$O$58),"")</f>
        <v/>
      </c>
      <c r="K44" s="77" t="str">
        <f ca="1">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
      </c>
      <c r="Q44" s="68" t="str">
        <f ca="1">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 ca="1">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R9C1</v>
      </c>
      <c r="AC44" s="53" t="str">
        <f ca="1">IF(AND('Mapa final'!$Y$59="Baja",'Mapa final'!$AA$59="Mayor"),CONCATENATE("R9C",'Mapa final'!$O$59),"")</f>
        <v>R9C2</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 ca="1">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8"/>
      <c r="AP44" s="359"/>
      <c r="AQ44" s="359"/>
      <c r="AR44" s="359"/>
      <c r="AS44" s="359"/>
      <c r="AT44" s="36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9"/>
      <c r="C45" s="239"/>
      <c r="D45" s="240"/>
      <c r="E45" s="339"/>
      <c r="F45" s="340"/>
      <c r="G45" s="340"/>
      <c r="H45" s="340"/>
      <c r="I45" s="340"/>
      <c r="J45" s="79" t="str">
        <f ca="1">IF(AND('Mapa final'!$Y$64="Baja",'Mapa final'!$AA$64="Leve"),CONCATENATE("R10C",'Mapa final'!$O$64),"")</f>
        <v/>
      </c>
      <c r="K45" s="80" t="str">
        <f ca="1">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
      </c>
      <c r="Q45" s="68" t="str">
        <f ca="1">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
      </c>
      <c r="W45" s="71" t="str">
        <f ca="1">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 ca="1">IF(AND('Mapa final'!$Y$65="Baja",'Mapa final'!$AA$65="Mayor"),CONCATENATE("R10C",'Mapa final'!$O$65),"")</f>
        <v>R10C2</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 ca="1">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1"/>
      <c r="AP45" s="362"/>
      <c r="AQ45" s="362"/>
      <c r="AR45" s="362"/>
      <c r="AS45" s="362"/>
      <c r="AT45" s="363"/>
    </row>
    <row r="46" spans="1:80" ht="46.5" customHeight="1" x14ac:dyDescent="0.35">
      <c r="A46" s="83"/>
      <c r="B46" s="239"/>
      <c r="C46" s="239"/>
      <c r="D46" s="240"/>
      <c r="E46" s="334" t="s">
        <v>113</v>
      </c>
      <c r="F46" s="335"/>
      <c r="G46" s="335"/>
      <c r="H46" s="335"/>
      <c r="I46" s="352"/>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R1C1</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9"/>
      <c r="C47" s="239"/>
      <c r="D47" s="240"/>
      <c r="E47" s="336"/>
      <c r="F47" s="337"/>
      <c r="G47" s="337"/>
      <c r="H47" s="337"/>
      <c r="I47" s="353"/>
      <c r="J47" s="76" t="str">
        <f ca="1">IF(AND('Mapa final'!$Y$16="Muy Baja",'Mapa final'!$AA$16="Leve"),CONCATENATE("R2C",'Mapa final'!$O$16),"")</f>
        <v/>
      </c>
      <c r="K47" s="77" t="str">
        <f ca="1">IF(AND('Mapa final'!$Y$17="Muy Baja",'Mapa final'!$AA$17="Leve"),CONCATENATE("R2C",'Mapa final'!$O$17),"")</f>
        <v/>
      </c>
      <c r="L47" s="77" t="str">
        <f ca="1">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R2C2</v>
      </c>
      <c r="R47" s="77" t="str">
        <f ca="1">IF(AND('Mapa final'!$Y$18="Muy Baja",'Mapa final'!$AA$18="Menor"),CONCATENATE("R2C",'Mapa final'!$O$18),"")</f>
        <v>R2C3</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R2C1</v>
      </c>
      <c r="W47" s="68" t="str">
        <f ca="1">IF(AND('Mapa final'!$Y$17="Muy Baja",'Mapa final'!$AA$17="Moderado"),CONCATENATE("R2C",'Mapa final'!$O$17),"")</f>
        <v/>
      </c>
      <c r="X47" s="68" t="str">
        <f ca="1">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 ca="1">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 ca="1">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9"/>
      <c r="C48" s="239"/>
      <c r="D48" s="240"/>
      <c r="E48" s="336"/>
      <c r="F48" s="337"/>
      <c r="G48" s="337"/>
      <c r="H48" s="337"/>
      <c r="I48" s="353"/>
      <c r="J48" s="76" t="str">
        <f ca="1">IF(AND('Mapa final'!$Y$22="Muy Baja",'Mapa final'!$AA$22="Leve"),CONCATENATE("R3C",'Mapa final'!$O$22),"")</f>
        <v/>
      </c>
      <c r="K48" s="77" t="str">
        <f ca="1">IF(AND('Mapa final'!$Y$23="Muy Baja",'Mapa final'!$AA$23="Leve"),CONCATENATE("R3C",'Mapa final'!$O$23),"")</f>
        <v/>
      </c>
      <c r="L48" s="77" t="str">
        <f ca="1">IF(AND('Mapa final'!$Y$24="Muy Baja",'Mapa final'!$AA$24="Leve"),CONCATENATE("R3C",'Mapa final'!$O$24),"")</f>
        <v/>
      </c>
      <c r="M48" s="77" t="str">
        <f ca="1">IF(AND('Mapa final'!$Y$25="Muy Baja",'Mapa final'!$AA$25="Leve"),CONCATENATE("R3C",'Mapa final'!$O$25),"")</f>
        <v/>
      </c>
      <c r="N48" s="77" t="str">
        <f ca="1">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 ca="1">IF(AND('Mapa final'!$Y$24="Muy Baja",'Mapa final'!$AA$24="Menor"),CONCATENATE("R3C",'Mapa final'!$O$24),"")</f>
        <v/>
      </c>
      <c r="S48" s="77" t="str">
        <f ca="1">IF(AND('Mapa final'!$Y$25="Muy Baja",'Mapa final'!$AA$25="Menor"),CONCATENATE("R3C",'Mapa final'!$O$25),"")</f>
        <v/>
      </c>
      <c r="T48" s="77" t="str">
        <f ca="1">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 ca="1">IF(AND('Mapa final'!$Y$24="Muy Baja",'Mapa final'!$AA$24="Moderado"),CONCATENATE("R3C",'Mapa final'!$O$24),"")</f>
        <v>R3C3</v>
      </c>
      <c r="Y48" s="68" t="str">
        <f ca="1">IF(AND('Mapa final'!$Y$25="Muy Baja",'Mapa final'!$AA$25="Moderado"),CONCATENATE("R3C",'Mapa final'!$O$25),"")</f>
        <v>R3C4</v>
      </c>
      <c r="Z48" s="68" t="str">
        <f ca="1">IF(AND('Mapa final'!$Y$26="Muy Baja",'Mapa final'!$AA$26="Moderado"),CONCATENATE("R3C",'Mapa final'!$O$26),"")</f>
        <v>R3C5</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 ca="1">IF(AND('Mapa final'!$Y$24="Muy Baja",'Mapa final'!$AA$24="Mayor"),CONCATENATE("R3C",'Mapa final'!$O$24),"")</f>
        <v/>
      </c>
      <c r="AE48" s="53" t="str">
        <f ca="1">IF(AND('Mapa final'!$Y$25="Muy Baja",'Mapa final'!$AA$25="Mayor"),CONCATENATE("R3C",'Mapa final'!$O$25),"")</f>
        <v/>
      </c>
      <c r="AF48" s="53" t="str">
        <f ca="1">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 ca="1">IF(AND('Mapa final'!$Y$24="Muy Baja",'Mapa final'!$AA$24="Catastrófico"),CONCATENATE("R3C",'Mapa final'!$O$24),"")</f>
        <v/>
      </c>
      <c r="AK48" s="56" t="str">
        <f ca="1">IF(AND('Mapa final'!$Y$25="Muy Baja",'Mapa final'!$AA$25="Catastrófico"),CONCATENATE("R3C",'Mapa final'!$O$25),"")</f>
        <v/>
      </c>
      <c r="AL48" s="56" t="str">
        <f ca="1">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9"/>
      <c r="C49" s="239"/>
      <c r="D49" s="240"/>
      <c r="E49" s="338"/>
      <c r="F49" s="337"/>
      <c r="G49" s="337"/>
      <c r="H49" s="337"/>
      <c r="I49" s="353"/>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R4C1</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9"/>
      <c r="C50" s="239"/>
      <c r="D50" s="240"/>
      <c r="E50" s="338"/>
      <c r="F50" s="337"/>
      <c r="G50" s="337"/>
      <c r="H50" s="337"/>
      <c r="I50" s="353"/>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R5C1</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9"/>
      <c r="C51" s="239"/>
      <c r="D51" s="240"/>
      <c r="E51" s="338"/>
      <c r="F51" s="337"/>
      <c r="G51" s="337"/>
      <c r="H51" s="337"/>
      <c r="I51" s="353"/>
      <c r="J51" s="76" t="str">
        <f ca="1">IF(AND('Mapa final'!$Y$40="Muy Baja",'Mapa final'!$AA$40="Leve"),CONCATENATE("R6C",'Mapa final'!$O$40),"")</f>
        <v/>
      </c>
      <c r="K51" s="77" t="str">
        <f ca="1">IF(AND('Mapa final'!$Y$41="Muy Baja",'Mapa final'!$AA$41="Leve"),CONCATENATE("R6C",'Mapa final'!$O$41),"")</f>
        <v/>
      </c>
      <c r="L51" s="77" t="str">
        <f ca="1">IF(AND('Mapa final'!$Y$42="Muy Baja",'Mapa final'!$AA$42="Leve"),CONCATENATE("R6C",'Mapa final'!$O$42),"")</f>
        <v/>
      </c>
      <c r="M51" s="77" t="str">
        <f ca="1">IF(AND('Mapa final'!$Y$43="Muy Baja",'Mapa final'!$AA$43="Leve"),CONCATENATE("R6C",'Mapa final'!$O$43),"")</f>
        <v/>
      </c>
      <c r="N51" s="77" t="str">
        <f ca="1">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 ca="1">IF(AND('Mapa final'!$Y$41="Muy Baja",'Mapa final'!$AA$41="Menor"),CONCATENATE("R6C",'Mapa final'!$O$41),"")</f>
        <v/>
      </c>
      <c r="R51" s="77" t="str">
        <f ca="1">IF(AND('Mapa final'!$Y$42="Muy Baja",'Mapa final'!$AA$42="Menor"),CONCATENATE("R6C",'Mapa final'!$O$42),"")</f>
        <v>R6C3</v>
      </c>
      <c r="S51" s="77" t="str">
        <f ca="1">IF(AND('Mapa final'!$Y$43="Muy Baja",'Mapa final'!$AA$43="Menor"),CONCATENATE("R6C",'Mapa final'!$O$43),"")</f>
        <v>R6C4</v>
      </c>
      <c r="T51" s="77" t="str">
        <f ca="1">IF(AND('Mapa final'!$Y$44="Muy Baja",'Mapa final'!$AA$44="Menor"),CONCATENATE("R6C",'Mapa final'!$O$44),"")</f>
        <v>R6C5</v>
      </c>
      <c r="U51" s="78" t="str">
        <f>IF(AND('Mapa final'!$Y$45="Muy Baja",'Mapa final'!$AA$45="Menor"),CONCATENATE("R6C",'Mapa final'!$O$45),"")</f>
        <v/>
      </c>
      <c r="V51" s="67" t="str">
        <f ca="1">IF(AND('Mapa final'!$Y$40="Muy Baja",'Mapa final'!$AA$40="Moderado"),CONCATENATE("R6C",'Mapa final'!$O$40),"")</f>
        <v/>
      </c>
      <c r="W51" s="68" t="str">
        <f ca="1">IF(AND('Mapa final'!$Y$41="Muy Baja",'Mapa final'!$AA$41="Moderado"),CONCATENATE("R6C",'Mapa final'!$O$41),"")</f>
        <v/>
      </c>
      <c r="X51" s="68" t="str">
        <f ca="1">IF(AND('Mapa final'!$Y$42="Muy Baja",'Mapa final'!$AA$42="Moderado"),CONCATENATE("R6C",'Mapa final'!$O$42),"")</f>
        <v/>
      </c>
      <c r="Y51" s="68" t="str">
        <f ca="1">IF(AND('Mapa final'!$Y$43="Muy Baja",'Mapa final'!$AA$43="Moderado"),CONCATENATE("R6C",'Mapa final'!$O$43),"")</f>
        <v/>
      </c>
      <c r="Z51" s="68" t="str">
        <f ca="1">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 ca="1">IF(AND('Mapa final'!$Y$41="Muy Baja",'Mapa final'!$AA$41="Mayor"),CONCATENATE("R6C",'Mapa final'!$O$41),"")</f>
        <v/>
      </c>
      <c r="AD51" s="53" t="str">
        <f ca="1">IF(AND('Mapa final'!$Y$42="Muy Baja",'Mapa final'!$AA$42="Mayor"),CONCATENATE("R6C",'Mapa final'!$O$42),"")</f>
        <v/>
      </c>
      <c r="AE51" s="53" t="str">
        <f ca="1">IF(AND('Mapa final'!$Y$43="Muy Baja",'Mapa final'!$AA$43="Mayor"),CONCATENATE("R6C",'Mapa final'!$O$43),"")</f>
        <v/>
      </c>
      <c r="AF51" s="53" t="str">
        <f ca="1">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 ca="1">IF(AND('Mapa final'!$Y$41="Muy Baja",'Mapa final'!$AA$41="Catastrófico"),CONCATENATE("R6C",'Mapa final'!$O$41),"")</f>
        <v/>
      </c>
      <c r="AJ51" s="56" t="str">
        <f ca="1">IF(AND('Mapa final'!$Y$42="Muy Baja",'Mapa final'!$AA$42="Catastrófico"),CONCATENATE("R6C",'Mapa final'!$O$42),"")</f>
        <v/>
      </c>
      <c r="AK51" s="56" t="str">
        <f ca="1">IF(AND('Mapa final'!$Y$43="Muy Baja",'Mapa final'!$AA$43="Catastrófico"),CONCATENATE("R6C",'Mapa final'!$O$43),"")</f>
        <v/>
      </c>
      <c r="AL51" s="56" t="str">
        <f ca="1">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9"/>
      <c r="C52" s="239"/>
      <c r="D52" s="240"/>
      <c r="E52" s="338"/>
      <c r="F52" s="337"/>
      <c r="G52" s="337"/>
      <c r="H52" s="337"/>
      <c r="I52" s="353"/>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9"/>
      <c r="C53" s="239"/>
      <c r="D53" s="240"/>
      <c r="E53" s="338"/>
      <c r="F53" s="337"/>
      <c r="G53" s="337"/>
      <c r="H53" s="337"/>
      <c r="I53" s="353"/>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9"/>
      <c r="C54" s="239"/>
      <c r="D54" s="240"/>
      <c r="E54" s="338"/>
      <c r="F54" s="337"/>
      <c r="G54" s="337"/>
      <c r="H54" s="337"/>
      <c r="I54" s="353"/>
      <c r="J54" s="76" t="str">
        <f ca="1">IF(AND('Mapa final'!$Y$58="Muy Baja",'Mapa final'!$AA$58="Leve"),CONCATENATE("R9C",'Mapa final'!$O$58),"")</f>
        <v/>
      </c>
      <c r="K54" s="77" t="str">
        <f ca="1">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
      </c>
      <c r="Q54" s="77" t="str">
        <f ca="1">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 ca="1">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 ca="1">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 ca="1">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9"/>
      <c r="C55" s="239"/>
      <c r="D55" s="240"/>
      <c r="E55" s="339"/>
      <c r="F55" s="340"/>
      <c r="G55" s="340"/>
      <c r="H55" s="340"/>
      <c r="I55" s="354"/>
      <c r="J55" s="79" t="str">
        <f ca="1">IF(AND('Mapa final'!$Y$64="Muy Baja",'Mapa final'!$AA$64="Leve"),CONCATENATE("R10C",'Mapa final'!$O$64),"")</f>
        <v/>
      </c>
      <c r="K55" s="80" t="str">
        <f ca="1">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
      </c>
      <c r="Q55" s="80" t="str">
        <f ca="1">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 ca="1">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 ca="1">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 ca="1">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4" t="s">
        <v>112</v>
      </c>
      <c r="K56" s="335"/>
      <c r="L56" s="335"/>
      <c r="M56" s="335"/>
      <c r="N56" s="335"/>
      <c r="O56" s="352"/>
      <c r="P56" s="334" t="s">
        <v>111</v>
      </c>
      <c r="Q56" s="335"/>
      <c r="R56" s="335"/>
      <c r="S56" s="335"/>
      <c r="T56" s="335"/>
      <c r="U56" s="352"/>
      <c r="V56" s="334" t="s">
        <v>110</v>
      </c>
      <c r="W56" s="335"/>
      <c r="X56" s="335"/>
      <c r="Y56" s="335"/>
      <c r="Z56" s="335"/>
      <c r="AA56" s="352"/>
      <c r="AB56" s="334" t="s">
        <v>109</v>
      </c>
      <c r="AC56" s="373"/>
      <c r="AD56" s="335"/>
      <c r="AE56" s="335"/>
      <c r="AF56" s="335"/>
      <c r="AG56" s="352"/>
      <c r="AH56" s="334" t="s">
        <v>108</v>
      </c>
      <c r="AI56" s="335"/>
      <c r="AJ56" s="335"/>
      <c r="AK56" s="335"/>
      <c r="AL56" s="335"/>
      <c r="AM56" s="35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8"/>
      <c r="K57" s="337"/>
      <c r="L57" s="337"/>
      <c r="M57" s="337"/>
      <c r="N57" s="337"/>
      <c r="O57" s="353"/>
      <c r="P57" s="338"/>
      <c r="Q57" s="337"/>
      <c r="R57" s="337"/>
      <c r="S57" s="337"/>
      <c r="T57" s="337"/>
      <c r="U57" s="353"/>
      <c r="V57" s="338"/>
      <c r="W57" s="337"/>
      <c r="X57" s="337"/>
      <c r="Y57" s="337"/>
      <c r="Z57" s="337"/>
      <c r="AA57" s="353"/>
      <c r="AB57" s="338"/>
      <c r="AC57" s="337"/>
      <c r="AD57" s="337"/>
      <c r="AE57" s="337"/>
      <c r="AF57" s="337"/>
      <c r="AG57" s="353"/>
      <c r="AH57" s="338"/>
      <c r="AI57" s="337"/>
      <c r="AJ57" s="337"/>
      <c r="AK57" s="337"/>
      <c r="AL57" s="337"/>
      <c r="AM57" s="35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8"/>
      <c r="K58" s="337"/>
      <c r="L58" s="337"/>
      <c r="M58" s="337"/>
      <c r="N58" s="337"/>
      <c r="O58" s="353"/>
      <c r="P58" s="338"/>
      <c r="Q58" s="337"/>
      <c r="R58" s="337"/>
      <c r="S58" s="337"/>
      <c r="T58" s="337"/>
      <c r="U58" s="353"/>
      <c r="V58" s="338"/>
      <c r="W58" s="337"/>
      <c r="X58" s="337"/>
      <c r="Y58" s="337"/>
      <c r="Z58" s="337"/>
      <c r="AA58" s="353"/>
      <c r="AB58" s="338"/>
      <c r="AC58" s="337"/>
      <c r="AD58" s="337"/>
      <c r="AE58" s="337"/>
      <c r="AF58" s="337"/>
      <c r="AG58" s="353"/>
      <c r="AH58" s="338"/>
      <c r="AI58" s="337"/>
      <c r="AJ58" s="337"/>
      <c r="AK58" s="337"/>
      <c r="AL58" s="337"/>
      <c r="AM58" s="35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8"/>
      <c r="K59" s="337"/>
      <c r="L59" s="337"/>
      <c r="M59" s="337"/>
      <c r="N59" s="337"/>
      <c r="O59" s="353"/>
      <c r="P59" s="338"/>
      <c r="Q59" s="337"/>
      <c r="R59" s="337"/>
      <c r="S59" s="337"/>
      <c r="T59" s="337"/>
      <c r="U59" s="353"/>
      <c r="V59" s="338"/>
      <c r="W59" s="337"/>
      <c r="X59" s="337"/>
      <c r="Y59" s="337"/>
      <c r="Z59" s="337"/>
      <c r="AA59" s="353"/>
      <c r="AB59" s="338"/>
      <c r="AC59" s="337"/>
      <c r="AD59" s="337"/>
      <c r="AE59" s="337"/>
      <c r="AF59" s="337"/>
      <c r="AG59" s="353"/>
      <c r="AH59" s="338"/>
      <c r="AI59" s="337"/>
      <c r="AJ59" s="337"/>
      <c r="AK59" s="337"/>
      <c r="AL59" s="337"/>
      <c r="AM59" s="35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8"/>
      <c r="K60" s="337"/>
      <c r="L60" s="337"/>
      <c r="M60" s="337"/>
      <c r="N60" s="337"/>
      <c r="O60" s="353"/>
      <c r="P60" s="338"/>
      <c r="Q60" s="337"/>
      <c r="R60" s="337"/>
      <c r="S60" s="337"/>
      <c r="T60" s="337"/>
      <c r="U60" s="353"/>
      <c r="V60" s="338"/>
      <c r="W60" s="337"/>
      <c r="X60" s="337"/>
      <c r="Y60" s="337"/>
      <c r="Z60" s="337"/>
      <c r="AA60" s="353"/>
      <c r="AB60" s="338"/>
      <c r="AC60" s="337"/>
      <c r="AD60" s="337"/>
      <c r="AE60" s="337"/>
      <c r="AF60" s="337"/>
      <c r="AG60" s="353"/>
      <c r="AH60" s="338"/>
      <c r="AI60" s="337"/>
      <c r="AJ60" s="337"/>
      <c r="AK60" s="337"/>
      <c r="AL60" s="337"/>
      <c r="AM60" s="35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9"/>
      <c r="K61" s="340"/>
      <c r="L61" s="340"/>
      <c r="M61" s="340"/>
      <c r="N61" s="340"/>
      <c r="O61" s="354"/>
      <c r="P61" s="339"/>
      <c r="Q61" s="340"/>
      <c r="R61" s="340"/>
      <c r="S61" s="340"/>
      <c r="T61" s="340"/>
      <c r="U61" s="354"/>
      <c r="V61" s="339"/>
      <c r="W61" s="340"/>
      <c r="X61" s="340"/>
      <c r="Y61" s="340"/>
      <c r="Z61" s="340"/>
      <c r="AA61" s="354"/>
      <c r="AB61" s="339"/>
      <c r="AC61" s="340"/>
      <c r="AD61" s="340"/>
      <c r="AE61" s="340"/>
      <c r="AF61" s="340"/>
      <c r="AG61" s="354"/>
      <c r="AH61" s="339"/>
      <c r="AI61" s="340"/>
      <c r="AJ61" s="340"/>
      <c r="AK61" s="340"/>
      <c r="AL61" s="340"/>
      <c r="AM61" s="35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4" t="s">
        <v>55</v>
      </c>
      <c r="C1" s="374"/>
      <c r="D1" s="37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8" sqref="D8"/>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5" t="s">
        <v>63</v>
      </c>
      <c r="C1" s="375"/>
      <c r="D1" s="37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c r="C222" s="32"/>
    </row>
    <row r="223" spans="1:8" x14ac:dyDescent="0.25">
      <c r="B223" s="32"/>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6" t="s">
        <v>78</v>
      </c>
      <c r="C1" s="377"/>
      <c r="D1" s="377"/>
      <c r="E1" s="377"/>
      <c r="F1" s="378"/>
    </row>
    <row r="2" spans="2:6" ht="16.5" thickBot="1" x14ac:dyDescent="0.3">
      <c r="B2" s="89"/>
      <c r="C2" s="89"/>
      <c r="D2" s="89"/>
      <c r="E2" s="89"/>
      <c r="F2" s="89"/>
    </row>
    <row r="3" spans="2:6" ht="16.5" thickBot="1" x14ac:dyDescent="0.25">
      <c r="B3" s="380" t="s">
        <v>64</v>
      </c>
      <c r="C3" s="381"/>
      <c r="D3" s="381"/>
      <c r="E3" s="101" t="s">
        <v>65</v>
      </c>
      <c r="F3" s="102" t="s">
        <v>66</v>
      </c>
    </row>
    <row r="4" spans="2:6" ht="31.5" x14ac:dyDescent="0.2">
      <c r="B4" s="382" t="s">
        <v>67</v>
      </c>
      <c r="C4" s="384" t="s">
        <v>13</v>
      </c>
      <c r="D4" s="90" t="s">
        <v>14</v>
      </c>
      <c r="E4" s="91" t="s">
        <v>68</v>
      </c>
      <c r="F4" s="92">
        <v>0.25</v>
      </c>
    </row>
    <row r="5" spans="2:6" ht="47.25" x14ac:dyDescent="0.2">
      <c r="B5" s="383"/>
      <c r="C5" s="385"/>
      <c r="D5" s="93" t="s">
        <v>15</v>
      </c>
      <c r="E5" s="94" t="s">
        <v>69</v>
      </c>
      <c r="F5" s="95">
        <v>0.15</v>
      </c>
    </row>
    <row r="6" spans="2:6" ht="47.25" x14ac:dyDescent="0.2">
      <c r="B6" s="383"/>
      <c r="C6" s="385"/>
      <c r="D6" s="93" t="s">
        <v>16</v>
      </c>
      <c r="E6" s="94" t="s">
        <v>70</v>
      </c>
      <c r="F6" s="95">
        <v>0.1</v>
      </c>
    </row>
    <row r="7" spans="2:6" ht="63" x14ac:dyDescent="0.2">
      <c r="B7" s="383"/>
      <c r="C7" s="385" t="s">
        <v>17</v>
      </c>
      <c r="D7" s="93" t="s">
        <v>10</v>
      </c>
      <c r="E7" s="94" t="s">
        <v>71</v>
      </c>
      <c r="F7" s="95">
        <v>0.25</v>
      </c>
    </row>
    <row r="8" spans="2:6" ht="31.5" x14ac:dyDescent="0.2">
      <c r="B8" s="383"/>
      <c r="C8" s="385"/>
      <c r="D8" s="93" t="s">
        <v>9</v>
      </c>
      <c r="E8" s="94" t="s">
        <v>72</v>
      </c>
      <c r="F8" s="95">
        <v>0.15</v>
      </c>
    </row>
    <row r="9" spans="2:6" ht="47.25" x14ac:dyDescent="0.2">
      <c r="B9" s="383" t="s">
        <v>162</v>
      </c>
      <c r="C9" s="385" t="s">
        <v>18</v>
      </c>
      <c r="D9" s="93" t="s">
        <v>19</v>
      </c>
      <c r="E9" s="94" t="s">
        <v>73</v>
      </c>
      <c r="F9" s="96" t="s">
        <v>74</v>
      </c>
    </row>
    <row r="10" spans="2:6" ht="63" x14ac:dyDescent="0.2">
      <c r="B10" s="383"/>
      <c r="C10" s="385"/>
      <c r="D10" s="93" t="s">
        <v>20</v>
      </c>
      <c r="E10" s="94" t="s">
        <v>75</v>
      </c>
      <c r="F10" s="96" t="s">
        <v>74</v>
      </c>
    </row>
    <row r="11" spans="2:6" ht="47.25" x14ac:dyDescent="0.2">
      <c r="B11" s="383"/>
      <c r="C11" s="385" t="s">
        <v>21</v>
      </c>
      <c r="D11" s="93" t="s">
        <v>22</v>
      </c>
      <c r="E11" s="94" t="s">
        <v>76</v>
      </c>
      <c r="F11" s="96" t="s">
        <v>74</v>
      </c>
    </row>
    <row r="12" spans="2:6" ht="47.25" x14ac:dyDescent="0.2">
      <c r="B12" s="383"/>
      <c r="C12" s="385"/>
      <c r="D12" s="93" t="s">
        <v>23</v>
      </c>
      <c r="E12" s="94" t="s">
        <v>77</v>
      </c>
      <c r="F12" s="96" t="s">
        <v>74</v>
      </c>
    </row>
    <row r="13" spans="2:6" ht="31.5" x14ac:dyDescent="0.2">
      <c r="B13" s="383"/>
      <c r="C13" s="385" t="s">
        <v>24</v>
      </c>
      <c r="D13" s="93" t="s">
        <v>119</v>
      </c>
      <c r="E13" s="94" t="s">
        <v>122</v>
      </c>
      <c r="F13" s="96" t="s">
        <v>74</v>
      </c>
    </row>
    <row r="14" spans="2:6" ht="32.25" thickBot="1" x14ac:dyDescent="0.25">
      <c r="B14" s="386"/>
      <c r="C14" s="387"/>
      <c r="D14" s="97" t="s">
        <v>120</v>
      </c>
      <c r="E14" s="98" t="s">
        <v>121</v>
      </c>
      <c r="F14" s="99" t="s">
        <v>74</v>
      </c>
    </row>
    <row r="15" spans="2:6" ht="49.5" customHeight="1" x14ac:dyDescent="0.2">
      <c r="B15" s="379" t="s">
        <v>159</v>
      </c>
      <c r="C15" s="379"/>
      <c r="D15" s="379"/>
      <c r="E15" s="379"/>
      <c r="F15" s="379"/>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2023-10-30T16:57:23Z</dcterms:modified>
</cp:coreProperties>
</file>