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24226"/>
  <mc:AlternateContent xmlns:mc="http://schemas.openxmlformats.org/markup-compatibility/2006">
    <mc:Choice Requires="x15">
      <x15ac:absPath xmlns:x15ac="http://schemas.microsoft.com/office/spreadsheetml/2010/11/ac" url="D:\01-ARCHIVOS\RIESGOS\1.1. INFORMES DE SEGUIMIENTOS GIR POR PROCESO\1. RIESGOS DE PROCESO\MATRIZ GESTIÓN INTEGRAL DEL RIESGO POR PROCESO\"/>
    </mc:Choice>
  </mc:AlternateContent>
  <xr:revisionPtr revIDLastSave="0" documentId="13_ncr:1_{079AAE87-8829-4DF4-8782-4248658600B3}"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4" r:id="rId12"/>
  </pivotCaches>
</workbook>
</file>

<file path=xl/calcChain.xml><?xml version="1.0" encoding="utf-8"?>
<calcChain xmlns="http://schemas.openxmlformats.org/spreadsheetml/2006/main">
  <c r="T10" i="1" l="1"/>
  <c r="Q10" i="1"/>
  <c r="H10" i="1"/>
  <c r="I10" i="1" s="1"/>
  <c r="K59" i="1"/>
  <c r="K49" i="1"/>
  <c r="K38" i="1"/>
  <c r="K24" i="1"/>
  <c r="K37" i="1"/>
  <c r="K32" i="1"/>
  <c r="K36" i="1"/>
  <c r="K25" i="1"/>
  <c r="K35" i="1"/>
  <c r="K33" i="1"/>
  <c r="K21" i="1"/>
  <c r="K30" i="1"/>
  <c r="K18" i="1"/>
  <c r="K53" i="1"/>
  <c r="K23" i="1"/>
  <c r="K57" i="1"/>
  <c r="K60" i="1"/>
  <c r="K48" i="1"/>
  <c r="K65" i="1"/>
  <c r="K19" i="1"/>
  <c r="K26" i="1"/>
  <c r="K67" i="1"/>
  <c r="K61" i="1"/>
  <c r="K41" i="1"/>
  <c r="K51" i="1"/>
  <c r="K29" i="1"/>
  <c r="K69" i="1"/>
  <c r="K56" i="1"/>
  <c r="K20" i="1"/>
  <c r="K45" i="1"/>
  <c r="K31" i="1"/>
  <c r="K54" i="1"/>
  <c r="K63" i="1"/>
  <c r="K50" i="1"/>
  <c r="K55" i="1"/>
  <c r="K42" i="1"/>
  <c r="K68" i="1"/>
  <c r="K44" i="1"/>
  <c r="K39" i="1"/>
  <c r="K27" i="1"/>
  <c r="K17" i="1"/>
  <c r="K62" i="1"/>
  <c r="K66" i="1"/>
  <c r="K43" i="1"/>
  <c r="K47" i="1"/>
  <c r="F221" i="13" l="1"/>
  <c r="F211" i="13"/>
  <c r="F212" i="13"/>
  <c r="F213" i="13"/>
  <c r="F214" i="13"/>
  <c r="F215" i="13"/>
  <c r="F216" i="13"/>
  <c r="F217" i="13"/>
  <c r="F218" i="13"/>
  <c r="F219" i="13"/>
  <c r="F220" i="13"/>
  <c r="F210" i="13"/>
  <c r="K14" i="1"/>
  <c r="K15" i="1"/>
  <c r="K12" i="1"/>
  <c r="K11" i="1"/>
  <c r="K13" i="1"/>
  <c r="B221" i="13" a="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K40" i="1" l="1"/>
  <c r="L40" i="1" s="1"/>
  <c r="K28" i="1"/>
  <c r="L28" i="1" s="1"/>
  <c r="K22" i="1"/>
  <c r="L22" i="1" s="1"/>
  <c r="K52" i="1"/>
  <c r="L52" i="1" s="1"/>
  <c r="K46" i="1"/>
  <c r="L46" i="1" s="1"/>
  <c r="K34" i="1"/>
  <c r="L34" i="1" s="1"/>
  <c r="K64" i="1"/>
  <c r="L64" i="1" s="1"/>
  <c r="K58" i="1"/>
  <c r="L58" i="1" s="1"/>
  <c r="K10" i="1"/>
  <c r="L10" i="1" s="1"/>
  <c r="K16" i="1"/>
  <c r="L16" i="1" s="1"/>
  <c r="Z42" i="18" l="1"/>
  <c r="N42" i="18"/>
  <c r="AF26" i="18"/>
  <c r="N26" i="18"/>
  <c r="AF18" i="18"/>
  <c r="T10" i="18"/>
  <c r="N34" i="18"/>
  <c r="T34" i="18"/>
  <c r="T18" i="18"/>
  <c r="Z18" i="18"/>
  <c r="Z10" i="18"/>
  <c r="AL18" i="18"/>
  <c r="Z26" i="18"/>
  <c r="N58" i="1"/>
  <c r="M58" i="1"/>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2" i="1"/>
  <c r="AJ42" i="18"/>
  <c r="AJ18" i="18"/>
  <c r="AD26" i="18"/>
  <c r="L10" i="18"/>
  <c r="AD10" i="18"/>
  <c r="X18" i="18"/>
  <c r="AD42" i="18"/>
  <c r="L18" i="18"/>
  <c r="R10" i="18"/>
  <c r="N52" i="1"/>
  <c r="M64" i="1"/>
  <c r="AB64" i="1" s="1"/>
  <c r="AB36" i="18"/>
  <c r="AH12" i="18"/>
  <c r="P28" i="18"/>
  <c r="AH20" i="18"/>
  <c r="P36" i="18"/>
  <c r="V12" i="18"/>
  <c r="AH28" i="18"/>
  <c r="AB20" i="18"/>
  <c r="J12" i="18"/>
  <c r="J20" i="18"/>
  <c r="N64" i="1"/>
  <c r="P44" i="18"/>
  <c r="AB44" i="18"/>
  <c r="V28" i="18"/>
  <c r="V36" i="18"/>
  <c r="J28" i="18"/>
  <c r="AH36" i="18"/>
  <c r="J44" i="18"/>
  <c r="P12" i="18"/>
  <c r="AB12" i="18"/>
  <c r="V44" i="18"/>
  <c r="AH44" i="18"/>
  <c r="V20" i="18"/>
  <c r="P20" i="18"/>
  <c r="J36" i="18"/>
  <c r="AB28" i="18"/>
  <c r="T38" i="18"/>
  <c r="AF22" i="18"/>
  <c r="N38" i="18"/>
  <c r="AF30" i="18"/>
  <c r="AL6" i="18"/>
  <c r="Z6" i="18"/>
  <c r="N22" i="1"/>
  <c r="T14" i="18"/>
  <c r="T22" i="18"/>
  <c r="N6" i="18"/>
  <c r="AL30" i="18"/>
  <c r="Z22" i="18"/>
  <c r="Z14" i="18"/>
  <c r="M22" i="1"/>
  <c r="Z30" i="18"/>
  <c r="AL38" i="18"/>
  <c r="AL14" i="18"/>
  <c r="AF6" i="18"/>
  <c r="AL22" i="18"/>
  <c r="T30" i="18"/>
  <c r="Z38" i="18"/>
  <c r="AF14" i="18"/>
  <c r="N30" i="18"/>
  <c r="N14" i="18"/>
  <c r="N22" i="18"/>
  <c r="AF38" i="18"/>
  <c r="T6" i="18"/>
  <c r="M34" i="1"/>
  <c r="X32" i="18"/>
  <c r="AD32" i="18"/>
  <c r="AJ8" i="18"/>
  <c r="L16" i="18"/>
  <c r="R32" i="18"/>
  <c r="AJ32" i="18"/>
  <c r="N34" i="1"/>
  <c r="R40" i="18"/>
  <c r="AJ40" i="18"/>
  <c r="AD24" i="18"/>
  <c r="AJ24" i="18"/>
  <c r="R24" i="18"/>
  <c r="AJ16" i="18"/>
  <c r="AD8" i="18"/>
  <c r="L32" i="18"/>
  <c r="L40" i="18"/>
  <c r="R16" i="18"/>
  <c r="L24" i="18"/>
  <c r="AD16" i="18"/>
  <c r="L8" i="18"/>
  <c r="R8" i="18"/>
  <c r="X40" i="18"/>
  <c r="X8" i="18"/>
  <c r="X16" i="18"/>
  <c r="AD40" i="18"/>
  <c r="X24" i="18"/>
  <c r="M28" i="1"/>
  <c r="J40" i="18"/>
  <c r="J16" i="18"/>
  <c r="P16" i="18"/>
  <c r="V8" i="18"/>
  <c r="J8" i="18"/>
  <c r="J24" i="18"/>
  <c r="AH16" i="18"/>
  <c r="AB16" i="18"/>
  <c r="AB40" i="18"/>
  <c r="P32" i="18"/>
  <c r="P40" i="18"/>
  <c r="AH24" i="18"/>
  <c r="AB32" i="18"/>
  <c r="J32" i="18"/>
  <c r="V16" i="18"/>
  <c r="V40" i="18"/>
  <c r="AH32" i="18"/>
  <c r="V24" i="18"/>
  <c r="V32" i="18"/>
  <c r="AH8" i="18"/>
  <c r="AB8" i="18"/>
  <c r="P8" i="18"/>
  <c r="N28" i="1"/>
  <c r="AH40" i="18"/>
  <c r="AB24" i="18"/>
  <c r="P24" i="18"/>
  <c r="AD38" i="18"/>
  <c r="L30" i="18"/>
  <c r="AD30" i="18"/>
  <c r="AJ6" i="18"/>
  <c r="L14" i="18"/>
  <c r="L22" i="18"/>
  <c r="X6" i="18"/>
  <c r="L6" i="18"/>
  <c r="N16" i="1"/>
  <c r="R38" i="18"/>
  <c r="AJ38" i="18"/>
  <c r="L38" i="18"/>
  <c r="AD6" i="18"/>
  <c r="R6" i="18"/>
  <c r="AJ30" i="18"/>
  <c r="R30" i="18"/>
  <c r="AD22" i="18"/>
  <c r="AJ14" i="18"/>
  <c r="AJ22" i="18"/>
  <c r="AD14" i="18"/>
  <c r="X38" i="18"/>
  <c r="X14" i="18"/>
  <c r="R22" i="18"/>
  <c r="X22" i="18"/>
  <c r="M16"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0" i="1"/>
  <c r="AB10" i="1" s="1"/>
  <c r="N10" i="1"/>
  <c r="M46" i="1"/>
  <c r="AH34" i="18"/>
  <c r="AH42" i="18"/>
  <c r="AH18" i="18"/>
  <c r="AB10" i="18"/>
  <c r="J26" i="18"/>
  <c r="V18" i="18"/>
  <c r="V42" i="18"/>
  <c r="J42" i="18"/>
  <c r="P10" i="18"/>
  <c r="AB26" i="18"/>
  <c r="J34" i="18"/>
  <c r="J18" i="18"/>
  <c r="AH10" i="18"/>
  <c r="AB34" i="18"/>
  <c r="P26" i="18"/>
  <c r="P34" i="18"/>
  <c r="V34" i="18"/>
  <c r="AH26" i="18"/>
  <c r="J10" i="18"/>
  <c r="N46" i="1"/>
  <c r="P18" i="18"/>
  <c r="AB42" i="18"/>
  <c r="V10" i="18"/>
  <c r="AB18" i="18"/>
  <c r="P42" i="18"/>
  <c r="V26" i="18"/>
  <c r="Z32" i="18"/>
  <c r="N24" i="18"/>
  <c r="AL32" i="18"/>
  <c r="AL40" i="18"/>
  <c r="N8" i="18"/>
  <c r="AF24" i="18"/>
  <c r="Z40" i="18"/>
  <c r="Z16" i="18"/>
  <c r="N32" i="18"/>
  <c r="T32" i="18"/>
  <c r="N40" i="18"/>
  <c r="T8" i="18"/>
  <c r="M40" i="1"/>
  <c r="AF32" i="18"/>
  <c r="AL8" i="18"/>
  <c r="T24" i="18"/>
  <c r="N16" i="18"/>
  <c r="T16" i="18"/>
  <c r="Z24" i="18"/>
  <c r="AF16" i="18"/>
  <c r="N40" i="1"/>
  <c r="T40" i="18"/>
  <c r="AF8" i="18"/>
  <c r="AL24" i="18"/>
  <c r="Z8" i="18"/>
  <c r="AF40" i="18"/>
  <c r="AL16" i="18"/>
  <c r="AB29" i="1" l="1"/>
  <c r="AB28" i="1"/>
  <c r="AA28" i="1" s="1"/>
  <c r="AA64" i="1"/>
  <c r="AB66" i="1"/>
  <c r="AB59" i="1"/>
  <c r="AB58" i="1"/>
  <c r="AB41" i="1"/>
  <c r="AB40" i="1"/>
  <c r="AA40" i="1" s="1"/>
  <c r="AB53" i="1"/>
  <c r="AB52" i="1"/>
  <c r="AA52" i="1" s="1"/>
  <c r="AA10" i="1"/>
  <c r="AB11" i="1"/>
  <c r="AB17" i="1"/>
  <c r="AB16" i="1"/>
  <c r="AA16" i="1" s="1"/>
  <c r="AB22" i="1"/>
  <c r="AA22" i="1" s="1"/>
  <c r="AB46" i="1"/>
  <c r="AA46" i="1" s="1"/>
  <c r="AB35" i="1"/>
  <c r="AB34" i="1"/>
  <c r="AA34" i="1" s="1"/>
  <c r="AB23" i="1" l="1"/>
  <c r="AA23" i="1" s="1"/>
  <c r="AB47" i="1"/>
  <c r="J40" i="19"/>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B24" i="1"/>
  <c r="AB36" i="19"/>
  <c r="AH16" i="19"/>
  <c r="P16" i="19"/>
  <c r="V46" i="19"/>
  <c r="J6" i="19"/>
  <c r="AB16" i="19"/>
  <c r="V26" i="19"/>
  <c r="V16" i="19"/>
  <c r="AB6" i="19"/>
  <c r="J26" i="19"/>
  <c r="P6" i="19"/>
  <c r="AH46" i="19"/>
  <c r="P46" i="19"/>
  <c r="AH26" i="19"/>
  <c r="AH36" i="19"/>
  <c r="V36" i="19"/>
  <c r="P36" i="19"/>
  <c r="V6" i="19"/>
  <c r="AH6" i="19"/>
  <c r="AB46" i="19"/>
  <c r="AB26" i="19"/>
  <c r="J16" i="19"/>
  <c r="P26" i="19"/>
  <c r="AC10" i="1"/>
  <c r="J36" i="19"/>
  <c r="J46" i="19"/>
  <c r="V25" i="19"/>
  <c r="AH25" i="19"/>
  <c r="P45" i="19"/>
  <c r="AH45" i="19"/>
  <c r="AH15" i="19"/>
  <c r="AB55" i="19"/>
  <c r="J45" i="19"/>
  <c r="AH35" i="19"/>
  <c r="V45" i="19"/>
  <c r="AH55" i="19"/>
  <c r="V15" i="19"/>
  <c r="J25" i="19"/>
  <c r="V35" i="19"/>
  <c r="AC64" i="1"/>
  <c r="P25" i="19"/>
  <c r="V55" i="19"/>
  <c r="J15" i="19"/>
  <c r="AB15" i="19"/>
  <c r="J35" i="19"/>
  <c r="AB35" i="19"/>
  <c r="J55" i="19"/>
  <c r="AB25" i="19"/>
  <c r="P35" i="19"/>
  <c r="P55" i="19"/>
  <c r="AB45" i="19"/>
  <c r="P15" i="19"/>
  <c r="J47" i="19"/>
  <c r="V27" i="19"/>
  <c r="AH7" i="19"/>
  <c r="P47" i="19"/>
  <c r="AB27" i="19"/>
  <c r="J17" i="19"/>
  <c r="V47" i="19"/>
  <c r="J37" i="19"/>
  <c r="AC16" i="1"/>
  <c r="AB37" i="19"/>
  <c r="J27" i="19"/>
  <c r="V7" i="19"/>
  <c r="AH37" i="19"/>
  <c r="P27" i="19"/>
  <c r="AB7" i="19"/>
  <c r="P17" i="19"/>
  <c r="V17" i="19"/>
  <c r="AH47" i="19"/>
  <c r="P37" i="19"/>
  <c r="AB17" i="19"/>
  <c r="J7" i="19"/>
  <c r="V37" i="19"/>
  <c r="AH17" i="19"/>
  <c r="P7" i="19"/>
  <c r="AH27" i="19"/>
  <c r="AB47" i="19"/>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<sst xmlns="http://schemas.openxmlformats.org/spreadsheetml/2006/main" count="551" uniqueCount="305">
  <si>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</si>
  <si>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</si>
  <si>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</si>
  <si>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</si>
  <si>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</si>
  <si>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</si>
  <si>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</si>
  <si>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</si>
  <si>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</si>
  <si>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</si>
  <si>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</si>
  <si>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</si>
  <si>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</si>
  <si>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</si>
  <si>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</si>
  <si>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</si>
  <si>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</si>
  <si>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</si>
  <si>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</si>
  <si>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</si>
  <si>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</si>
  <si>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</si>
  <si>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</si>
  <si>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</si>
  <si>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</si>
  <si>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</si>
  <si>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</si>
  <si>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</si>
  <si>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</si>
  <si>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</si>
  <si>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</si>
  <si>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</si>
  <si>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</si>
  <si>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</si>
  <si>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</si>
  <si>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</si>
  <si>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</si>
  <si>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</si>
  <si>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</si>
  <si>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</si>
  <si>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</si>
  <si>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</si>
  <si>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</si>
  <si>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</si>
  <si>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</si>
  <si>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</si>
  <si>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</si>
  <si>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</si>
  <si>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</si>
  <si>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</si>
  <si>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</si>
  <si>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</si>
  <si>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</si>
  <si>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</si>
  <si>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</si>
  <si>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</si>
  <si>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</si>
  <si>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</si>
  <si>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</si>
  <si>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</si>
  <si>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</si>
  <si>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</si>
  <si>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</si>
  <si>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</si>
  <si>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</si>
  <si>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</si>
  <si>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</si>
  <si>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</si>
  <si>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</si>
  <si>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</si>
  <si>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</si>
  <si>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</si>
  <si>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</si>
  <si>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</si>
  <si>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</si>
  <si>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</si>
  <si>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</si>
  <si>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</si>
  <si>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</si>
  <si>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</si>
  <si>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</si>
  <si>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</si>
  <si>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</si>
  <si>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</si>
  <si>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</si>
  <si>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</si>
  <si>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</si>
  <si>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</si>
  <si>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</si>
  <si>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</si>
  <si>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</si>
  <si>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</si>
  <si>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</si>
  <si>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</si>
  <si>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</si>
  <si>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</si>
  <si>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</si>
  <si>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</si>
  <si>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</si>
  <si>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</si>
  <si>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</si>
  <si>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</si>
  <si>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</si>
  <si>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</si>
  <si>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</si>
  <si>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</si>
  <si>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</si>
  <si>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</si>
  <si>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</si>
  <si>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</si>
  <si>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</si>
  <si>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</si>
  <si>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</si>
  <si>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</si>
  <si>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</si>
  <si>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</si>
  <si>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</si>
  <si>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</si>
  <si>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</si>
  <si>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</si>
  <si>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</si>
  <si>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</si>
  <si>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</si>
  <si>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</si>
  <si>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</si>
  <si>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</si>
  <si>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</si>
  <si>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</si>
  <si>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</si>
  <si>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</si>
  <si>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</si>
  <si>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</si>
  <si>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</si>
  <si>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</si>
  <si>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</si>
  <si>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</si>
  <si>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</si>
  <si>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</si>
  <si>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</si>
  <si>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</si>
  <si>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</si>
  <si>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</si>
  <si>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</si>
  <si>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</si>
  <si>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</si>
  <si>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</si>
  <si>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</si>
  <si>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</si>
  <si>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</si>
  <si>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</si>
  <si>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</si>
  <si>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</si>
  <si>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</si>
  <si>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</si>
  <si>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</si>
  <si>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</si>
  <si>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</si>
  <si>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</si>
  <si>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</si>
  <si>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</si>
  <si>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</si>
  <si>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</si>
  <si>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</si>
  <si>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</si>
  <si>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</si>
  <si>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</si>
  <si>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</si>
  <si>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</si>
  <si>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</si>
  <si>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</si>
  <si>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</si>
  <si>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</si>
  <si>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</si>
  <si>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</si>
  <si>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</si>
  <si>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</si>
  <si>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</si>
  <si>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</si>
  <si>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</si>
  <si>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</si>
  <si>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</si>
  <si>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</si>
  <si>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</si>
  <si>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</si>
  <si>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</si>
  <si>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</si>
  <si>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</si>
  <si>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</si>
  <si>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</si>
  <si>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</si>
  <si>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</si>
  <si>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</si>
  <si>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</si>
  <si>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</si>
  <si>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</si>
  <si>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</si>
  <si>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</si>
  <si>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</si>
  <si>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</si>
  <si>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</si>
  <si>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</si>
  <si>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</si>
  <si>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</si>
  <si>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</si>
  <si>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</si>
  <si>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</si>
  <si>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</si>
  <si>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</si>
  <si>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</si>
  <si>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</si>
  <si>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</si>
  <si>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</si>
  <si>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</si>
  <si>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</si>
  <si>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</si>
  <si>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</si>
  <si>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</si>
  <si>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</si>
  <si>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</si>
  <si>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</si>
  <si>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</si>
  <si>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</si>
  <si>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</si>
  <si>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</si>
  <si>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</si>
  <si>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</si>
  <si>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</si>
  <si>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</si>
  <si>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</si>
  <si>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</si>
  <si>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</si>
  <si>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</si>
  <si>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</si>
  <si>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</si>
  <si>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</si>
  <si>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</si>
  <si>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</si>
  <si>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</si>
  <si>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</si>
  <si>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</si>
  <si>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</si>
  <si>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</si>
  <si>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</si>
  <si>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</si>
  <si>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</si>
  <si>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</si>
  <si>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</si>
  <si>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</si>
  <si>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</si>
  <si>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</si>
  <si>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</si>
  <si>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</si>
  <si>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</si>
  <si>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</si>
  <si>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</si>
  <si>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</si>
  <si>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Introducción de recursos de narcotráfico y terrorismo en la organización</t>
  </si>
  <si>
    <t xml:space="preserve">Fallas en el proceso SARLAFT
</t>
  </si>
  <si>
    <t>GESTIÓN FINANCIERA</t>
  </si>
  <si>
    <t xml:space="preserve">Inconsistencias generadas por el sistema de información dinámica gerencial en el registro de información financiera </t>
  </si>
  <si>
    <t xml:space="preserve">Inoportunidad en la presentación de informes a los entes de control </t>
  </si>
  <si>
    <t xml:space="preserve">Incremento en las cuentas por pagar financiadas con reconocimiento y no con recaudo </t>
  </si>
  <si>
    <t>Mantener controles que se vienen trabajando</t>
  </si>
  <si>
    <t>Coordinador de gestión financiera</t>
  </si>
  <si>
    <t xml:space="preserve">Insuficiencia en la depuración contable permanente y sostenible para reflejar la realidad financiera, económica y social conforme a la normatividad contable vigente.
</t>
  </si>
  <si>
    <t xml:space="preserve">1. Retraso en la elaboración de los informes. 
2. Fallas en los aplicativos para reportar la información. 
3. Falta de conciliación de información a reportar.
4. Error en la consolidación de información por parte de responsable.
</t>
  </si>
  <si>
    <t>Incumplimiento de los pagos en los plazos pactados en los contratos, comprometen recursos mayores en OPS y proveedores.</t>
  </si>
  <si>
    <t xml:space="preserve">Sanción de entes de control </t>
  </si>
  <si>
    <t xml:space="preserve">Presentación incorrecta y/o inoportuna de las declaraciones tributarias y su respectivo pago </t>
  </si>
  <si>
    <t xml:space="preserve">1. Carencia en la verificación y conciliación de saldos por parte de los responsables de la información. 
2. Desconocimiento de la Ley 1797 de 2016, Resolución 6066 del 2016  y demás normatividad relacionada con la depuración contable permanente y sostenible.
3. No promover por parte del Comité Técnico de Sostenibilidad Contable la depuración permanente en todos los subprocesos de la Institución.
</t>
  </si>
  <si>
    <t>Inoportunidad en la información suministrada por parte de las áreas respectivas</t>
  </si>
  <si>
    <t xml:space="preserve">1. Diferencias en la información entre los diferentes módulos. 
2. Errores en la parametrizacion del sistema DGH. 
3. Insuficiente acompañamiento y asistencia de parte del proveedor del Software. 
4. Carencia de capacitación específica a los usuarios  y capacitación integral del sistema DGH al subproceso de contabilidad quien consolida  la información. 
5. Concentración del conocimiento del sistema en una sola persona
</t>
  </si>
  <si>
    <t xml:space="preserve">1. Retraso en la elaboración de las declaraciones. 
2. Retraso en la revisión y firma de Revisoría Fiscal. 
3. Fallas en el sistema de información de la DIAN o Alcaldía Municipal. 
4. Incumplimiento en la fecha de pago de acuerdo al calendario tributario por parte de tesorería.
</t>
  </si>
  <si>
    <t>Información errónea en el  reporte de recaudos por cartera y tesorería, en los rubros de ventas de servicios de cuentas por cobrar, ya que no se registran en la ejecución del sistema dinámica-net.</t>
  </si>
  <si>
    <t>Posibilidad de pérdida Económica y Reputacional por introducción de recursos de narcotráfico y terrorismo en la organización, debido a fallas en el proceso SARLAFT.</t>
  </si>
  <si>
    <t>Posibilidad de pérdida Económica y Reputacional por incremento en las cuentas por pagar financiadas con reconocimiento y no con recaudo, debido a incumplimiento de los pagos en los plazos pactados en los contratos, comprometen recursos mayores en OPS y proveedores.</t>
  </si>
  <si>
    <t>Posibilidad de pérdida Económica por sanción de entes de control, debido a la información errónea en el  reporte de recaudos por cartera y tesorería, en los rubros de ventas de servicios de cuentas por cobrar, ya que no se registran en la ejecución del sistema dinámica-net.</t>
  </si>
  <si>
    <t>Incumplimiento de la proyección de recaudo</t>
  </si>
  <si>
    <t>1. Entidades no cancelan lo radicado
2. Liquidación de entidades</t>
  </si>
  <si>
    <t>Posibilidad de pérdida Económica y Reputacional por incumplimiento de la proyección de recaudo, debido a que las entidades no cancelan lo radicado y la liquidación de entidades</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</si>
  <si>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</si>
  <si>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</si>
  <si>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Posibilidad de pérdida Económica por insuficiencia en la depuración contable permanente y sostenible para reflejar la realidad financiera, económica y social conforme a la normatividad contable vigente, debido a carencia en la verificación y conciliación de saldos por parte de los responsables de la información, Desconocimiento de la Ley 1797 de 2016 ,Resolución 6066 del 2016  y demás normatividad relacionada con la depuración contable permanente y sostenible, No promover por parte del Comité Técnico de Sostenibilidad Contable la depuración permanente en todos los subprocesos de la Institución.</t>
  </si>
  <si>
    <t xml:space="preserve">1. Desconocimiento de los procesos y del sistema DGH.
2. Ausencia de planeación en procesos administrativos que retardan la entrega y registro de  información oportunamente.
 3. Omisión en los procesos de registro y trámite de la información por parte de los responsables. 
</t>
  </si>
  <si>
    <t>Posibilidad de pérdida Económica por inoportunidad en la información suministrada por parte de las áreas respectivas, debido a Desconocimiento de los procesos y del sistema DGH, Ausencia de planeación en procesos administrativos que retardan la entrega y registro de  información oportunamente, Omisión en los procesos de registro y trámite de la información por parte de los responsables.</t>
  </si>
  <si>
    <t>Posibilidad de pérdida Económica por inconsistencias generadas por el sistema de información dinámica gerencial en el registro de información financiera, debido a Diferencias en la información entre los diferentes módulos, Errores en la parametrizacion del sistema DGH, Insuficiente acompañamiento y asistencia de parte del proveedor del Software, Carencia de capacitación específica a los usuarios  y capacitación integral del sistema DGH al subproceso de contabilidad quien consolida  la información, Concentración del conocimiento del sistema en una sola persona.</t>
  </si>
  <si>
    <t>Posibilidad de pérdida Económica y Reputacional por inoportunidad en la presentación de informes a los entes de control, debido a retraso en la elaboración de los informes, fallas en los aplicativos para reportar la información, falta de conciliación de información a reportar, error en la consolidación de información por parte de responsable.</t>
  </si>
  <si>
    <t>Posibilidad de pérdida Económica por presentación incorrecta y/o inoportuna de las declaraciones tributarias y su respectivo pago, debido a retraso en la elaboración de las declaraciones, retraso en la revisión y firma de Revisoría Fiscal, fallas en el sistema de información de la DIAN o Alcaldía Municipal, incumplimiento en la fecha de pago de acuerdo al calendario tributario por parte de tesorería.</t>
  </si>
  <si>
    <t>Profesional de contabilidad, solicitará a gerencia cuando sea necesario la autorización para las diferentes capacitaciones ya sean virtuales o presenciales, con el fin de actualizar los conocimientos.</t>
  </si>
  <si>
    <t>Profesional de contabilidad, mensualmente verifica: procedimientos de pago de impuestos, cumplimiento del calendario tributario, seguimiento al proceso de presentación, revisión y pago de los impuestos. Teniendo en cuenta los registros en el sistema relacionados con el procedimiento de impuestos, preparando declaraciones tributarias para presentación y pago de acuerdo al calendario tributario basándose en la normatividad vigente.</t>
  </si>
  <si>
    <t>Responsable del área de tesorería en conjunto con el asesor de la Oficina de Planeación, generan acta 14112019 de reportes para SARLAFT, los 10 primeros días de cada mes tesorería envía al asesor de la Oficina de Planeación el formulario único de conocimiento SARLAFT (FRTES-011) de los pagos en efectivo por montos superiores a 5 millones por usuario, en caso de no enviar dichos reportes acarrearía investigación para el responsable del proceso.</t>
  </si>
  <si>
    <t xml:space="preserve">Incumplimiento a los cambios normativos. </t>
  </si>
  <si>
    <t xml:space="preserve">1. Costos de actualización elevados y poco accesibles a los funcionarios. 
2. Dificultad en la asistencia a capacitaciones externas debido a los horarios y compromisos laborales
</t>
  </si>
  <si>
    <t>Posibilidad de pérdida Económica y Reputacional por incumplimiento a los cambios normativos, debido a costos de actualización elevados, poco accesibles a los funcionarios y dificultad en la asistencia a capacitaciones externas debido a los horarios y compromisos laborales.</t>
  </si>
  <si>
    <t xml:space="preserve">Profesionales de contabilidad, realizan conciliación con los diferentes módulos del sistema de información, con el fin de identificar posibles diferencias, su origen y realizar los ajustes correspondientes.
</t>
  </si>
  <si>
    <t xml:space="preserve">Profesionales de contabilidad, generan la solicitud mediante correo electrónico a los diferentes subprocesos responsables de suministrar la información, con el fin de verificar que toda la información quede registrada.
</t>
  </si>
  <si>
    <t xml:space="preserve">Profesionales de contabilidad, realizan la planeación del cierre financiero anual, estableciendo unas fechas, con el fin de que todas las areas registren la información, realicen las actividades pertinentes para un correcto cierre financiero a 31 de diciembre
</t>
  </si>
  <si>
    <t xml:space="preserve">Profesional de contabilidad, presenta informes a los diferentes entes de control de acuerdo al cronograma (mensual, trimestral y anual), realizando verificación y conciliación de la información en los informes respectivos para la presentación oportuna a los diferentes entes de control; con el fin de dar cumplimiento y evitar sanciones a la entidad.
</t>
  </si>
  <si>
    <t xml:space="preserve">Profesional de contabilidad, realiza revisión previa al envió definitivo del informe a los entes de control, con el fin evitar errores que podrían generar sanciones.
</t>
  </si>
  <si>
    <t xml:space="preserve">Profesional Universitario de presupuesto, realiza conciliación de RP  el último trimestre del año y envía oficios de advertencias a las diferentes áreas, con el fin de que se disminuyan las cuentas por pagar, y cuando existan saldos se elaboren las respectivas actas de liquidación para que los saldos a favor del hospital puedan ser liberados en presupuesta oportunamente.
</t>
  </si>
  <si>
    <t xml:space="preserve">Responsables de tesorería y cartera, elaboran la conciliación de recaudos mensualmente, con el fin de registrar la ejecución mensual de ingresos.
</t>
  </si>
  <si>
    <t xml:space="preserve">Abogado encargado de área de Cartera, realiza derechos de petición cuando no se recibe respuesta los cuales llevan a tutela y demandas, con el fin de recaudar dineros adeudados por las EPS.
</t>
  </si>
  <si>
    <t xml:space="preserve">Personal de cartera, presenta Informes de gestión de manera mensual al profesional especializado de recursos financieros, con el fin de que se conozca el recaudo mensual y la gestión del área a través de reuniones periódicas de cartera, facturación y glosas.
</t>
  </si>
  <si>
    <t>Comité de sostenibilidad contable, evalúa y aprueba las fichas técnicas para depuración presentadas por los diferentes subprocesos, con el fin de tener razonabilidad en las cifras de los estados financieros.</t>
  </si>
  <si>
    <t xml:space="preserve">Profesionales de contabilidad, reporta al área de sistemas las inconsistencias y/o solicitudes referentes al sistema de información DGH, con el fin de corregir los problemas presentados con apoyo del proveedor del software.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</si>
</sst>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3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6" t="s">
        <v>166</v>
      </c>
      <c r="C2" s="157"/>
      <c r="D2" s="157"/>
      <c r="E2" s="157"/>
      <c r="F2" s="157"/>
      <c r="G2" s="157"/>
      <c r="H2" s="158"/>
    </row>
    <row r="3" spans="2:8" x14ac:dyDescent="0.25">
      <c r="B3" s="84"/>
      <c r="C3" s="85"/>
      <c r="D3" s="85"/>
      <c r="E3" s="85"/>
      <c r="F3" s="85"/>
      <c r="G3" s="85"/>
      <c r="H3" s="86"/>
    </row>
    <row r="4" spans="2:8" ht="63" customHeight="1" x14ac:dyDescent="0.25">
      <c r="B4" s="159" t="s">
        <v>255</v>
      </c>
      <c r="C4" s="160"/>
      <c r="D4" s="160"/>
      <c r="E4" s="160"/>
      <c r="F4" s="160"/>
      <c r="G4" s="160"/>
      <c r="H4" s="161"/>
    </row>
    <row r="5" spans="2:8" ht="63" customHeight="1" x14ac:dyDescent="0.25">
      <c r="B5" s="162"/>
      <c r="C5" s="163"/>
      <c r="D5" s="163"/>
      <c r="E5" s="163"/>
      <c r="F5" s="163"/>
      <c r="G5" s="163"/>
      <c r="H5" s="164"/>
    </row>
    <row r="6" spans="2:8" ht="16.5" x14ac:dyDescent="0.25">
      <c r="B6" s="165" t="s">
        <v>164</v>
      </c>
      <c r="C6" s="166"/>
      <c r="D6" s="166"/>
      <c r="E6" s="166"/>
      <c r="F6" s="166"/>
      <c r="G6" s="166"/>
      <c r="H6" s="167"/>
    </row>
    <row r="7" spans="2:8" ht="95.25" customHeight="1" x14ac:dyDescent="0.25">
      <c r="B7" s="175" t="s">
        <v>169</v>
      </c>
      <c r="C7" s="176"/>
      <c r="D7" s="176"/>
      <c r="E7" s="176"/>
      <c r="F7" s="176"/>
      <c r="G7" s="176"/>
      <c r="H7" s="177"/>
    </row>
    <row r="8" spans="2:8" ht="16.5" x14ac:dyDescent="0.25">
      <c r="B8" s="120"/>
      <c r="C8" s="121"/>
      <c r="D8" s="121"/>
      <c r="E8" s="121"/>
      <c r="F8" s="121"/>
      <c r="G8" s="121"/>
      <c r="H8" s="122"/>
    </row>
    <row r="9" spans="2:8" ht="16.5" customHeight="1" x14ac:dyDescent="0.25">
      <c r="B9" s="168" t="s">
        <v>202</v>
      </c>
      <c r="C9" s="169"/>
      <c r="D9" s="169"/>
      <c r="E9" s="169"/>
      <c r="F9" s="169"/>
      <c r="G9" s="169"/>
      <c r="H9" s="170"/>
    </row>
    <row r="10" spans="2:8" ht="44.25" customHeight="1" x14ac:dyDescent="0.25">
      <c r="B10" s="168"/>
      <c r="C10" s="169"/>
      <c r="D10" s="169"/>
      <c r="E10" s="169"/>
      <c r="F10" s="169"/>
      <c r="G10" s="169"/>
      <c r="H10" s="170"/>
    </row>
    <row r="11" spans="2:8" ht="15.75" thickBot="1" x14ac:dyDescent="0.3">
      <c r="B11" s="109"/>
      <c r="C11" s="112"/>
      <c r="D11" s="117"/>
      <c r="E11" s="118"/>
      <c r="F11" s="118"/>
      <c r="G11" s="119"/>
      <c r="H11" s="113"/>
    </row>
    <row r="12" spans="2:8" ht="15.75" thickTop="1" x14ac:dyDescent="0.25">
      <c r="B12" s="109"/>
      <c r="C12" s="171" t="s">
        <v>165</v>
      </c>
      <c r="D12" s="172"/>
      <c r="E12" s="173" t="s">
        <v>203</v>
      </c>
      <c r="F12" s="174"/>
      <c r="G12" s="112"/>
      <c r="H12" s="113"/>
    </row>
    <row r="13" spans="2:8" ht="35.25" customHeight="1" x14ac:dyDescent="0.25">
      <c r="B13" s="109"/>
      <c r="C13" s="143" t="s">
        <v>196</v>
      </c>
      <c r="D13" s="144"/>
      <c r="E13" s="145" t="s">
        <v>201</v>
      </c>
      <c r="F13" s="146"/>
      <c r="G13" s="112"/>
      <c r="H13" s="113"/>
    </row>
    <row r="14" spans="2:8" ht="17.25" customHeight="1" x14ac:dyDescent="0.25">
      <c r="B14" s="109"/>
      <c r="C14" s="143" t="s">
        <v>197</v>
      </c>
      <c r="D14" s="144"/>
      <c r="E14" s="145" t="s">
        <v>199</v>
      </c>
      <c r="F14" s="146"/>
      <c r="G14" s="112"/>
      <c r="H14" s="113"/>
    </row>
    <row r="15" spans="2:8" ht="19.5" customHeight="1" x14ac:dyDescent="0.25">
      <c r="B15" s="109"/>
      <c r="C15" s="143" t="s">
        <v>198</v>
      </c>
      <c r="D15" s="144"/>
      <c r="E15" s="145" t="s">
        <v>200</v>
      </c>
      <c r="F15" s="146"/>
      <c r="G15" s="112"/>
      <c r="H15" s="113"/>
    </row>
    <row r="16" spans="2:8" ht="69.75" customHeight="1" x14ac:dyDescent="0.25">
      <c r="B16" s="109"/>
      <c r="C16" s="143" t="s">
        <v>167</v>
      </c>
      <c r="D16" s="144"/>
      <c r="E16" s="145" t="s">
        <v>168</v>
      </c>
      <c r="F16" s="146"/>
      <c r="G16" s="112"/>
      <c r="H16" s="113"/>
    </row>
    <row r="17" spans="2:8" ht="34.5" customHeight="1" x14ac:dyDescent="0.25">
      <c r="B17" s="109"/>
      <c r="C17" s="147" t="s">
        <v>2</v>
      </c>
      <c r="D17" s="148"/>
      <c r="E17" s="139" t="s">
        <v>209</v>
      </c>
      <c r="F17" s="140"/>
      <c r="G17" s="112"/>
      <c r="H17" s="113"/>
    </row>
    <row r="18" spans="2:8" ht="27.75" customHeight="1" x14ac:dyDescent="0.25">
      <c r="B18" s="109"/>
      <c r="C18" s="147" t="s">
        <v>3</v>
      </c>
      <c r="D18" s="148"/>
      <c r="E18" s="139" t="s">
        <v>210</v>
      </c>
      <c r="F18" s="140"/>
      <c r="G18" s="112"/>
      <c r="H18" s="113"/>
    </row>
    <row r="19" spans="2:8" ht="28.5" customHeight="1" x14ac:dyDescent="0.25">
      <c r="B19" s="109"/>
      <c r="C19" s="147" t="s">
        <v>42</v>
      </c>
      <c r="D19" s="148"/>
      <c r="E19" s="139" t="s">
        <v>211</v>
      </c>
      <c r="F19" s="140"/>
      <c r="G19" s="112"/>
      <c r="H19" s="113"/>
    </row>
    <row r="20" spans="2:8" ht="72.75" customHeight="1" x14ac:dyDescent="0.25">
      <c r="B20" s="109"/>
      <c r="C20" s="147" t="s">
        <v>1</v>
      </c>
      <c r="D20" s="148"/>
      <c r="E20" s="139" t="s">
        <v>212</v>
      </c>
      <c r="F20" s="140"/>
      <c r="G20" s="112"/>
      <c r="H20" s="113"/>
    </row>
    <row r="21" spans="2:8" ht="64.5" customHeight="1" x14ac:dyDescent="0.25">
      <c r="B21" s="109"/>
      <c r="C21" s="147" t="s">
        <v>50</v>
      </c>
      <c r="D21" s="148"/>
      <c r="E21" s="139" t="s">
        <v>171</v>
      </c>
      <c r="F21" s="140"/>
      <c r="G21" s="112"/>
      <c r="H21" s="113"/>
    </row>
    <row r="22" spans="2:8" ht="71.25" customHeight="1" x14ac:dyDescent="0.25">
      <c r="B22" s="109"/>
      <c r="C22" s="147" t="s">
        <v>170</v>
      </c>
      <c r="D22" s="148"/>
      <c r="E22" s="139" t="s">
        <v>172</v>
      </c>
      <c r="F22" s="140"/>
      <c r="G22" s="112"/>
      <c r="H22" s="113"/>
    </row>
    <row r="23" spans="2:8" ht="55.5" customHeight="1" x14ac:dyDescent="0.25">
      <c r="B23" s="109"/>
      <c r="C23" s="141" t="s">
        <v>173</v>
      </c>
      <c r="D23" s="142"/>
      <c r="E23" s="139" t="s">
        <v>174</v>
      </c>
      <c r="F23" s="140"/>
      <c r="G23" s="112"/>
      <c r="H23" s="113"/>
    </row>
    <row r="24" spans="2:8" ht="42" customHeight="1" x14ac:dyDescent="0.25">
      <c r="B24" s="109"/>
      <c r="C24" s="141" t="s">
        <v>48</v>
      </c>
      <c r="D24" s="142"/>
      <c r="E24" s="139" t="s">
        <v>175</v>
      </c>
      <c r="F24" s="140"/>
      <c r="G24" s="112"/>
      <c r="H24" s="113"/>
    </row>
    <row r="25" spans="2:8" ht="59.25" customHeight="1" x14ac:dyDescent="0.25">
      <c r="B25" s="109"/>
      <c r="C25" s="141" t="s">
        <v>163</v>
      </c>
      <c r="D25" s="142"/>
      <c r="E25" s="139" t="s">
        <v>176</v>
      </c>
      <c r="F25" s="140"/>
      <c r="G25" s="112"/>
      <c r="H25" s="113"/>
    </row>
    <row r="26" spans="2:8" ht="23.25" customHeight="1" x14ac:dyDescent="0.25">
      <c r="B26" s="109"/>
      <c r="C26" s="141" t="s">
        <v>12</v>
      </c>
      <c r="D26" s="142"/>
      <c r="E26" s="139" t="s">
        <v>177</v>
      </c>
      <c r="F26" s="140"/>
      <c r="G26" s="112"/>
      <c r="H26" s="113"/>
    </row>
    <row r="27" spans="2:8" ht="30.75" customHeight="1" x14ac:dyDescent="0.25">
      <c r="B27" s="109"/>
      <c r="C27" s="141" t="s">
        <v>181</v>
      </c>
      <c r="D27" s="142"/>
      <c r="E27" s="139" t="s">
        <v>178</v>
      </c>
      <c r="F27" s="140"/>
      <c r="G27" s="112"/>
      <c r="H27" s="113"/>
    </row>
    <row r="28" spans="2:8" ht="35.25" customHeight="1" x14ac:dyDescent="0.25">
      <c r="B28" s="109"/>
      <c r="C28" s="141" t="s">
        <v>182</v>
      </c>
      <c r="D28" s="142"/>
      <c r="E28" s="139" t="s">
        <v>179</v>
      </c>
      <c r="F28" s="140"/>
      <c r="G28" s="112"/>
      <c r="H28" s="113"/>
    </row>
    <row r="29" spans="2:8" ht="33" customHeight="1" x14ac:dyDescent="0.25">
      <c r="B29" s="109"/>
      <c r="C29" s="141" t="s">
        <v>182</v>
      </c>
      <c r="D29" s="142"/>
      <c r="E29" s="139" t="s">
        <v>179</v>
      </c>
      <c r="F29" s="140"/>
      <c r="G29" s="112"/>
      <c r="H29" s="113"/>
    </row>
    <row r="30" spans="2:8" ht="30" customHeight="1" x14ac:dyDescent="0.25">
      <c r="B30" s="109"/>
      <c r="C30" s="141" t="s">
        <v>183</v>
      </c>
      <c r="D30" s="142"/>
      <c r="E30" s="139" t="s">
        <v>180</v>
      </c>
      <c r="F30" s="140"/>
      <c r="G30" s="112"/>
      <c r="H30" s="113"/>
    </row>
    <row r="31" spans="2:8" ht="35.25" customHeight="1" x14ac:dyDescent="0.25">
      <c r="B31" s="109"/>
      <c r="C31" s="141" t="s">
        <v>184</v>
      </c>
      <c r="D31" s="142"/>
      <c r="E31" s="139" t="s">
        <v>185</v>
      </c>
      <c r="F31" s="140"/>
      <c r="G31" s="112"/>
      <c r="H31" s="113"/>
    </row>
    <row r="32" spans="2:8" ht="31.5" customHeight="1" x14ac:dyDescent="0.25">
      <c r="B32" s="109"/>
      <c r="C32" s="141" t="s">
        <v>186</v>
      </c>
      <c r="D32" s="142"/>
      <c r="E32" s="139" t="s">
        <v>187</v>
      </c>
      <c r="F32" s="140"/>
      <c r="G32" s="112"/>
      <c r="H32" s="113"/>
    </row>
    <row r="33" spans="2:8" ht="35.25" customHeight="1" x14ac:dyDescent="0.25">
      <c r="B33" s="109"/>
      <c r="C33" s="141" t="s">
        <v>188</v>
      </c>
      <c r="D33" s="142"/>
      <c r="E33" s="139" t="s">
        <v>189</v>
      </c>
      <c r="F33" s="140"/>
      <c r="G33" s="112"/>
      <c r="H33" s="113"/>
    </row>
    <row r="34" spans="2:8" ht="59.25" customHeight="1" x14ac:dyDescent="0.25">
      <c r="B34" s="109"/>
      <c r="C34" s="141" t="s">
        <v>190</v>
      </c>
      <c r="D34" s="142"/>
      <c r="E34" s="139" t="s">
        <v>191</v>
      </c>
      <c r="F34" s="140"/>
      <c r="G34" s="112"/>
      <c r="H34" s="113"/>
    </row>
    <row r="35" spans="2:8" ht="29.25" customHeight="1" x14ac:dyDescent="0.25">
      <c r="B35" s="109"/>
      <c r="C35" s="141" t="s">
        <v>29</v>
      </c>
      <c r="D35" s="142"/>
      <c r="E35" s="139" t="s">
        <v>192</v>
      </c>
      <c r="F35" s="140"/>
      <c r="G35" s="112"/>
      <c r="H35" s="113"/>
    </row>
    <row r="36" spans="2:8" ht="82.5" customHeight="1" x14ac:dyDescent="0.25">
      <c r="B36" s="109"/>
      <c r="C36" s="141" t="s">
        <v>194</v>
      </c>
      <c r="D36" s="142"/>
      <c r="E36" s="139" t="s">
        <v>193</v>
      </c>
      <c r="F36" s="140"/>
      <c r="G36" s="112"/>
      <c r="H36" s="113"/>
    </row>
    <row r="37" spans="2:8" ht="46.5" customHeight="1" x14ac:dyDescent="0.25">
      <c r="B37" s="109"/>
      <c r="C37" s="141" t="s">
        <v>39</v>
      </c>
      <c r="D37" s="142"/>
      <c r="E37" s="139" t="s">
        <v>195</v>
      </c>
      <c r="F37" s="140"/>
      <c r="G37" s="112"/>
      <c r="H37" s="113"/>
    </row>
    <row r="38" spans="2:8" ht="6.75" customHeight="1" thickBot="1" x14ac:dyDescent="0.3">
      <c r="B38" s="109"/>
      <c r="C38" s="152"/>
      <c r="D38" s="153"/>
      <c r="E38" s="154"/>
      <c r="F38" s="155"/>
      <c r="G38" s="112"/>
      <c r="H38" s="113"/>
    </row>
    <row r="39" spans="2:8" ht="15.75" thickTop="1" x14ac:dyDescent="0.25">
      <c r="B39" s="109"/>
      <c r="C39" s="110"/>
      <c r="D39" s="110"/>
      <c r="E39" s="111"/>
      <c r="F39" s="111"/>
      <c r="G39" s="112"/>
      <c r="H39" s="113"/>
    </row>
    <row r="40" spans="2:8" ht="21" customHeight="1" x14ac:dyDescent="0.25">
      <c r="B40" s="149" t="s">
        <v>204</v>
      </c>
      <c r="C40" s="150"/>
      <c r="D40" s="150"/>
      <c r="E40" s="150"/>
      <c r="F40" s="150"/>
      <c r="G40" s="150"/>
      <c r="H40" s="151"/>
    </row>
    <row r="41" spans="2:8" ht="20.25" customHeight="1" x14ac:dyDescent="0.25">
      <c r="B41" s="149" t="s">
        <v>205</v>
      </c>
      <c r="C41" s="150"/>
      <c r="D41" s="150"/>
      <c r="E41" s="150"/>
      <c r="F41" s="150"/>
      <c r="G41" s="150"/>
      <c r="H41" s="151"/>
    </row>
    <row r="42" spans="2:8" ht="20.25" customHeight="1" x14ac:dyDescent="0.25">
      <c r="B42" s="149" t="s">
        <v>206</v>
      </c>
      <c r="C42" s="150"/>
      <c r="D42" s="150"/>
      <c r="E42" s="150"/>
      <c r="F42" s="150"/>
      <c r="G42" s="150"/>
      <c r="H42" s="151"/>
    </row>
    <row r="43" spans="2:8" ht="20.25" customHeight="1" x14ac:dyDescent="0.25">
      <c r="B43" s="149" t="s">
        <v>207</v>
      </c>
      <c r="C43" s="150"/>
      <c r="D43" s="150"/>
      <c r="E43" s="150"/>
      <c r="F43" s="150"/>
      <c r="G43" s="150"/>
      <c r="H43" s="151"/>
    </row>
    <row r="44" spans="2:8" x14ac:dyDescent="0.25">
      <c r="B44" s="149" t="s">
        <v>208</v>
      </c>
      <c r="C44" s="150"/>
      <c r="D44" s="150"/>
      <c r="E44" s="150"/>
      <c r="F44" s="150"/>
      <c r="G44" s="150"/>
      <c r="H44" s="15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64" zoomScale="91" zoomScaleNormal="91" workbookViewId="0">
      <selection activeCell="S64" sqref="S64"/>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2" t="s">
        <v>144</v>
      </c>
      <c r="B1" s="183"/>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183"/>
      <c r="AC1" s="183"/>
      <c r="AD1" s="183"/>
      <c r="AE1" s="183"/>
      <c r="AF1" s="183"/>
      <c r="AG1" s="183"/>
      <c r="AH1" s="183"/>
      <c r="AI1" s="183"/>
      <c r="AJ1" s="184"/>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5"/>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7"/>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9" t="s">
        <v>43</v>
      </c>
      <c r="B4" s="220"/>
      <c r="C4" s="178" t="s">
        <v>258</v>
      </c>
      <c r="D4" s="179"/>
      <c r="E4" s="179"/>
      <c r="F4" s="179"/>
      <c r="G4" s="179"/>
      <c r="H4" s="179"/>
      <c r="I4" s="179"/>
      <c r="J4" s="179"/>
      <c r="K4" s="179"/>
      <c r="L4" s="179"/>
      <c r="M4" s="179"/>
      <c r="N4" s="180"/>
      <c r="O4" s="181"/>
      <c r="P4" s="181"/>
      <c r="Q4" s="181"/>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9" t="s">
        <v>130</v>
      </c>
      <c r="B5" s="220"/>
      <c r="C5" s="178" t="s">
        <v>280</v>
      </c>
      <c r="D5" s="179"/>
      <c r="E5" s="179"/>
      <c r="F5" s="179"/>
      <c r="G5" s="179"/>
      <c r="H5" s="179"/>
      <c r="I5" s="179"/>
      <c r="J5" s="179"/>
      <c r="K5" s="179"/>
      <c r="L5" s="179"/>
      <c r="M5" s="179"/>
      <c r="N5" s="180"/>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9" t="s">
        <v>44</v>
      </c>
      <c r="B6" s="220"/>
      <c r="C6" s="229" t="s">
        <v>281</v>
      </c>
      <c r="D6" s="230"/>
      <c r="E6" s="230"/>
      <c r="F6" s="230"/>
      <c r="G6" s="230"/>
      <c r="H6" s="230"/>
      <c r="I6" s="230"/>
      <c r="J6" s="230"/>
      <c r="K6" s="230"/>
      <c r="L6" s="230"/>
      <c r="M6" s="230"/>
      <c r="N6" s="23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8" t="s">
        <v>139</v>
      </c>
      <c r="B7" s="189"/>
      <c r="C7" s="189"/>
      <c r="D7" s="189"/>
      <c r="E7" s="189"/>
      <c r="F7" s="189"/>
      <c r="G7" s="190"/>
      <c r="H7" s="188" t="s">
        <v>140</v>
      </c>
      <c r="I7" s="189"/>
      <c r="J7" s="189"/>
      <c r="K7" s="189"/>
      <c r="L7" s="189"/>
      <c r="M7" s="189"/>
      <c r="N7" s="190"/>
      <c r="O7" s="188" t="s">
        <v>141</v>
      </c>
      <c r="P7" s="189"/>
      <c r="Q7" s="189"/>
      <c r="R7" s="189"/>
      <c r="S7" s="189"/>
      <c r="T7" s="189"/>
      <c r="U7" s="189"/>
      <c r="V7" s="189"/>
      <c r="W7" s="190"/>
      <c r="X7" s="188" t="s">
        <v>142</v>
      </c>
      <c r="Y7" s="189"/>
      <c r="Z7" s="189"/>
      <c r="AA7" s="189"/>
      <c r="AB7" s="189"/>
      <c r="AC7" s="189"/>
      <c r="AD7" s="190"/>
      <c r="AE7" s="188" t="s">
        <v>34</v>
      </c>
      <c r="AF7" s="189"/>
      <c r="AG7" s="189"/>
      <c r="AH7" s="189"/>
      <c r="AI7" s="189"/>
      <c r="AJ7" s="190"/>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1" t="s">
        <v>0</v>
      </c>
      <c r="B8" s="226" t="s">
        <v>2</v>
      </c>
      <c r="C8" s="224" t="s">
        <v>3</v>
      </c>
      <c r="D8" s="224" t="s">
        <v>42</v>
      </c>
      <c r="E8" s="225" t="s">
        <v>1</v>
      </c>
      <c r="F8" s="223" t="s">
        <v>50</v>
      </c>
      <c r="G8" s="224" t="s">
        <v>135</v>
      </c>
      <c r="H8" s="233" t="s">
        <v>33</v>
      </c>
      <c r="I8" s="234" t="s">
        <v>5</v>
      </c>
      <c r="J8" s="223" t="s">
        <v>87</v>
      </c>
      <c r="K8" s="223" t="s">
        <v>92</v>
      </c>
      <c r="L8" s="236" t="s">
        <v>45</v>
      </c>
      <c r="M8" s="234" t="s">
        <v>5</v>
      </c>
      <c r="N8" s="224" t="s">
        <v>48</v>
      </c>
      <c r="O8" s="227" t="s">
        <v>11</v>
      </c>
      <c r="P8" s="218" t="s">
        <v>163</v>
      </c>
      <c r="Q8" s="223" t="s">
        <v>12</v>
      </c>
      <c r="R8" s="218" t="s">
        <v>8</v>
      </c>
      <c r="S8" s="218"/>
      <c r="T8" s="218"/>
      <c r="U8" s="218"/>
      <c r="V8" s="218"/>
      <c r="W8" s="218"/>
      <c r="X8" s="232" t="s">
        <v>138</v>
      </c>
      <c r="Y8" s="232" t="s">
        <v>46</v>
      </c>
      <c r="Z8" s="232" t="s">
        <v>5</v>
      </c>
      <c r="AA8" s="232" t="s">
        <v>47</v>
      </c>
      <c r="AB8" s="232" t="s">
        <v>5</v>
      </c>
      <c r="AC8" s="232" t="s">
        <v>49</v>
      </c>
      <c r="AD8" s="227" t="s">
        <v>29</v>
      </c>
      <c r="AE8" s="218" t="s">
        <v>34</v>
      </c>
      <c r="AF8" s="218" t="s">
        <v>35</v>
      </c>
      <c r="AG8" s="218" t="s">
        <v>36</v>
      </c>
      <c r="AH8" s="218" t="s">
        <v>38</v>
      </c>
      <c r="AI8" s="218" t="s">
        <v>37</v>
      </c>
      <c r="AJ8" s="218"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2"/>
      <c r="B9" s="226"/>
      <c r="C9" s="218"/>
      <c r="D9" s="218"/>
      <c r="E9" s="226"/>
      <c r="F9" s="224"/>
      <c r="G9" s="218"/>
      <c r="H9" s="224"/>
      <c r="I9" s="235"/>
      <c r="J9" s="224"/>
      <c r="K9" s="224"/>
      <c r="L9" s="235"/>
      <c r="M9" s="235"/>
      <c r="N9" s="218"/>
      <c r="O9" s="228"/>
      <c r="P9" s="218"/>
      <c r="Q9" s="224"/>
      <c r="R9" s="7" t="s">
        <v>13</v>
      </c>
      <c r="S9" s="7" t="s">
        <v>17</v>
      </c>
      <c r="T9" s="7" t="s">
        <v>28</v>
      </c>
      <c r="U9" s="7" t="s">
        <v>18</v>
      </c>
      <c r="V9" s="7" t="s">
        <v>21</v>
      </c>
      <c r="W9" s="7" t="s">
        <v>24</v>
      </c>
      <c r="X9" s="232"/>
      <c r="Y9" s="232"/>
      <c r="Z9" s="232"/>
      <c r="AA9" s="232"/>
      <c r="AB9" s="232"/>
      <c r="AC9" s="232"/>
      <c r="AD9" s="228"/>
      <c r="AE9" s="218"/>
      <c r="AF9" s="218"/>
      <c r="AG9" s="218"/>
      <c r="AH9" s="218"/>
      <c r="AI9" s="218"/>
      <c r="AJ9" s="218"/>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0">
        <v>1</v>
      </c>
      <c r="B10" s="203" t="s">
        <v>134</v>
      </c>
      <c r="C10" s="203" t="s">
        <v>256</v>
      </c>
      <c r="D10" s="203" t="s">
        <v>257</v>
      </c>
      <c r="E10" s="206" t="s">
        <v>274</v>
      </c>
      <c r="F10" s="203" t="s">
        <v>123</v>
      </c>
      <c r="G10" s="209">
        <v>60</v>
      </c>
      <c r="H10" s="212" t="str">
        <f>IF(G10&lt;=0,"",IF(G10&lt;=2,"Muy Baja",IF(G10&lt;=24,"Baja",IF(G10&lt;=500,"Media",IF(G10&lt;=5000,"Alta","Muy Alta")))))</f>
        <v>Media</v>
      </c>
      <c r="I10" s="194">
        <f>IF(H10="","",IF(H10="Muy Baja",0.2,IF(H10="Baja",0.4,IF(H10="Media",0.6,IF(H10="Alta",0.8,IF(H10="Muy Alta",1,))))))</f>
        <v>0.6</v>
      </c>
      <c r="J10" s="215" t="s">
        <v>149</v>
      </c>
      <c r="K10" s="194" t="str">
        <f ca="1">IF(NOT(ISERROR(MATCH(J10,'Tabla Impacto'!$B$221:$B$223,0))),'Tabla Impacto'!$F$223&amp;"Por favor no seleccionar los criterios de impacto(Afectación Económica o presupuestal y Pérdida Reputacional)",J10)</f>
        <v xml:space="preserve">     Entre 50 y 100 SMLMV </v>
      </c>
      <c r="L10" s="212"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4">
        <f ca="1">IF(L10="","",IF(L10="Leve",0.2,IF(L10="Menor",0.4,IF(L10="Moderado",0.6,IF(L10="Mayor",0.8,IF(L10="Catastrófico",1,))))))</f>
        <v>0.6</v>
      </c>
      <c r="N10" s="197"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290</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136</v>
      </c>
      <c r="AE10" s="133" t="s">
        <v>262</v>
      </c>
      <c r="AF10" s="134" t="s">
        <v>263</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1"/>
      <c r="B11" s="204"/>
      <c r="C11" s="204"/>
      <c r="D11" s="204"/>
      <c r="E11" s="207"/>
      <c r="F11" s="204"/>
      <c r="G11" s="210"/>
      <c r="H11" s="213"/>
      <c r="I11" s="195"/>
      <c r="J11" s="216"/>
      <c r="K11" s="195">
        <f ca="1">IF(NOT(ISERROR(MATCH(J11,_xlfn.ANCHORARRAY(E22),0))),I24&amp;"Por favor no seleccionar los criterios de impacto",J11)</f>
        <v>0</v>
      </c>
      <c r="L11" s="213"/>
      <c r="M11" s="195"/>
      <c r="N11" s="198"/>
      <c r="O11" s="123">
        <v>2</v>
      </c>
      <c r="P11" s="138"/>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1"/>
      <c r="B12" s="204"/>
      <c r="C12" s="204"/>
      <c r="D12" s="204"/>
      <c r="E12" s="207"/>
      <c r="F12" s="204"/>
      <c r="G12" s="210"/>
      <c r="H12" s="213"/>
      <c r="I12" s="195"/>
      <c r="J12" s="216"/>
      <c r="K12" s="195">
        <f ca="1">IF(NOT(ISERROR(MATCH(J12,_xlfn.ANCHORARRAY(E23),0))),I25&amp;"Por favor no seleccionar los criterios de impacto",J12)</f>
        <v>0</v>
      </c>
      <c r="L12" s="213"/>
      <c r="M12" s="195"/>
      <c r="N12" s="198"/>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1"/>
      <c r="B13" s="204"/>
      <c r="C13" s="204"/>
      <c r="D13" s="204"/>
      <c r="E13" s="207"/>
      <c r="F13" s="204"/>
      <c r="G13" s="210"/>
      <c r="H13" s="213"/>
      <c r="I13" s="195"/>
      <c r="J13" s="216"/>
      <c r="K13" s="195">
        <f ca="1">IF(NOT(ISERROR(MATCH(J13,_xlfn.ANCHORARRAY(E24),0))),I26&amp;"Por favor no seleccionar los criterios de impacto",J13)</f>
        <v>0</v>
      </c>
      <c r="L13" s="213"/>
      <c r="M13" s="195"/>
      <c r="N13" s="198"/>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1"/>
      <c r="B14" s="204"/>
      <c r="C14" s="204"/>
      <c r="D14" s="204"/>
      <c r="E14" s="207"/>
      <c r="F14" s="204"/>
      <c r="G14" s="210"/>
      <c r="H14" s="213"/>
      <c r="I14" s="195"/>
      <c r="J14" s="216"/>
      <c r="K14" s="195">
        <f ca="1">IF(NOT(ISERROR(MATCH(J14,_xlfn.ANCHORARRAY(E25),0))),I27&amp;"Por favor no seleccionar los criterios de impacto",J14)</f>
        <v>0</v>
      </c>
      <c r="L14" s="213"/>
      <c r="M14" s="195"/>
      <c r="N14" s="198"/>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2"/>
      <c r="B15" s="205"/>
      <c r="C15" s="205"/>
      <c r="D15" s="205"/>
      <c r="E15" s="208"/>
      <c r="F15" s="205"/>
      <c r="G15" s="211"/>
      <c r="H15" s="214"/>
      <c r="I15" s="196"/>
      <c r="J15" s="217"/>
      <c r="K15" s="196">
        <f ca="1">IF(NOT(ISERROR(MATCH(J15,_xlfn.ANCHORARRAY(E26),0))),I28&amp;"Por favor no seleccionar los criterios de impacto",J15)</f>
        <v>0</v>
      </c>
      <c r="L15" s="214"/>
      <c r="M15" s="196"/>
      <c r="N15" s="199"/>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0">
        <v>2</v>
      </c>
      <c r="B16" s="203" t="s">
        <v>133</v>
      </c>
      <c r="C16" s="203" t="s">
        <v>264</v>
      </c>
      <c r="D16" s="203" t="s">
        <v>269</v>
      </c>
      <c r="E16" s="206" t="s">
        <v>282</v>
      </c>
      <c r="F16" s="203" t="s">
        <v>123</v>
      </c>
      <c r="G16" s="209">
        <v>60</v>
      </c>
      <c r="H16" s="212" t="str">
        <f>IF(G16&lt;=0,"",IF(G16&lt;=2,"Muy Baja",IF(G16&lt;=24,"Baja",IF(G16&lt;=500,"Media",IF(G16&lt;=5000,"Alta","Muy Alta")))))</f>
        <v>Media</v>
      </c>
      <c r="I16" s="194">
        <f>IF(H16="","",IF(H16="Muy Baja",0.2,IF(H16="Baja",0.4,IF(H16="Media",0.6,IF(H16="Alta",0.8,IF(H16="Muy Alta",1,))))))</f>
        <v>0.6</v>
      </c>
      <c r="J16" s="215" t="s">
        <v>150</v>
      </c>
      <c r="K16" s="194" t="str">
        <f ca="1">IF(NOT(ISERROR(MATCH(J16,'Tabla Impacto'!$B$221:$B$223,0))),'Tabla Impacto'!$F$223&amp;"Por favor no seleccionar los criterios de impacto(Afectación Económica o presupuestal y Pérdida Reputacional)",J16)</f>
        <v xml:space="preserve">     Entre 10 y 50 SMLMV </v>
      </c>
      <c r="L16" s="212" t="str">
        <f ca="1">IF(OR(K16='Tabla Impacto'!$C$11,K16='Tabla Impacto'!$D$11),"Leve",IF(OR(K16='Tabla Impacto'!$C$12,K16='Tabla Impacto'!$D$12),"Menor",IF(OR(K16='Tabla Impacto'!$C$13,K16='Tabla Impacto'!$D$13),"Moderado",IF(OR(K16='Tabla Impacto'!$C$14,K16='Tabla Impacto'!$D$14),"Mayor",IF(OR(K16='Tabla Impacto'!$C$15,K16='Tabla Impacto'!$D$15),"Catastrófico","")))))</f>
        <v>Menor</v>
      </c>
      <c r="M16" s="194">
        <f ca="1">IF(L16="","",IF(L16="Leve",0.2,IF(L16="Menor",0.4,IF(L16="Moderado",0.6,IF(L16="Mayor",0.8,IF(L16="Catastrófico",1,))))))</f>
        <v>0.4</v>
      </c>
      <c r="N16" s="197"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303</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19</v>
      </c>
      <c r="V16" s="126" t="s">
        <v>22</v>
      </c>
      <c r="W16" s="126" t="s">
        <v>119</v>
      </c>
      <c r="X16" s="128">
        <f>IFERROR(IF(Q16="Probabilidad",(I16-(+I16*T16)),IF(Q16="Impacto",I16,"")),"")</f>
        <v>0.6</v>
      </c>
      <c r="Y16" s="129" t="str">
        <f>IFERROR(IF(X16="","",IF(X16&lt;=0.2,"Muy Baja",IF(X16&lt;=0.4,"Baja",IF(X16&lt;=0.6,"Media",IF(X16&lt;=0.8,"Alta","Muy Alta"))))),"")</f>
        <v>Media</v>
      </c>
      <c r="Z16" s="130">
        <f>+X16</f>
        <v>0.6</v>
      </c>
      <c r="AA16" s="129" t="str">
        <f ca="1">IFERROR(IF(AB16="","",IF(AB16&lt;=0.2,"Leve",IF(AB16&lt;=0.4,"Menor",IF(AB16&lt;=0.6,"Moderado",IF(AB16&lt;=0.8,"Mayor","Catastrófico"))))),"")</f>
        <v>Menor</v>
      </c>
      <c r="AB16" s="130">
        <f ca="1">IFERROR(IF(Q16="Impacto",(M16-(+M16*T16)),IF(Q16="Probabilidad",M16,"")),"")</f>
        <v>0.30000000000000004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136</v>
      </c>
      <c r="AE16" s="133" t="s">
        <v>262</v>
      </c>
      <c r="AF16" s="134" t="s">
        <v>263</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1"/>
      <c r="B17" s="204"/>
      <c r="C17" s="204"/>
      <c r="D17" s="204"/>
      <c r="E17" s="207"/>
      <c r="F17" s="204"/>
      <c r="G17" s="210"/>
      <c r="H17" s="213"/>
      <c r="I17" s="195"/>
      <c r="J17" s="216"/>
      <c r="K17" s="195">
        <f ca="1">IF(NOT(ISERROR(MATCH(J17,_xlfn.ANCHORARRAY(E28),0))),I30&amp;"Por favor no seleccionar los criterios de impacto",J17)</f>
        <v>0</v>
      </c>
      <c r="L17" s="213"/>
      <c r="M17" s="195"/>
      <c r="N17" s="198"/>
      <c r="O17" s="123">
        <v>2</v>
      </c>
      <c r="P17" s="124" t="s">
        <v>294</v>
      </c>
      <c r="Q17" s="125" t="str">
        <f>IF(OR(R17="Preventivo",R17="Detectivo"),"Probabilidad",IF(R17="Correctivo","Impacto",""))</f>
        <v>Probabilidad</v>
      </c>
      <c r="R17" s="126" t="s">
        <v>15</v>
      </c>
      <c r="S17" s="126" t="s">
        <v>9</v>
      </c>
      <c r="T17" s="127" t="str">
        <f t="shared" ref="T17:T21" si="8">IF(AND(R17="Preventivo",S17="Automático"),"50%",IF(AND(R17="Preventivo",S17="Manual"),"40%",IF(AND(R17="Detectivo",S17="Automático"),"40%",IF(AND(R17="Detectivo",S17="Manual"),"30%",IF(AND(R17="Correctivo",S17="Automático"),"35%",IF(AND(R17="Correctivo",S17="Manual"),"25%",""))))))</f>
        <v>30%</v>
      </c>
      <c r="U17" s="126" t="s">
        <v>19</v>
      </c>
      <c r="V17" s="126" t="s">
        <v>22</v>
      </c>
      <c r="W17" s="126" t="s">
        <v>119</v>
      </c>
      <c r="X17" s="128">
        <f>IFERROR(IF(AND(Q16="Probabilidad",Q17="Probabilidad"),(Z16-(+Z16*T17)),IF(Q17="Probabilidad",(I16-(+I16*T17)),IF(Q17="Impacto",Z16,""))),"")</f>
        <v>0.42</v>
      </c>
      <c r="Y17" s="129" t="str">
        <f t="shared" si="1"/>
        <v>Media</v>
      </c>
      <c r="Z17" s="130">
        <f t="shared" ref="Z17:Z21" si="9">+X17</f>
        <v>0.42</v>
      </c>
      <c r="AA17" s="129" t="str">
        <f ca="1">IFERROR(IF(AB17="","",IF(AB17&lt;=0.2,"Leve",IF(AB17&lt;=0.4,"Menor",IF(AB17&lt;=0.6,"Moderado",IF(AB17&lt;=0.8,"Mayor","Catastrófico"))))),"")</f>
        <v>Moderado</v>
      </c>
      <c r="AB17" s="130">
        <f ca="1">IFERROR(IF(AND(Q16="Impacto",Q17="Impacto"),(AB10-(+AB10*T17)),IF(Q17="Impacto",($M$16-(+$M$16*T17)),IF(Q17="Probabilidad",AB10,""))),"")</f>
        <v>0.6</v>
      </c>
      <c r="AC17" s="131" t="str">
        <f ca="1">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Moderado</v>
      </c>
      <c r="AD17" s="132" t="s">
        <v>136</v>
      </c>
      <c r="AE17" s="133" t="s">
        <v>262</v>
      </c>
      <c r="AF17" s="134" t="s">
        <v>263</v>
      </c>
      <c r="AG17" s="135">
        <v>44927</v>
      </c>
      <c r="AH17" s="135">
        <v>45291</v>
      </c>
      <c r="AI17" s="133"/>
      <c r="AJ17" s="134" t="s">
        <v>41</v>
      </c>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1"/>
      <c r="B18" s="204"/>
      <c r="C18" s="204"/>
      <c r="D18" s="204"/>
      <c r="E18" s="207"/>
      <c r="F18" s="204"/>
      <c r="G18" s="210"/>
      <c r="H18" s="213"/>
      <c r="I18" s="195"/>
      <c r="J18" s="216"/>
      <c r="K18" s="195">
        <f ca="1">IF(NOT(ISERROR(MATCH(J18,_xlfn.ANCHORARRAY(E29),0))),I31&amp;"Por favor no seleccionar los criterios de impacto",J18)</f>
        <v>0</v>
      </c>
      <c r="L18" s="213"/>
      <c r="M18" s="195"/>
      <c r="N18" s="198"/>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ref="AC18" si="10">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1"/>
      <c r="B19" s="204"/>
      <c r="C19" s="204"/>
      <c r="D19" s="204"/>
      <c r="E19" s="207"/>
      <c r="F19" s="204"/>
      <c r="G19" s="210"/>
      <c r="H19" s="213"/>
      <c r="I19" s="195"/>
      <c r="J19" s="216"/>
      <c r="K19" s="195">
        <f ca="1">IF(NOT(ISERROR(MATCH(J19,_xlfn.ANCHORARRAY(E30),0))),I32&amp;"Por favor no seleccionar los criterios de impacto",J19)</f>
        <v>0</v>
      </c>
      <c r="L19" s="213"/>
      <c r="M19" s="195"/>
      <c r="N19" s="198"/>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1"/>
      <c r="B20" s="204"/>
      <c r="C20" s="204"/>
      <c r="D20" s="204"/>
      <c r="E20" s="207"/>
      <c r="F20" s="204"/>
      <c r="G20" s="210"/>
      <c r="H20" s="213"/>
      <c r="I20" s="195"/>
      <c r="J20" s="216"/>
      <c r="K20" s="195">
        <f ca="1">IF(NOT(ISERROR(MATCH(J20,_xlfn.ANCHORARRAY(E31),0))),I33&amp;"Por favor no seleccionar los criterios de impacto",J20)</f>
        <v>0</v>
      </c>
      <c r="L20" s="213"/>
      <c r="M20" s="195"/>
      <c r="N20" s="198"/>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2"/>
      <c r="B21" s="205"/>
      <c r="C21" s="205"/>
      <c r="D21" s="205"/>
      <c r="E21" s="208"/>
      <c r="F21" s="205"/>
      <c r="G21" s="211"/>
      <c r="H21" s="214"/>
      <c r="I21" s="196"/>
      <c r="J21" s="217"/>
      <c r="K21" s="196">
        <f ca="1">IF(NOT(ISERROR(MATCH(J21,_xlfn.ANCHORARRAY(E32),0))),I34&amp;"Por favor no seleccionar los criterios de impacto",J21)</f>
        <v>0</v>
      </c>
      <c r="L21" s="214"/>
      <c r="M21" s="196"/>
      <c r="N21" s="199"/>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0">
        <v>3</v>
      </c>
      <c r="B22" s="203" t="s">
        <v>133</v>
      </c>
      <c r="C22" s="203" t="s">
        <v>270</v>
      </c>
      <c r="D22" s="203" t="s">
        <v>283</v>
      </c>
      <c r="E22" s="206" t="s">
        <v>284</v>
      </c>
      <c r="F22" s="203" t="s">
        <v>123</v>
      </c>
      <c r="G22" s="209">
        <v>60</v>
      </c>
      <c r="H22" s="212" t="str">
        <f>IF(G22&lt;=0,"",IF(G22&lt;=2,"Muy Baja",IF(G22&lt;=24,"Baja",IF(G22&lt;=500,"Media",IF(G22&lt;=5000,"Alta","Muy Alta")))))</f>
        <v>Media</v>
      </c>
      <c r="I22" s="194">
        <f>IF(H22="","",IF(H22="Muy Baja",0.2,IF(H22="Baja",0.4,IF(H22="Media",0.6,IF(H22="Alta",0.8,IF(H22="Muy Alta",1,))))))</f>
        <v>0.6</v>
      </c>
      <c r="J22" s="215" t="s">
        <v>146</v>
      </c>
      <c r="K22" s="194" t="str">
        <f ca="1">IF(NOT(ISERROR(MATCH(J22,'Tabla Impacto'!$B$221:$B$223,0))),'Tabla Impacto'!$F$223&amp;"Por favor no seleccionar los criterios de impacto(Afectación Económica o presupuestal y Pérdida Reputacional)",J22)</f>
        <v xml:space="preserve">     Afectación menor a 10 SMLMV .</v>
      </c>
      <c r="L22" s="212" t="str">
        <f ca="1">IF(OR(K22='Tabla Impacto'!$C$11,K22='Tabla Impacto'!$D$11),"Leve",IF(OR(K22='Tabla Impacto'!$C$12,K22='Tabla Impacto'!$D$12),"Menor",IF(OR(K22='Tabla Impacto'!$C$13,K22='Tabla Impacto'!$D$13),"Moderado",IF(OR(K22='Tabla Impacto'!$C$14,K22='Tabla Impacto'!$D$14),"Mayor",IF(OR(K22='Tabla Impacto'!$C$15,K22='Tabla Impacto'!$D$15),"Catastrófico","")))))</f>
        <v>Leve</v>
      </c>
      <c r="M22" s="194">
        <f ca="1">IF(L22="","",IF(L22="Leve",0.2,IF(L22="Menor",0.4,IF(L22="Moderado",0.6,IF(L22="Mayor",0.8,IF(L22="Catastrófico",1,))))))</f>
        <v>0.2</v>
      </c>
      <c r="N22" s="197"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295</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23</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Leve</v>
      </c>
      <c r="AB22" s="130">
        <f ca="1">IFERROR(IF(Q22="Impacto",(M22-(+M22*T22)),IF(Q22="Probabilidad",M22,"")),"")</f>
        <v>0.2</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136</v>
      </c>
      <c r="AE22" s="133" t="s">
        <v>262</v>
      </c>
      <c r="AF22" s="134" t="s">
        <v>263</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1"/>
      <c r="B23" s="204"/>
      <c r="C23" s="204"/>
      <c r="D23" s="204"/>
      <c r="E23" s="207"/>
      <c r="F23" s="204"/>
      <c r="G23" s="210"/>
      <c r="H23" s="213"/>
      <c r="I23" s="195"/>
      <c r="J23" s="216"/>
      <c r="K23" s="195">
        <f ca="1">IF(NOT(ISERROR(MATCH(J23,_xlfn.ANCHORARRAY(E34),0))),I36&amp;"Por favor no seleccionar los criterios de impacto",J23)</f>
        <v>0</v>
      </c>
      <c r="L23" s="213"/>
      <c r="M23" s="195"/>
      <c r="N23" s="198"/>
      <c r="O23" s="123">
        <v>2</v>
      </c>
      <c r="P23" s="124" t="s">
        <v>296</v>
      </c>
      <c r="Q23" s="125" t="str">
        <f>IF(OR(R23="Preventivo",R23="Detectivo"),"Probabilidad",IF(R23="Correctivo","Impacto",""))</f>
        <v>Probabilidad</v>
      </c>
      <c r="R23" s="126" t="s">
        <v>14</v>
      </c>
      <c r="S23" s="126" t="s">
        <v>9</v>
      </c>
      <c r="T23" s="127" t="str">
        <f t="shared" ref="T23:T27" si="15">IF(AND(R23="Preventivo",S23="Automático"),"50%",IF(AND(R23="Preventivo",S23="Manual"),"40%",IF(AND(R23="Detectivo",S23="Automático"),"40%",IF(AND(R23="Detectivo",S23="Manual"),"30%",IF(AND(R23="Correctivo",S23="Automático"),"35%",IF(AND(R23="Correctivo",S23="Manual"),"25%",""))))))</f>
        <v>40%</v>
      </c>
      <c r="U23" s="126" t="s">
        <v>19</v>
      </c>
      <c r="V23" s="126" t="s">
        <v>23</v>
      </c>
      <c r="W23" s="126" t="s">
        <v>119</v>
      </c>
      <c r="X23" s="137">
        <f>IFERROR(IF(AND(Q22="Probabilidad",Q23="Probabilidad"),(Z22-(+Z22*T23)),IF(Q23="Probabilidad",(I22-(+I22*T23)),IF(Q23="Impacto",Z22,""))),"")</f>
        <v>0.216</v>
      </c>
      <c r="Y23" s="129" t="str">
        <f t="shared" si="1"/>
        <v>Baja</v>
      </c>
      <c r="Z23" s="130">
        <f t="shared" ref="Z23:Z27" si="16">+X23</f>
        <v>0.216</v>
      </c>
      <c r="AA23" s="129" t="str">
        <f ca="1">IFERROR(IF(AB23="","",IF(AB23&lt;=0.2,"Leve",IF(AB23&lt;=0.4,"Menor",IF(AB23&lt;=0.6,"Moderado",IF(AB23&lt;=0.8,"Mayor","Catastrófico"))))),"")</f>
        <v>Menor</v>
      </c>
      <c r="AB23" s="130">
        <f ca="1">IFERROR(IF(AND(Q22="Impacto",Q23="Impacto"),(AB16-(+AB16*T23)),IF(Q23="Impacto",($M$22-(+$M$22*T23)),IF(Q23="Probabilidad",AB16,""))),"")</f>
        <v>0.30000000000000004</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Moderado</v>
      </c>
      <c r="AD23" s="132" t="s">
        <v>31</v>
      </c>
      <c r="AE23" s="133" t="s">
        <v>262</v>
      </c>
      <c r="AF23" s="134" t="s">
        <v>263</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1"/>
      <c r="B24" s="204"/>
      <c r="C24" s="204"/>
      <c r="D24" s="204"/>
      <c r="E24" s="207"/>
      <c r="F24" s="204"/>
      <c r="G24" s="210"/>
      <c r="H24" s="213"/>
      <c r="I24" s="195"/>
      <c r="J24" s="216"/>
      <c r="K24" s="195">
        <f ca="1">IF(NOT(ISERROR(MATCH(J24,_xlfn.ANCHORARRAY(E35),0))),I37&amp;"Por favor no seleccionar los criterios de impacto",J24)</f>
        <v>0</v>
      </c>
      <c r="L24" s="213"/>
      <c r="M24" s="195"/>
      <c r="N24" s="198"/>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1"/>
      <c r="B25" s="204"/>
      <c r="C25" s="204"/>
      <c r="D25" s="204"/>
      <c r="E25" s="207"/>
      <c r="F25" s="204"/>
      <c r="G25" s="210"/>
      <c r="H25" s="213"/>
      <c r="I25" s="195"/>
      <c r="J25" s="216"/>
      <c r="K25" s="195">
        <f ca="1">IF(NOT(ISERROR(MATCH(J25,_xlfn.ANCHORARRAY(E36),0))),I38&amp;"Por favor no seleccionar los criterios de impacto",J25)</f>
        <v>0</v>
      </c>
      <c r="L25" s="213"/>
      <c r="M25" s="195"/>
      <c r="N25" s="198"/>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1"/>
      <c r="B26" s="204"/>
      <c r="C26" s="204"/>
      <c r="D26" s="204"/>
      <c r="E26" s="207"/>
      <c r="F26" s="204"/>
      <c r="G26" s="210"/>
      <c r="H26" s="213"/>
      <c r="I26" s="195"/>
      <c r="J26" s="216"/>
      <c r="K26" s="195">
        <f ca="1">IF(NOT(ISERROR(MATCH(J26,_xlfn.ANCHORARRAY(E37),0))),I39&amp;"Por favor no seleccionar los criterios de impacto",J26)</f>
        <v>0</v>
      </c>
      <c r="L26" s="213"/>
      <c r="M26" s="195"/>
      <c r="N26" s="198"/>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2"/>
      <c r="B27" s="205"/>
      <c r="C27" s="205"/>
      <c r="D27" s="205"/>
      <c r="E27" s="208"/>
      <c r="F27" s="205"/>
      <c r="G27" s="211"/>
      <c r="H27" s="214"/>
      <c r="I27" s="196"/>
      <c r="J27" s="217"/>
      <c r="K27" s="196">
        <f ca="1">IF(NOT(ISERROR(MATCH(J27,_xlfn.ANCHORARRAY(E38),0))),I40&amp;"Por favor no seleccionar los criterios de impacto",J27)</f>
        <v>0</v>
      </c>
      <c r="L27" s="214"/>
      <c r="M27" s="196"/>
      <c r="N27" s="199"/>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0">
        <v>4</v>
      </c>
      <c r="B28" s="203" t="s">
        <v>133</v>
      </c>
      <c r="C28" s="203" t="s">
        <v>259</v>
      </c>
      <c r="D28" s="203" t="s">
        <v>271</v>
      </c>
      <c r="E28" s="206" t="s">
        <v>285</v>
      </c>
      <c r="F28" s="203" t="s">
        <v>123</v>
      </c>
      <c r="G28" s="209">
        <v>60</v>
      </c>
      <c r="H28" s="212" t="str">
        <f>IF(G28&lt;=0,"",IF(G28&lt;=2,"Muy Baja",IF(G28&lt;=24,"Baja",IF(G28&lt;=500,"Media",IF(G28&lt;=5000,"Alta","Muy Alta")))))</f>
        <v>Media</v>
      </c>
      <c r="I28" s="194">
        <f>IF(H28="","",IF(H28="Muy Baja",0.2,IF(H28="Baja",0.4,IF(H28="Media",0.6,IF(H28="Alta",0.8,IF(H28="Muy Alta",1,))))))</f>
        <v>0.6</v>
      </c>
      <c r="J28" s="215" t="s">
        <v>149</v>
      </c>
      <c r="K28" s="194" t="str">
        <f ca="1">IF(NOT(ISERROR(MATCH(J28,'Tabla Impacto'!$B$221:$B$223,0))),'Tabla Impacto'!$F$223&amp;"Por favor no seleccionar los criterios de impacto(Afectación Económica o presupuestal y Pérdida Reputacional)",J28)</f>
        <v xml:space="preserve">     Entre 50 y 100 SMLMV </v>
      </c>
      <c r="L28" s="212"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4">
        <f ca="1">IF(L28="","",IF(L28="Leve",0.2,IF(L28="Menor",0.4,IF(L28="Moderado",0.6,IF(L28="Mayor",0.8,IF(L28="Catastrófico",1,))))))</f>
        <v>0.6</v>
      </c>
      <c r="N28" s="197"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304</v>
      </c>
      <c r="Q28" s="125" t="str">
        <f>IF(OR(R28="Preventivo",R28="Detectivo"),"Probabilidad",IF(R28="Correctivo","Impacto",""))</f>
        <v>Impacto</v>
      </c>
      <c r="R28" s="126" t="s">
        <v>16</v>
      </c>
      <c r="S28" s="126" t="s">
        <v>9</v>
      </c>
      <c r="T28" s="127" t="str">
        <f>IF(AND(R28="Preventivo",S28="Automático"),"50%",IF(AND(R28="Preventivo",S28="Manual"),"40%",IF(AND(R28="Detectivo",S28="Automático"),"40%",IF(AND(R28="Detectivo",S28="Manual"),"30%",IF(AND(R28="Correctivo",S28="Automático"),"35%",IF(AND(R28="Correctivo",S28="Manual"),"25%",""))))))</f>
        <v>25%</v>
      </c>
      <c r="U28" s="126" t="s">
        <v>20</v>
      </c>
      <c r="V28" s="126" t="s">
        <v>22</v>
      </c>
      <c r="W28" s="126" t="s">
        <v>119</v>
      </c>
      <c r="X28" s="128">
        <f>IFERROR(IF(Q28="Probabilidad",(I28-(+I28*T28)),IF(Q28="Impacto",I28,"")),"")</f>
        <v>0.6</v>
      </c>
      <c r="Y28" s="129" t="str">
        <f>IFERROR(IF(X28="","",IF(X28&lt;=0.2,"Muy Baja",IF(X28&lt;=0.4,"Baja",IF(X28&lt;=0.6,"Media",IF(X28&lt;=0.8,"Alta","Muy Alta"))))),"")</f>
        <v>Media</v>
      </c>
      <c r="Z28" s="130">
        <f>+X28</f>
        <v>0.6</v>
      </c>
      <c r="AA28" s="129" t="str">
        <f ca="1">IFERROR(IF(AB28="","",IF(AB28&lt;=0.2,"Leve",IF(AB28&lt;=0.4,"Menor",IF(AB28&lt;=0.6,"Moderado",IF(AB28&lt;=0.8,"Mayor","Catastrófico"))))),"")</f>
        <v>Moderado</v>
      </c>
      <c r="AB28" s="130">
        <f ca="1">IFERROR(IF(Q28="Impacto",(M28-(+M28*T28)),IF(Q28="Probabilidad",M28,"")),"")</f>
        <v>0.44999999999999996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136</v>
      </c>
      <c r="AE28" s="133" t="s">
        <v>262</v>
      </c>
      <c r="AF28" s="134" t="s">
        <v>263</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1"/>
      <c r="B29" s="204"/>
      <c r="C29" s="204"/>
      <c r="D29" s="204"/>
      <c r="E29" s="207"/>
      <c r="F29" s="204"/>
      <c r="G29" s="210"/>
      <c r="H29" s="213"/>
      <c r="I29" s="195"/>
      <c r="J29" s="216"/>
      <c r="K29" s="195">
        <f ca="1">IF(NOT(ISERROR(MATCH(J29,_xlfn.ANCHORARRAY(E40),0))),I42&amp;"Por favor no seleccionar los criterios de impacto",J29)</f>
        <v>0</v>
      </c>
      <c r="L29" s="213"/>
      <c r="M29" s="195"/>
      <c r="N29" s="198"/>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1"/>
      <c r="B30" s="204"/>
      <c r="C30" s="204"/>
      <c r="D30" s="204"/>
      <c r="E30" s="207"/>
      <c r="F30" s="204"/>
      <c r="G30" s="210"/>
      <c r="H30" s="213"/>
      <c r="I30" s="195"/>
      <c r="J30" s="216"/>
      <c r="K30" s="195">
        <f ca="1">IF(NOT(ISERROR(MATCH(J30,_xlfn.ANCHORARRAY(E41),0))),I43&amp;"Por favor no seleccionar los criterios de impacto",J30)</f>
        <v>0</v>
      </c>
      <c r="L30" s="213"/>
      <c r="M30" s="195"/>
      <c r="N30" s="198"/>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1"/>
      <c r="B31" s="204"/>
      <c r="C31" s="204"/>
      <c r="D31" s="204"/>
      <c r="E31" s="207"/>
      <c r="F31" s="204"/>
      <c r="G31" s="210"/>
      <c r="H31" s="213"/>
      <c r="I31" s="195"/>
      <c r="J31" s="216"/>
      <c r="K31" s="195">
        <f ca="1">IF(NOT(ISERROR(MATCH(J31,_xlfn.ANCHORARRAY(E42),0))),I44&amp;"Por favor no seleccionar los criterios de impacto",J31)</f>
        <v>0</v>
      </c>
      <c r="L31" s="213"/>
      <c r="M31" s="195"/>
      <c r="N31" s="198"/>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1"/>
      <c r="B32" s="204"/>
      <c r="C32" s="204"/>
      <c r="D32" s="204"/>
      <c r="E32" s="207"/>
      <c r="F32" s="204"/>
      <c r="G32" s="210"/>
      <c r="H32" s="213"/>
      <c r="I32" s="195"/>
      <c r="J32" s="216"/>
      <c r="K32" s="195">
        <f ca="1">IF(NOT(ISERROR(MATCH(J32,_xlfn.ANCHORARRAY(E43),0))),I45&amp;"Por favor no seleccionar los criterios de impacto",J32)</f>
        <v>0</v>
      </c>
      <c r="L32" s="213"/>
      <c r="M32" s="195"/>
      <c r="N32" s="198"/>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2"/>
      <c r="B33" s="205"/>
      <c r="C33" s="205"/>
      <c r="D33" s="205"/>
      <c r="E33" s="208"/>
      <c r="F33" s="205"/>
      <c r="G33" s="211"/>
      <c r="H33" s="214"/>
      <c r="I33" s="196"/>
      <c r="J33" s="217"/>
      <c r="K33" s="196">
        <f ca="1">IF(NOT(ISERROR(MATCH(J33,_xlfn.ANCHORARRAY(E44),0))),I46&amp;"Por favor no seleccionar los criterios de impacto",J33)</f>
        <v>0</v>
      </c>
      <c r="L33" s="214"/>
      <c r="M33" s="196"/>
      <c r="N33" s="199"/>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0">
        <v>5</v>
      </c>
      <c r="B34" s="203" t="s">
        <v>134</v>
      </c>
      <c r="C34" s="203" t="s">
        <v>291</v>
      </c>
      <c r="D34" s="203" t="s">
        <v>292</v>
      </c>
      <c r="E34" s="206" t="s">
        <v>293</v>
      </c>
      <c r="F34" s="203" t="s">
        <v>123</v>
      </c>
      <c r="G34" s="209">
        <v>20</v>
      </c>
      <c r="H34" s="212" t="str">
        <f>IF(G34&lt;=0,"",IF(G34&lt;=2,"Muy Baja",IF(G34&lt;=24,"Baja",IF(G34&lt;=500,"Media",IF(G34&lt;=5000,"Alta","Muy Alta")))))</f>
        <v>Baja</v>
      </c>
      <c r="I34" s="194">
        <f>IF(H34="","",IF(H34="Muy Baja",0.2,IF(H34="Baja",0.4,IF(H34="Media",0.6,IF(H34="Alta",0.8,IF(H34="Muy Alta",1,))))))</f>
        <v>0.4</v>
      </c>
      <c r="J34" s="215" t="s">
        <v>149</v>
      </c>
      <c r="K34" s="194" t="str">
        <f ca="1">IF(NOT(ISERROR(MATCH(J34,'Tabla Impacto'!$B$221:$B$223,0))),'Tabla Impacto'!$F$223&amp;"Por favor no seleccionar los criterios de impacto(Afectación Económica o presupuestal y Pérdida Reputacional)",J34)</f>
        <v xml:space="preserve">     Entre 50 y 100 SMLMV </v>
      </c>
      <c r="L34" s="212"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4">
        <f ca="1">IF(L34="","",IF(L34="Leve",0.2,IF(L34="Menor",0.4,IF(L34="Moderado",0.6,IF(L34="Mayor",0.8,IF(L34="Catastrófico",1,))))))</f>
        <v>0.6</v>
      </c>
      <c r="N34" s="197"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288</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23</v>
      </c>
      <c r="W34" s="126" t="s">
        <v>119</v>
      </c>
      <c r="X34" s="128">
        <f>IFERROR(IF(Q34="Probabilidad",(I34-(+I34*T34)),IF(Q34="Impacto",I34,"")),"")</f>
        <v>0.24</v>
      </c>
      <c r="Y34" s="129" t="str">
        <f>IFERROR(IF(X34="","",IF(X34&lt;=0.2,"Muy Baja",IF(X34&lt;=0.4,"Baja",IF(X34&lt;=0.6,"Media",IF(X34&lt;=0.8,"Alta","Muy Alta"))))),"")</f>
        <v>Baja</v>
      </c>
      <c r="Z34" s="130">
        <f>+X34</f>
        <v>0.24</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136</v>
      </c>
      <c r="AE34" s="133" t="s">
        <v>262</v>
      </c>
      <c r="AF34" s="134" t="s">
        <v>263</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1"/>
      <c r="B35" s="204"/>
      <c r="C35" s="204"/>
      <c r="D35" s="204"/>
      <c r="E35" s="207"/>
      <c r="F35" s="204"/>
      <c r="G35" s="210"/>
      <c r="H35" s="213"/>
      <c r="I35" s="195"/>
      <c r="J35" s="216"/>
      <c r="K35" s="195">
        <f ca="1">IF(NOT(ISERROR(MATCH(J35,_xlfn.ANCHORARRAY(E46),0))),I48&amp;"Por favor no seleccionar los criterios de impacto",J35)</f>
        <v>0</v>
      </c>
      <c r="L35" s="213"/>
      <c r="M35" s="195"/>
      <c r="N35" s="198"/>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1"/>
      <c r="B36" s="204"/>
      <c r="C36" s="204"/>
      <c r="D36" s="204"/>
      <c r="E36" s="207"/>
      <c r="F36" s="204"/>
      <c r="G36" s="210"/>
      <c r="H36" s="213"/>
      <c r="I36" s="195"/>
      <c r="J36" s="216"/>
      <c r="K36" s="195">
        <f ca="1">IF(NOT(ISERROR(MATCH(J36,_xlfn.ANCHORARRAY(E47),0))),I49&amp;"Por favor no seleccionar los criterios de impacto",J36)</f>
        <v>0</v>
      </c>
      <c r="L36" s="213"/>
      <c r="M36" s="195"/>
      <c r="N36" s="198"/>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1"/>
      <c r="B37" s="204"/>
      <c r="C37" s="204"/>
      <c r="D37" s="204"/>
      <c r="E37" s="207"/>
      <c r="F37" s="204"/>
      <c r="G37" s="210"/>
      <c r="H37" s="213"/>
      <c r="I37" s="195"/>
      <c r="J37" s="216"/>
      <c r="K37" s="195">
        <f ca="1">IF(NOT(ISERROR(MATCH(J37,_xlfn.ANCHORARRAY(E48),0))),I50&amp;"Por favor no seleccionar los criterios de impacto",J37)</f>
        <v>0</v>
      </c>
      <c r="L37" s="213"/>
      <c r="M37" s="195"/>
      <c r="N37" s="198"/>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1"/>
      <c r="B38" s="204"/>
      <c r="C38" s="204"/>
      <c r="D38" s="204"/>
      <c r="E38" s="207"/>
      <c r="F38" s="204"/>
      <c r="G38" s="210"/>
      <c r="H38" s="213"/>
      <c r="I38" s="195"/>
      <c r="J38" s="216"/>
      <c r="K38" s="195">
        <f ca="1">IF(NOT(ISERROR(MATCH(J38,_xlfn.ANCHORARRAY(E49),0))),I51&amp;"Por favor no seleccionar los criterios de impacto",J38)</f>
        <v>0</v>
      </c>
      <c r="L38" s="213"/>
      <c r="M38" s="195"/>
      <c r="N38" s="198"/>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2"/>
      <c r="B39" s="205"/>
      <c r="C39" s="205"/>
      <c r="D39" s="205"/>
      <c r="E39" s="208"/>
      <c r="F39" s="205"/>
      <c r="G39" s="211"/>
      <c r="H39" s="214"/>
      <c r="I39" s="196"/>
      <c r="J39" s="217"/>
      <c r="K39" s="196">
        <f ca="1">IF(NOT(ISERROR(MATCH(J39,_xlfn.ANCHORARRAY(E50),0))),I52&amp;"Por favor no seleccionar los criterios de impacto",J39)</f>
        <v>0</v>
      </c>
      <c r="L39" s="214"/>
      <c r="M39" s="196"/>
      <c r="N39" s="199"/>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0">
        <v>6</v>
      </c>
      <c r="B40" s="203" t="s">
        <v>133</v>
      </c>
      <c r="C40" s="203" t="s">
        <v>268</v>
      </c>
      <c r="D40" s="203" t="s">
        <v>272</v>
      </c>
      <c r="E40" s="206" t="s">
        <v>287</v>
      </c>
      <c r="F40" s="203" t="s">
        <v>123</v>
      </c>
      <c r="G40" s="209">
        <v>20</v>
      </c>
      <c r="H40" s="212" t="str">
        <f>IF(G40&lt;=0,"",IF(G40&lt;=2,"Muy Baja",IF(G40&lt;=24,"Baja",IF(G40&lt;=500,"Media",IF(G40&lt;=5000,"Alta","Muy Alta")))))</f>
        <v>Baja</v>
      </c>
      <c r="I40" s="194">
        <f>IF(H40="","",IF(H40="Muy Baja",0.2,IF(H40="Baja",0.4,IF(H40="Media",0.6,IF(H40="Alta",0.8,IF(H40="Muy Alta",1,))))))</f>
        <v>0.4</v>
      </c>
      <c r="J40" s="215" t="s">
        <v>149</v>
      </c>
      <c r="K40" s="194" t="str">
        <f ca="1">IF(NOT(ISERROR(MATCH(J40,'Tabla Impacto'!$B$221:$B$223,0))),'Tabla Impacto'!$F$223&amp;"Por favor no seleccionar los criterios de impacto(Afectación Económica o presupuestal y Pérdida Reputacional)",J40)</f>
        <v xml:space="preserve">     Entre 50 y 100 SMLMV </v>
      </c>
      <c r="L40" s="212"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4">
        <f ca="1">IF(L40="","",IF(L40="Leve",0.2,IF(L40="Menor",0.4,IF(L40="Moderado",0.6,IF(L40="Mayor",0.8,IF(L40="Catastrófico",1,))))))</f>
        <v>0.6</v>
      </c>
      <c r="N40" s="197"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289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0.24</v>
      </c>
      <c r="Y40" s="129" t="str">
        <f>IFERROR(IF(X40="","",IF(X40&lt;=0.2,"Muy Baja",IF(X40&lt;=0.4,"Baja",IF(X40&lt;=0.6,"Media",IF(X40&lt;=0.8,"Alta","Muy Alta"))))),"")</f>
        <v>Baja</v>
      </c>
      <c r="Z40" s="130">
        <f>+X40</f>
        <v>0.24</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136</v>
      </c>
      <c r="AE40" s="133" t="s">
        <v>262</v>
      </c>
      <c r="AF40" s="134" t="s">
        <v>263</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1"/>
      <c r="B41" s="204"/>
      <c r="C41" s="204"/>
      <c r="D41" s="204"/>
      <c r="E41" s="207"/>
      <c r="F41" s="204"/>
      <c r="G41" s="210"/>
      <c r="H41" s="213"/>
      <c r="I41" s="195"/>
      <c r="J41" s="216"/>
      <c r="K41" s="195">
        <f ca="1">IF(NOT(ISERROR(MATCH(J41,_xlfn.ANCHORARRAY(E52),0))),I54&amp;"Por favor no seleccionar los criterios de impacto",J41)</f>
        <v>0</v>
      </c>
      <c r="L41" s="213"/>
      <c r="M41" s="195"/>
      <c r="N41" s="198"/>
      <c r="O41" s="123">
        <v>2</v>
      </c>
      <c r="P41" s="138"/>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1"/>
      <c r="B42" s="204"/>
      <c r="C42" s="204"/>
      <c r="D42" s="204"/>
      <c r="E42" s="207"/>
      <c r="F42" s="204"/>
      <c r="G42" s="210"/>
      <c r="H42" s="213"/>
      <c r="I42" s="195"/>
      <c r="J42" s="216"/>
      <c r="K42" s="195">
        <f ca="1">IF(NOT(ISERROR(MATCH(J42,_xlfn.ANCHORARRAY(E53),0))),I55&amp;"Por favor no seleccionar los criterios de impacto",J42)</f>
        <v>0</v>
      </c>
      <c r="L42" s="213"/>
      <c r="M42" s="195"/>
      <c r="N42" s="198"/>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1"/>
      <c r="B43" s="204"/>
      <c r="C43" s="204"/>
      <c r="D43" s="204"/>
      <c r="E43" s="207"/>
      <c r="F43" s="204"/>
      <c r="G43" s="210"/>
      <c r="H43" s="213"/>
      <c r="I43" s="195"/>
      <c r="J43" s="216"/>
      <c r="K43" s="195">
        <f ca="1">IF(NOT(ISERROR(MATCH(J43,_xlfn.ANCHORARRAY(E54),0))),I56&amp;"Por favor no seleccionar los criterios de impacto",J43)</f>
        <v>0</v>
      </c>
      <c r="L43" s="213"/>
      <c r="M43" s="195"/>
      <c r="N43" s="198"/>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1"/>
      <c r="B44" s="204"/>
      <c r="C44" s="204"/>
      <c r="D44" s="204"/>
      <c r="E44" s="207"/>
      <c r="F44" s="204"/>
      <c r="G44" s="210"/>
      <c r="H44" s="213"/>
      <c r="I44" s="195"/>
      <c r="J44" s="216"/>
      <c r="K44" s="195">
        <f ca="1">IF(NOT(ISERROR(MATCH(J44,_xlfn.ANCHORARRAY(E55),0))),I57&amp;"Por favor no seleccionar los criterios de impacto",J44)</f>
        <v>0</v>
      </c>
      <c r="L44" s="213"/>
      <c r="M44" s="195"/>
      <c r="N44" s="198"/>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2"/>
      <c r="B45" s="205"/>
      <c r="C45" s="205"/>
      <c r="D45" s="205"/>
      <c r="E45" s="208"/>
      <c r="F45" s="205"/>
      <c r="G45" s="211"/>
      <c r="H45" s="214"/>
      <c r="I45" s="196"/>
      <c r="J45" s="217"/>
      <c r="K45" s="196">
        <f ca="1">IF(NOT(ISERROR(MATCH(J45,_xlfn.ANCHORARRAY(E56),0))),I58&amp;"Por favor no seleccionar los criterios de impacto",J45)</f>
        <v>0</v>
      </c>
      <c r="L45" s="214"/>
      <c r="M45" s="196"/>
      <c r="N45" s="199"/>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0">
        <v>7</v>
      </c>
      <c r="B46" s="203" t="s">
        <v>134</v>
      </c>
      <c r="C46" s="203" t="s">
        <v>260</v>
      </c>
      <c r="D46" s="203" t="s">
        <v>265</v>
      </c>
      <c r="E46" s="206" t="s">
        <v>286</v>
      </c>
      <c r="F46" s="203" t="s">
        <v>123</v>
      </c>
      <c r="G46" s="209">
        <v>20</v>
      </c>
      <c r="H46" s="212" t="str">
        <f>IF(G46&lt;=0,"",IF(G46&lt;=2,"Muy Baja",IF(G46&lt;=24,"Baja",IF(G46&lt;=500,"Media",IF(G46&lt;=5000,"Alta","Muy Alta")))))</f>
        <v>Baja</v>
      </c>
      <c r="I46" s="194">
        <f>IF(H46="","",IF(H46="Muy Baja",0.2,IF(H46="Baja",0.4,IF(H46="Media",0.6,IF(H46="Alta",0.8,IF(H46="Muy Alta",1,))))))</f>
        <v>0.4</v>
      </c>
      <c r="J46" s="215" t="s">
        <v>149</v>
      </c>
      <c r="K46" s="194" t="str">
        <f ca="1">IF(NOT(ISERROR(MATCH(J46,'Tabla Impacto'!$B$221:$B$223,0))),'Tabla Impacto'!$F$223&amp;"Por favor no seleccionar los criterios de impacto(Afectación Económica o presupuestal y Pérdida Reputacional)",J46)</f>
        <v xml:space="preserve">     Entre 50 y 100 SMLMV </v>
      </c>
      <c r="L46" s="212"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4">
        <f ca="1">IF(L46="","",IF(L46="Leve",0.2,IF(L46="Menor",0.4,IF(L46="Moderado",0.6,IF(L46="Mayor",0.8,IF(L46="Catastrófico",1,))))))</f>
        <v>0.6</v>
      </c>
      <c r="N46" s="197"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297</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0.24</v>
      </c>
      <c r="Y46" s="129" t="str">
        <f>IFERROR(IF(X46="","",IF(X46&lt;=0.2,"Muy Baja",IF(X46&lt;=0.4,"Baja",IF(X46&lt;=0.6,"Media",IF(X46&lt;=0.8,"Alta","Muy Alta"))))),"")</f>
        <v>Baja</v>
      </c>
      <c r="Z46" s="130">
        <f>+X46</f>
        <v>0.24</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136</v>
      </c>
      <c r="AE46" s="133" t="s">
        <v>262</v>
      </c>
      <c r="AF46" s="134" t="s">
        <v>263</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1"/>
      <c r="B47" s="204"/>
      <c r="C47" s="204"/>
      <c r="D47" s="204"/>
      <c r="E47" s="207"/>
      <c r="F47" s="204"/>
      <c r="G47" s="210"/>
      <c r="H47" s="213"/>
      <c r="I47" s="195"/>
      <c r="J47" s="216"/>
      <c r="K47" s="195">
        <f ca="1">IF(NOT(ISERROR(MATCH(J47,_xlfn.ANCHORARRAY(E58),0))),I60&amp;"Por favor no seleccionar los criterios de impacto",J47)</f>
        <v>0</v>
      </c>
      <c r="L47" s="213"/>
      <c r="M47" s="195"/>
      <c r="N47" s="198"/>
      <c r="O47" s="123">
        <v>2</v>
      </c>
      <c r="P47" s="124" t="s">
        <v>298</v>
      </c>
      <c r="Q47" s="125" t="str">
        <f>IF(OR(R47="Preventivo",R47="Detectivo"),"Probabilidad",IF(R47="Correctivo","Impacto",""))</f>
        <v>Probabilidad</v>
      </c>
      <c r="R47" s="126" t="s">
        <v>14</v>
      </c>
      <c r="S47" s="126" t="s">
        <v>9</v>
      </c>
      <c r="T47" s="127" t="str">
        <f t="shared" ref="T47:T51" si="43">IF(AND(R47="Preventivo",S47="Automático"),"50%",IF(AND(R47="Preventivo",S47="Manual"),"40%",IF(AND(R47="Detectivo",S47="Automático"),"40%",IF(AND(R47="Detectivo",S47="Manual"),"30%",IF(AND(R47="Correctivo",S47="Automático"),"35%",IF(AND(R47="Correctivo",S47="Manual"),"25%",""))))))</f>
        <v>40%</v>
      </c>
      <c r="U47" s="126" t="s">
        <v>19</v>
      </c>
      <c r="V47" s="126" t="s">
        <v>22</v>
      </c>
      <c r="W47" s="126" t="s">
        <v>119</v>
      </c>
      <c r="X47" s="128">
        <f>IFERROR(IF(AND(Q46="Probabilidad",Q47="Probabilidad"),(Z46-(+Z46*T47)),IF(Q47="Probabilidad",(I46-(+I46*T47)),IF(Q47="Impacto",Z46,""))),"")</f>
        <v>0.14399999999999999</v>
      </c>
      <c r="Y47" s="129" t="str">
        <f t="shared" si="1"/>
        <v>Muy Baja</v>
      </c>
      <c r="Z47" s="130">
        <f t="shared" ref="Z47:Z51" si="44">+X47</f>
        <v>0.14399999999999999</v>
      </c>
      <c r="AA47" s="129" t="str">
        <f ca="1">IFERROR(IF(AB47="","",IF(AB47&lt;=0.2,"Leve",IF(AB47&lt;=0.4,"Menor",IF(AB47&lt;=0.6,"Moderado",IF(AB47&lt;=0.8,"Mayor","Catastrófico"))))),"")</f>
        <v>Moderado</v>
      </c>
      <c r="AB47" s="130">
        <f ca="1">IFERROR(IF(AND(Q46="Impacto",Q47="Impacto"),(AB40-(+AB40*T47)),IF(Q47="Impacto",($M$46-(+$M$46*T47)),IF(Q47="Probabilidad",AB40,""))),"")</f>
        <v>0.6</v>
      </c>
      <c r="AC47" s="131" t="str">
        <f ca="1">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Moderado</v>
      </c>
      <c r="AD47" s="132" t="s">
        <v>136</v>
      </c>
      <c r="AE47" s="133" t="s">
        <v>262</v>
      </c>
      <c r="AF47" s="134" t="s">
        <v>263</v>
      </c>
      <c r="AG47" s="135">
        <v>44927</v>
      </c>
      <c r="AH47" s="135">
        <v>45291</v>
      </c>
      <c r="AI47" s="133"/>
      <c r="AJ47" s="134" t="s">
        <v>41</v>
      </c>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1"/>
      <c r="B48" s="204"/>
      <c r="C48" s="204"/>
      <c r="D48" s="204"/>
      <c r="E48" s="207"/>
      <c r="F48" s="204"/>
      <c r="G48" s="210"/>
      <c r="H48" s="213"/>
      <c r="I48" s="195"/>
      <c r="J48" s="216"/>
      <c r="K48" s="195">
        <f ca="1">IF(NOT(ISERROR(MATCH(J48,_xlfn.ANCHORARRAY(E59),0))),I61&amp;"Por favor no seleccionar los criterios de impacto",J48)</f>
        <v>0</v>
      </c>
      <c r="L48" s="213"/>
      <c r="M48" s="195"/>
      <c r="N48" s="198"/>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ref="AC48" si="45">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1"/>
      <c r="B49" s="204"/>
      <c r="C49" s="204"/>
      <c r="D49" s="204"/>
      <c r="E49" s="207"/>
      <c r="F49" s="204"/>
      <c r="G49" s="210"/>
      <c r="H49" s="213"/>
      <c r="I49" s="195"/>
      <c r="J49" s="216"/>
      <c r="K49" s="195">
        <f ca="1">IF(NOT(ISERROR(MATCH(J49,_xlfn.ANCHORARRAY(E60),0))),I62&amp;"Por favor no seleccionar los criterios de impacto",J49)</f>
        <v>0</v>
      </c>
      <c r="L49" s="213"/>
      <c r="M49" s="195"/>
      <c r="N49" s="198"/>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1"/>
      <c r="B50" s="204"/>
      <c r="C50" s="204"/>
      <c r="D50" s="204"/>
      <c r="E50" s="207"/>
      <c r="F50" s="204"/>
      <c r="G50" s="210"/>
      <c r="H50" s="213"/>
      <c r="I50" s="195"/>
      <c r="J50" s="216"/>
      <c r="K50" s="195">
        <f ca="1">IF(NOT(ISERROR(MATCH(J50,_xlfn.ANCHORARRAY(E61),0))),I63&amp;"Por favor no seleccionar los criterios de impacto",J50)</f>
        <v>0</v>
      </c>
      <c r="L50" s="213"/>
      <c r="M50" s="195"/>
      <c r="N50" s="198"/>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2"/>
      <c r="B51" s="205"/>
      <c r="C51" s="205"/>
      <c r="D51" s="205"/>
      <c r="E51" s="208"/>
      <c r="F51" s="205"/>
      <c r="G51" s="211"/>
      <c r="H51" s="214"/>
      <c r="I51" s="196"/>
      <c r="J51" s="217"/>
      <c r="K51" s="196">
        <f ca="1">IF(NOT(ISERROR(MATCH(J51,_xlfn.ANCHORARRAY(E62),0))),I64&amp;"Por favor no seleccionar los criterios de impacto",J51)</f>
        <v>0</v>
      </c>
      <c r="L51" s="214"/>
      <c r="M51" s="196"/>
      <c r="N51" s="199"/>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0">
        <v>8</v>
      </c>
      <c r="B52" s="203" t="s">
        <v>134</v>
      </c>
      <c r="C52" s="203" t="s">
        <v>261</v>
      </c>
      <c r="D52" s="203" t="s">
        <v>266</v>
      </c>
      <c r="E52" s="206" t="s">
        <v>275</v>
      </c>
      <c r="F52" s="203" t="s">
        <v>123</v>
      </c>
      <c r="G52" s="209">
        <v>60</v>
      </c>
      <c r="H52" s="212" t="str">
        <f>IF(G52&lt;=0,"",IF(G52&lt;=2,"Muy Baja",IF(G52&lt;=24,"Baja",IF(G52&lt;=500,"Media",IF(G52&lt;=5000,"Alta","Muy Alta")))))</f>
        <v>Media</v>
      </c>
      <c r="I52" s="194">
        <f>IF(H52="","",IF(H52="Muy Baja",0.2,IF(H52="Baja",0.4,IF(H52="Media",0.6,IF(H52="Alta",0.8,IF(H52="Muy Alta",1,))))))</f>
        <v>0.6</v>
      </c>
      <c r="J52" s="215" t="s">
        <v>150</v>
      </c>
      <c r="K52" s="194" t="str">
        <f ca="1">IF(NOT(ISERROR(MATCH(J52,'Tabla Impacto'!$B$221:$B$223,0))),'Tabla Impacto'!$F$223&amp;"Por favor no seleccionar los criterios de impacto(Afectación Económica o presupuestal y Pérdida Reputacional)",J52)</f>
        <v xml:space="preserve">     Entre 10 y 50 SMLMV </v>
      </c>
      <c r="L52" s="212" t="str">
        <f ca="1">IF(OR(K52='Tabla Impacto'!$C$11,K52='Tabla Impacto'!$D$11),"Leve",IF(OR(K52='Tabla Impacto'!$C$12,K52='Tabla Impacto'!$D$12),"Menor",IF(OR(K52='Tabla Impacto'!$C$13,K52='Tabla Impacto'!$D$13),"Moderado",IF(OR(K52='Tabla Impacto'!$C$14,K52='Tabla Impacto'!$D$14),"Mayor",IF(OR(K52='Tabla Impacto'!$C$15,K52='Tabla Impacto'!$D$15),"Catastrófico","")))))</f>
        <v>Menor</v>
      </c>
      <c r="M52" s="194">
        <f ca="1">IF(L52="","",IF(L52="Leve",0.2,IF(L52="Menor",0.4,IF(L52="Moderado",0.6,IF(L52="Mayor",0.8,IF(L52="Catastrófico",1,))))))</f>
        <v>0.4</v>
      </c>
      <c r="N52" s="197"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299</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20</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136</v>
      </c>
      <c r="AE52" s="133" t="s">
        <v>262</v>
      </c>
      <c r="AF52" s="134" t="s">
        <v>263</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1"/>
      <c r="B53" s="204"/>
      <c r="C53" s="204"/>
      <c r="D53" s="204"/>
      <c r="E53" s="207"/>
      <c r="F53" s="204"/>
      <c r="G53" s="210"/>
      <c r="H53" s="213"/>
      <c r="I53" s="195"/>
      <c r="J53" s="216"/>
      <c r="K53" s="195">
        <f ca="1">IF(NOT(ISERROR(MATCH(J53,_xlfn.ANCHORARRAY(E64),0))),I66&amp;"Por favor no seleccionar los criterios de impacto",J53)</f>
        <v>0</v>
      </c>
      <c r="L53" s="213"/>
      <c r="M53" s="195"/>
      <c r="N53" s="198"/>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1"/>
      <c r="B54" s="204"/>
      <c r="C54" s="204"/>
      <c r="D54" s="204"/>
      <c r="E54" s="207"/>
      <c r="F54" s="204"/>
      <c r="G54" s="210"/>
      <c r="H54" s="213"/>
      <c r="I54" s="195"/>
      <c r="J54" s="216"/>
      <c r="K54" s="195">
        <f ca="1">IF(NOT(ISERROR(MATCH(J54,_xlfn.ANCHORARRAY(E65),0))),I67&amp;"Por favor no seleccionar los criterios de impacto",J54)</f>
        <v>0</v>
      </c>
      <c r="L54" s="213"/>
      <c r="M54" s="195"/>
      <c r="N54" s="198"/>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1"/>
      <c r="B55" s="204"/>
      <c r="C55" s="204"/>
      <c r="D55" s="204"/>
      <c r="E55" s="207"/>
      <c r="F55" s="204"/>
      <c r="G55" s="210"/>
      <c r="H55" s="213"/>
      <c r="I55" s="195"/>
      <c r="J55" s="216"/>
      <c r="K55" s="195">
        <f ca="1">IF(NOT(ISERROR(MATCH(J55,_xlfn.ANCHORARRAY(E66),0))),I68&amp;"Por favor no seleccionar los criterios de impacto",J55)</f>
        <v>0</v>
      </c>
      <c r="L55" s="213"/>
      <c r="M55" s="195"/>
      <c r="N55" s="198"/>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1"/>
      <c r="B56" s="204"/>
      <c r="C56" s="204"/>
      <c r="D56" s="204"/>
      <c r="E56" s="207"/>
      <c r="F56" s="204"/>
      <c r="G56" s="210"/>
      <c r="H56" s="213"/>
      <c r="I56" s="195"/>
      <c r="J56" s="216"/>
      <c r="K56" s="195">
        <f ca="1">IF(NOT(ISERROR(MATCH(J56,_xlfn.ANCHORARRAY(E67),0))),I69&amp;"Por favor no seleccionar los criterios de impacto",J56)</f>
        <v>0</v>
      </c>
      <c r="L56" s="213"/>
      <c r="M56" s="195"/>
      <c r="N56" s="198"/>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2"/>
      <c r="B57" s="205"/>
      <c r="C57" s="205"/>
      <c r="D57" s="205"/>
      <c r="E57" s="208"/>
      <c r="F57" s="205"/>
      <c r="G57" s="211"/>
      <c r="H57" s="214"/>
      <c r="I57" s="196"/>
      <c r="J57" s="217"/>
      <c r="K57" s="196">
        <f ca="1">IF(NOT(ISERROR(MATCH(J57,_xlfn.ANCHORARRAY(E68),0))),I70&amp;"Por favor no seleccionar los criterios de impacto",J57)</f>
        <v>0</v>
      </c>
      <c r="L57" s="214"/>
      <c r="M57" s="196"/>
      <c r="N57" s="199"/>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0">
        <v>9</v>
      </c>
      <c r="B58" s="203" t="s">
        <v>133</v>
      </c>
      <c r="C58" s="203" t="s">
        <v>267</v>
      </c>
      <c r="D58" s="203" t="s">
        <v>273</v>
      </c>
      <c r="E58" s="206" t="s">
        <v>276</v>
      </c>
      <c r="F58" s="203" t="s">
        <v>123</v>
      </c>
      <c r="G58" s="209">
        <v>60</v>
      </c>
      <c r="H58" s="212" t="str">
        <f>IF(G58&lt;=0,"",IF(G58&lt;=2,"Muy Baja",IF(G58&lt;=24,"Baja",IF(G58&lt;=500,"Media",IF(G58&lt;=5000,"Alta","Muy Alta")))))</f>
        <v>Media</v>
      </c>
      <c r="I58" s="194">
        <f>IF(H58="","",IF(H58="Muy Baja",0.2,IF(H58="Baja",0.4,IF(H58="Media",0.6,IF(H58="Alta",0.8,IF(H58="Muy Alta",1,))))))</f>
        <v>0.6</v>
      </c>
      <c r="J58" s="215" t="s">
        <v>150</v>
      </c>
      <c r="K58" s="194" t="str">
        <f ca="1">IF(NOT(ISERROR(MATCH(J58,'Tabla Impacto'!$B$221:$B$223,0))),'Tabla Impacto'!$F$223&amp;"Por favor no seleccionar los criterios de impacto(Afectación Económica o presupuestal y Pérdida Reputacional)",J58)</f>
        <v xml:space="preserve">     Entre 10 y 50 SMLMV </v>
      </c>
      <c r="L58" s="212" t="str">
        <f ca="1">IF(OR(K58='Tabla Impacto'!$C$11,K58='Tabla Impacto'!$D$11),"Leve",IF(OR(K58='Tabla Impacto'!$C$12,K58='Tabla Impacto'!$D$12),"Menor",IF(OR(K58='Tabla Impacto'!$C$13,K58='Tabla Impacto'!$D$13),"Moderado",IF(OR(K58='Tabla Impacto'!$C$14,K58='Tabla Impacto'!$D$14),"Mayor",IF(OR(K58='Tabla Impacto'!$C$15,K58='Tabla Impacto'!$D$15),"Catastrófico","")))))</f>
        <v>Menor</v>
      </c>
      <c r="M58" s="194">
        <f ca="1">IF(L58="","",IF(L58="Leve",0.2,IF(L58="Menor",0.4,IF(L58="Moderado",0.6,IF(L58="Mayor",0.8,IF(L58="Catastrófico",1,))))))</f>
        <v>0.4</v>
      </c>
      <c r="N58" s="197"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Moderado</v>
      </c>
      <c r="O58" s="123">
        <v>1</v>
      </c>
      <c r="P58" s="124" t="s">
        <v>300</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0.36</v>
      </c>
      <c r="Y58" s="129" t="str">
        <f>IFERROR(IF(X58="","",IF(X58&lt;=0.2,"Muy Baja",IF(X58&lt;=0.4,"Baja",IF(X58&lt;=0.6,"Media",IF(X58&lt;=0.8,"Alta","Muy Alta"))))),"")</f>
        <v>Baja</v>
      </c>
      <c r="Z58" s="130">
        <f>+X58</f>
        <v>0.36</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Moderado</v>
      </c>
      <c r="AD58" s="132" t="s">
        <v>136</v>
      </c>
      <c r="AE58" s="133" t="s">
        <v>262</v>
      </c>
      <c r="AF58" s="134" t="s">
        <v>263</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1"/>
      <c r="B59" s="204"/>
      <c r="C59" s="204"/>
      <c r="D59" s="204"/>
      <c r="E59" s="207"/>
      <c r="F59" s="204"/>
      <c r="G59" s="210"/>
      <c r="H59" s="213"/>
      <c r="I59" s="195"/>
      <c r="J59" s="216"/>
      <c r="K59" s="195">
        <f ca="1">IF(NOT(ISERROR(MATCH(J59,_xlfn.ANCHORARRAY(E70),0))),I72&amp;"Por favor no seleccionar los criterios de impacto",J59)</f>
        <v>0</v>
      </c>
      <c r="L59" s="213"/>
      <c r="M59" s="195"/>
      <c r="N59" s="198"/>
      <c r="O59" s="123">
        <v>2</v>
      </c>
      <c r="P59" s="138"/>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1"/>
      <c r="B60" s="204"/>
      <c r="C60" s="204"/>
      <c r="D60" s="204"/>
      <c r="E60" s="207"/>
      <c r="F60" s="204"/>
      <c r="G60" s="210"/>
      <c r="H60" s="213"/>
      <c r="I60" s="195"/>
      <c r="J60" s="216"/>
      <c r="K60" s="195">
        <f ca="1">IF(NOT(ISERROR(MATCH(J60,_xlfn.ANCHORARRAY(E71),0))),I73&amp;"Por favor no seleccionar los criterios de impacto",J60)</f>
        <v>0</v>
      </c>
      <c r="L60" s="213"/>
      <c r="M60" s="195"/>
      <c r="N60" s="198"/>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1"/>
      <c r="B61" s="204"/>
      <c r="C61" s="204"/>
      <c r="D61" s="204"/>
      <c r="E61" s="207"/>
      <c r="F61" s="204"/>
      <c r="G61" s="210"/>
      <c r="H61" s="213"/>
      <c r="I61" s="195"/>
      <c r="J61" s="216"/>
      <c r="K61" s="195">
        <f ca="1">IF(NOT(ISERROR(MATCH(J61,_xlfn.ANCHORARRAY(E72),0))),I74&amp;"Por favor no seleccionar los criterios de impacto",J61)</f>
        <v>0</v>
      </c>
      <c r="L61" s="213"/>
      <c r="M61" s="195"/>
      <c r="N61" s="198"/>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1"/>
      <c r="B62" s="204"/>
      <c r="C62" s="204"/>
      <c r="D62" s="204"/>
      <c r="E62" s="207"/>
      <c r="F62" s="204"/>
      <c r="G62" s="210"/>
      <c r="H62" s="213"/>
      <c r="I62" s="195"/>
      <c r="J62" s="216"/>
      <c r="K62" s="195">
        <f ca="1">IF(NOT(ISERROR(MATCH(J62,_xlfn.ANCHORARRAY(E73),0))),I75&amp;"Por favor no seleccionar los criterios de impacto",J62)</f>
        <v>0</v>
      </c>
      <c r="L62" s="213"/>
      <c r="M62" s="195"/>
      <c r="N62" s="198"/>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2"/>
      <c r="B63" s="205"/>
      <c r="C63" s="205"/>
      <c r="D63" s="205"/>
      <c r="E63" s="208"/>
      <c r="F63" s="205"/>
      <c r="G63" s="211"/>
      <c r="H63" s="214"/>
      <c r="I63" s="196"/>
      <c r="J63" s="217"/>
      <c r="K63" s="196">
        <f ca="1">IF(NOT(ISERROR(MATCH(J63,_xlfn.ANCHORARRAY(E74),0))),I76&amp;"Por favor no seleccionar los criterios de impacto",J63)</f>
        <v>0</v>
      </c>
      <c r="L63" s="214"/>
      <c r="M63" s="196"/>
      <c r="N63" s="199"/>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0">
        <v>10</v>
      </c>
      <c r="B64" s="203" t="s">
        <v>134</v>
      </c>
      <c r="C64" s="203" t="s">
        <v>277</v>
      </c>
      <c r="D64" s="203" t="s">
        <v>278</v>
      </c>
      <c r="E64" s="206" t="s">
        <v>279</v>
      </c>
      <c r="F64" s="203" t="s">
        <v>123</v>
      </c>
      <c r="G64" s="209">
        <v>20</v>
      </c>
      <c r="H64" s="212" t="str">
        <f>IF(G64&lt;=0,"",IF(G64&lt;=2,"Muy Baja",IF(G64&lt;=24,"Baja",IF(G64&lt;=500,"Media",IF(G64&lt;=5000,"Alta","Muy Alta")))))</f>
        <v>Baja</v>
      </c>
      <c r="I64" s="194">
        <f>IF(H64="","",IF(H64="Muy Baja",0.2,IF(H64="Baja",0.4,IF(H64="Media",0.6,IF(H64="Alta",0.8,IF(H64="Muy Alta",1,))))))</f>
        <v>0.4</v>
      </c>
      <c r="J64" s="215" t="s">
        <v>149</v>
      </c>
      <c r="K64" s="194" t="str">
        <f ca="1">IF(NOT(ISERROR(MATCH(J64,'Tabla Impacto'!$B$221:$B$223,0))),'Tabla Impacto'!$F$223&amp;"Por favor no seleccionar los criterios de impacto(Afectación Económica o presupuestal y Pérdida Reputacional)",J64)</f>
        <v xml:space="preserve">     Entre 50 y 100 SMLMV </v>
      </c>
      <c r="L64" s="212" t="str">
        <f ca="1">IF(OR(K64='Tabla Impacto'!$C$11,K64='Tabla Impacto'!$D$11),"Leve",IF(OR(K64='Tabla Impacto'!$C$12,K64='Tabla Impacto'!$D$12),"Menor",IF(OR(K64='Tabla Impacto'!$C$13,K64='Tabla Impacto'!$D$13),"Moderado",IF(OR(K64='Tabla Impacto'!$C$14,K64='Tabla Impacto'!$D$14),"Mayor",IF(OR(K64='Tabla Impacto'!$C$15,K64='Tabla Impacto'!$D$15),"Catastrófico","")))))</f>
        <v>Moderado</v>
      </c>
      <c r="M64" s="194">
        <f ca="1">IF(L64="","",IF(L64="Leve",0.2,IF(L64="Menor",0.4,IF(L64="Moderado",0.6,IF(L64="Mayor",0.8,IF(L64="Catastrófico",1,))))))</f>
        <v>0.6</v>
      </c>
      <c r="N64" s="197"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Moderado</v>
      </c>
      <c r="O64" s="123">
        <v>1</v>
      </c>
      <c r="P64" s="124" t="s">
        <v>301</v>
      </c>
      <c r="Q64" s="125" t="str">
        <f>IF(OR(R64="Preventivo",R64="Detectivo"),"Probabilidad",IF(R64="Correctivo","Impacto",""))</f>
        <v>Impacto</v>
      </c>
      <c r="R64" s="126" t="s">
        <v>16</v>
      </c>
      <c r="S64" s="126" t="s">
        <v>9</v>
      </c>
      <c r="T64" s="127" t="str">
        <f>IF(AND(R64="Preventivo",S64="Automático"),"50%",IF(AND(R64="Preventivo",S64="Manual"),"40%",IF(AND(R64="Detectivo",S64="Automático"),"40%",IF(AND(R64="Detectivo",S64="Manual"),"30%",IF(AND(R64="Correctivo",S64="Automático"),"35%",IF(AND(R64="Correctivo",S64="Manual"),"25%",""))))))</f>
        <v>25%</v>
      </c>
      <c r="U64" s="126" t="s">
        <v>19</v>
      </c>
      <c r="V64" s="126" t="s">
        <v>22</v>
      </c>
      <c r="W64" s="126" t="s">
        <v>119</v>
      </c>
      <c r="X64" s="128">
        <f>IFERROR(IF(Q64="Probabilidad",(I64-(+I64*T64)),IF(Q64="Impacto",I64,"")),"")</f>
        <v>0.4</v>
      </c>
      <c r="Y64" s="129" t="str">
        <f>IFERROR(IF(X64="","",IF(X64&lt;=0.2,"Muy Baja",IF(X64&lt;=0.4,"Baja",IF(X64&lt;=0.6,"Media",IF(X64&lt;=0.8,"Alta","Muy Alta"))))),"")</f>
        <v>Baja</v>
      </c>
      <c r="Z64" s="130">
        <f>+X64</f>
        <v>0.4</v>
      </c>
      <c r="AA64" s="129" t="str">
        <f ca="1">IFERROR(IF(AB64="","",IF(AB64&lt;=0.2,"Leve",IF(AB64&lt;=0.4,"Menor",IF(AB64&lt;=0.6,"Moderado",IF(AB64&lt;=0.8,"Mayor","Catastrófico"))))),"")</f>
        <v>Moderado</v>
      </c>
      <c r="AB64" s="130">
        <f ca="1">IFERROR(IF(Q64="Impacto",(M64-(+M64*T64)),IF(Q64="Probabilidad",M64,"")),"")</f>
        <v>0.44999999999999996</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Moderado</v>
      </c>
      <c r="AD64" s="132" t="s">
        <v>31</v>
      </c>
      <c r="AE64" s="133" t="s">
        <v>262</v>
      </c>
      <c r="AF64" s="134" t="s">
        <v>263</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1"/>
      <c r="B65" s="204"/>
      <c r="C65" s="204"/>
      <c r="D65" s="204"/>
      <c r="E65" s="207"/>
      <c r="F65" s="204"/>
      <c r="G65" s="210"/>
      <c r="H65" s="213"/>
      <c r="I65" s="195"/>
      <c r="J65" s="216"/>
      <c r="K65" s="195">
        <f ca="1">IF(NOT(ISERROR(MATCH(J65,_xlfn.ANCHORARRAY(E76),0))),I78&amp;"Por favor no seleccionar los criterios de impacto",J65)</f>
        <v>0</v>
      </c>
      <c r="L65" s="213"/>
      <c r="M65" s="195"/>
      <c r="N65" s="198"/>
      <c r="O65" s="123">
        <v>2</v>
      </c>
      <c r="P65" s="124" t="s">
        <v>302</v>
      </c>
      <c r="Q65" s="125" t="str">
        <f>IF(OR(R65="Preventivo",R65="Detectivo"),"Probabilidad",IF(R65="Correctivo","Impacto",""))</f>
        <v>Probabilidad</v>
      </c>
      <c r="R65" s="126" t="s">
        <v>15</v>
      </c>
      <c r="S65" s="126" t="s">
        <v>9</v>
      </c>
      <c r="T65" s="127" t="str">
        <f t="shared" ref="T65:T69" si="64">IF(AND(R65="Preventivo",S65="Automático"),"50%",IF(AND(R65="Preventivo",S65="Manual"),"40%",IF(AND(R65="Detectivo",S65="Automático"),"40%",IF(AND(R65="Detectivo",S65="Manual"),"30%",IF(AND(R65="Correctivo",S65="Automático"),"35%",IF(AND(R65="Correctivo",S65="Manual"),"25%",""))))))</f>
        <v>30%</v>
      </c>
      <c r="U65" s="126" t="s">
        <v>19</v>
      </c>
      <c r="V65" s="126" t="s">
        <v>22</v>
      </c>
      <c r="W65" s="126" t="s">
        <v>119</v>
      </c>
      <c r="X65" s="128">
        <f>IFERROR(IF(AND(Q64="Probabilidad",Q65="Probabilidad"),(Z64-(+Z64*T65)),IF(Q65="Probabilidad",(I64-(+I64*T65)),IF(Q65="Impacto",Z64,""))),"")</f>
        <v>0.28000000000000003</v>
      </c>
      <c r="Y65" s="129" t="str">
        <f t="shared" si="1"/>
        <v>Baja</v>
      </c>
      <c r="Z65" s="130">
        <f t="shared" ref="Z65:Z69" si="65">+X65</f>
        <v>0.28000000000000003</v>
      </c>
      <c r="AA65" s="129" t="str">
        <f ca="1">IFERROR(IF(AB65="","",IF(AB65&lt;=0.2,"Leve",IF(AB65&lt;=0.4,"Menor",IF(AB65&lt;=0.6,"Moderado",IF(AB65&lt;=0.8,"Mayor","Catastrófico"))))),"")</f>
        <v>Menor</v>
      </c>
      <c r="AB65" s="130">
        <f ca="1">IFERROR(IF(AND(Q64="Impacto",Q65="Impacto"),(AB58-(+AB58*T65)),IF(Q65="Impacto",($M$64-(+$M$64*T65)),IF(Q65="Probabilidad",AB58,""))),"")</f>
        <v>0.4</v>
      </c>
      <c r="AC65" s="131" t="str">
        <f ca="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Moderado</v>
      </c>
      <c r="AD65" s="132" t="s">
        <v>31</v>
      </c>
      <c r="AE65" s="133" t="s">
        <v>262</v>
      </c>
      <c r="AF65" s="134" t="s">
        <v>263</v>
      </c>
      <c r="AG65" s="135">
        <v>44927</v>
      </c>
      <c r="AH65" s="135">
        <v>45291</v>
      </c>
      <c r="AI65" s="133"/>
      <c r="AJ65" s="134" t="s">
        <v>41</v>
      </c>
    </row>
    <row r="66" spans="1:36" ht="151.5" customHeight="1" x14ac:dyDescent="0.3">
      <c r="A66" s="201"/>
      <c r="B66" s="204"/>
      <c r="C66" s="204"/>
      <c r="D66" s="204"/>
      <c r="E66" s="207"/>
      <c r="F66" s="204"/>
      <c r="G66" s="210"/>
      <c r="H66" s="213"/>
      <c r="I66" s="195"/>
      <c r="J66" s="216"/>
      <c r="K66" s="195">
        <f ca="1">IF(NOT(ISERROR(MATCH(J66,_xlfn.ANCHORARRAY(E77),0))),I79&amp;"Por favor no seleccionar los criterios de impacto",J66)</f>
        <v>0</v>
      </c>
      <c r="L66" s="213"/>
      <c r="M66" s="195"/>
      <c r="N66" s="198"/>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ref="AC66" si="66">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32"/>
      <c r="AE66" s="133"/>
      <c r="AF66" s="134"/>
      <c r="AG66" s="135"/>
      <c r="AH66" s="135"/>
      <c r="AI66" s="133"/>
      <c r="AJ66" s="134"/>
    </row>
    <row r="67" spans="1:36" ht="151.5" customHeight="1" x14ac:dyDescent="0.3">
      <c r="A67" s="201"/>
      <c r="B67" s="204"/>
      <c r="C67" s="204"/>
      <c r="D67" s="204"/>
      <c r="E67" s="207"/>
      <c r="F67" s="204"/>
      <c r="G67" s="210"/>
      <c r="H67" s="213"/>
      <c r="I67" s="195"/>
      <c r="J67" s="216"/>
      <c r="K67" s="195">
        <f ca="1">IF(NOT(ISERROR(MATCH(J67,_xlfn.ANCHORARRAY(E78),0))),I80&amp;"Por favor no seleccionar los criterios de impacto",J67)</f>
        <v>0</v>
      </c>
      <c r="L67" s="213"/>
      <c r="M67" s="195"/>
      <c r="N67" s="198"/>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1"/>
      <c r="B68" s="204"/>
      <c r="C68" s="204"/>
      <c r="D68" s="204"/>
      <c r="E68" s="207"/>
      <c r="F68" s="204"/>
      <c r="G68" s="210"/>
      <c r="H68" s="213"/>
      <c r="I68" s="195"/>
      <c r="J68" s="216"/>
      <c r="K68" s="195">
        <f ca="1">IF(NOT(ISERROR(MATCH(J68,_xlfn.ANCHORARRAY(E79),0))),I81&amp;"Por favor no seleccionar los criterios de impacto",J68)</f>
        <v>0</v>
      </c>
      <c r="L68" s="213"/>
      <c r="M68" s="195"/>
      <c r="N68" s="198"/>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2"/>
      <c r="B69" s="205"/>
      <c r="C69" s="205"/>
      <c r="D69" s="205"/>
      <c r="E69" s="208"/>
      <c r="F69" s="205"/>
      <c r="G69" s="211"/>
      <c r="H69" s="214"/>
      <c r="I69" s="196"/>
      <c r="J69" s="217"/>
      <c r="K69" s="196">
        <f ca="1">IF(NOT(ISERROR(MATCH(J69,_xlfn.ANCHORARRAY(E80),0))),I82&amp;"Por favor no seleccionar los criterios de impacto",J69)</f>
        <v>0</v>
      </c>
      <c r="L69" s="214"/>
      <c r="M69" s="196"/>
      <c r="N69" s="199"/>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1" t="s">
        <v>131</v>
      </c>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3"/>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2" t="s">
        <v>161</v>
      </c>
      <c r="C2" s="322"/>
      <c r="D2" s="322"/>
      <c r="E2" s="322"/>
      <c r="F2" s="322"/>
      <c r="G2" s="322"/>
      <c r="H2" s="322"/>
      <c r="I2" s="322"/>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2"/>
      <c r="C3" s="322"/>
      <c r="D3" s="322"/>
      <c r="E3" s="322"/>
      <c r="F3" s="322"/>
      <c r="G3" s="322"/>
      <c r="H3" s="322"/>
      <c r="I3" s="322"/>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2"/>
      <c r="C4" s="322"/>
      <c r="D4" s="322"/>
      <c r="E4" s="322"/>
      <c r="F4" s="322"/>
      <c r="G4" s="322"/>
      <c r="H4" s="322"/>
      <c r="I4" s="322"/>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7" t="s">
        <v>4</v>
      </c>
      <c r="C6" s="237"/>
      <c r="D6" s="238"/>
      <c r="E6" s="275" t="s">
        <v>116</v>
      </c>
      <c r="F6" s="276"/>
      <c r="G6" s="276"/>
      <c r="H6" s="276"/>
      <c r="I6" s="277"/>
      <c r="J6" s="286" t="str">
        <f ca="1">IF(AND('Mapa final'!$H$10="Muy Alta",'Mapa final'!$L$10="Leve"),CONCATENATE("R",'Mapa final'!$A$10),"")</f>
        <v/>
      </c>
      <c r="K6" s="287"/>
      <c r="L6" s="287" t="str">
        <f ca="1">IF(AND('Mapa final'!$H$16="Muy Alta",'Mapa final'!$L$16="Leve"),CONCATENATE("R",'Mapa final'!$A$16),"")</f>
        <v/>
      </c>
      <c r="M6" s="287"/>
      <c r="N6" s="287" t="str">
        <f ca="1">IF(AND('Mapa final'!$H$22="Muy Alta",'Mapa final'!$L$22="Leve"),CONCATENATE("R",'Mapa final'!$A$22),"")</f>
        <v/>
      </c>
      <c r="O6" s="289"/>
      <c r="P6" s="286" t="str">
        <f ca="1">IF(AND('Mapa final'!$H$10="Muy Alta",'Mapa final'!$L$10="Menor"),CONCATENATE("R",'Mapa final'!$A$10),"")</f>
        <v/>
      </c>
      <c r="Q6" s="287"/>
      <c r="R6" s="287" t="str">
        <f ca="1">IF(AND('Mapa final'!$H$16="Muy Alta",'Mapa final'!$L$16="Menor"),CONCATENATE("R",'Mapa final'!$A$16),"")</f>
        <v/>
      </c>
      <c r="S6" s="287"/>
      <c r="T6" s="287" t="str">
        <f ca="1">IF(AND('Mapa final'!$H$22="Muy Alta",'Mapa final'!$L$22="Menor"),CONCATENATE("R",'Mapa final'!$A$22),"")</f>
        <v/>
      </c>
      <c r="U6" s="289"/>
      <c r="V6" s="286" t="str">
        <f ca="1">IF(AND('Mapa final'!$H$10="Muy Alta",'Mapa final'!$L$10="Moderado"),CONCATENATE("R",'Mapa final'!$A$10),"")</f>
        <v/>
      </c>
      <c r="W6" s="287"/>
      <c r="X6" s="287" t="str">
        <f ca="1">IF(AND('Mapa final'!$H$16="Muy Alta",'Mapa final'!$L$16="Moderado"),CONCATENATE("R",'Mapa final'!$A$16),"")</f>
        <v/>
      </c>
      <c r="Y6" s="287"/>
      <c r="Z6" s="287" t="str">
        <f ca="1">IF(AND('Mapa final'!$H$22="Muy Alta",'Mapa final'!$L$22="Moderado"),CONCATENATE("R",'Mapa final'!$A$22),"")</f>
        <v/>
      </c>
      <c r="AA6" s="289"/>
      <c r="AB6" s="286" t="str">
        <f ca="1">IF(AND('Mapa final'!$H$10="Muy Alta",'Mapa final'!$L$10="Mayor"),CONCATENATE("R",'Mapa final'!$A$10),"")</f>
        <v/>
      </c>
      <c r="AC6" s="287"/>
      <c r="AD6" s="287" t="str">
        <f ca="1">IF(AND('Mapa final'!$H$16="Muy Alta",'Mapa final'!$L$16="Mayor"),CONCATENATE("R",'Mapa final'!$A$16),"")</f>
        <v/>
      </c>
      <c r="AE6" s="287"/>
      <c r="AF6" s="287" t="str">
        <f ca="1">IF(AND('Mapa final'!$H$22="Muy Alta",'Mapa final'!$L$22="Mayor"),CONCATENATE("R",'Mapa final'!$A$22),"")</f>
        <v/>
      </c>
      <c r="AG6" s="289"/>
      <c r="AH6" s="301" t="str">
        <f ca="1">IF(AND('Mapa final'!$H$10="Muy Alta",'Mapa final'!$L$10="Catastrófico"),CONCATENATE("R",'Mapa final'!$A$10),"")</f>
        <v/>
      </c>
      <c r="AI6" s="302"/>
      <c r="AJ6" s="302" t="str">
        <f ca="1">IF(AND('Mapa final'!$H$16="Muy Alta",'Mapa final'!$L$16="Catastrófico"),CONCATENATE("R",'Mapa final'!$A$16),"")</f>
        <v/>
      </c>
      <c r="AK6" s="302"/>
      <c r="AL6" s="302" t="str">
        <f ca="1">IF(AND('Mapa final'!$H$22="Muy Alta",'Mapa final'!$L$22="Catastrófico"),CONCATENATE("R",'Mapa final'!$A$22),"")</f>
        <v/>
      </c>
      <c r="AM6" s="303"/>
      <c r="AO6" s="239" t="s">
        <v>79</v>
      </c>
      <c r="AP6" s="240"/>
      <c r="AQ6" s="240"/>
      <c r="AR6" s="240"/>
      <c r="AS6" s="240"/>
      <c r="AT6" s="2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7"/>
      <c r="C7" s="237"/>
      <c r="D7" s="238"/>
      <c r="E7" s="278"/>
      <c r="F7" s="279"/>
      <c r="G7" s="279"/>
      <c r="H7" s="279"/>
      <c r="I7" s="280"/>
      <c r="J7" s="288"/>
      <c r="K7" s="284"/>
      <c r="L7" s="284"/>
      <c r="M7" s="284"/>
      <c r="N7" s="284"/>
      <c r="O7" s="285"/>
      <c r="P7" s="288"/>
      <c r="Q7" s="284"/>
      <c r="R7" s="284"/>
      <c r="S7" s="284"/>
      <c r="T7" s="284"/>
      <c r="U7" s="285"/>
      <c r="V7" s="288"/>
      <c r="W7" s="284"/>
      <c r="X7" s="284"/>
      <c r="Y7" s="284"/>
      <c r="Z7" s="284"/>
      <c r="AA7" s="285"/>
      <c r="AB7" s="288"/>
      <c r="AC7" s="284"/>
      <c r="AD7" s="284"/>
      <c r="AE7" s="284"/>
      <c r="AF7" s="284"/>
      <c r="AG7" s="285"/>
      <c r="AH7" s="295"/>
      <c r="AI7" s="296"/>
      <c r="AJ7" s="296"/>
      <c r="AK7" s="296"/>
      <c r="AL7" s="296"/>
      <c r="AM7" s="297"/>
      <c r="AN7" s="83"/>
      <c r="AO7" s="242"/>
      <c r="AP7" s="243"/>
      <c r="AQ7" s="243"/>
      <c r="AR7" s="243"/>
      <c r="AS7" s="243"/>
      <c r="AT7" s="2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7"/>
      <c r="C8" s="237"/>
      <c r="D8" s="238"/>
      <c r="E8" s="278"/>
      <c r="F8" s="279"/>
      <c r="G8" s="279"/>
      <c r="H8" s="279"/>
      <c r="I8" s="280"/>
      <c r="J8" s="288" t="str">
        <f ca="1">IF(AND('Mapa final'!$H$28="Muy Alta",'Mapa final'!$L$28="Leve"),CONCATENATE("R",'Mapa final'!$A$28),"")</f>
        <v/>
      </c>
      <c r="K8" s="284"/>
      <c r="L8" s="284" t="str">
        <f ca="1">IF(AND('Mapa final'!$H$34="Muy Alta",'Mapa final'!$L$34="Leve"),CONCATENATE("R",'Mapa final'!$A$34),"")</f>
        <v/>
      </c>
      <c r="M8" s="284"/>
      <c r="N8" s="284" t="str">
        <f ca="1">IF(AND('Mapa final'!$H$40="Muy Alta",'Mapa final'!$L$40="Leve"),CONCATENATE("R",'Mapa final'!$A$40),"")</f>
        <v/>
      </c>
      <c r="O8" s="285"/>
      <c r="P8" s="288" t="str">
        <f ca="1">IF(AND('Mapa final'!$H$28="Muy Alta",'Mapa final'!$L$28="Menor"),CONCATENATE("R",'Mapa final'!$A$28),"")</f>
        <v/>
      </c>
      <c r="Q8" s="284"/>
      <c r="R8" s="284" t="str">
        <f ca="1">IF(AND('Mapa final'!$H$34="Muy Alta",'Mapa final'!$L$34="Menor"),CONCATENATE("R",'Mapa final'!$A$34),"")</f>
        <v/>
      </c>
      <c r="S8" s="284"/>
      <c r="T8" s="284" t="str">
        <f ca="1">IF(AND('Mapa final'!$H$40="Muy Alta",'Mapa final'!$L$40="Menor"),CONCATENATE("R",'Mapa final'!$A$40),"")</f>
        <v/>
      </c>
      <c r="U8" s="285"/>
      <c r="V8" s="288" t="str">
        <f ca="1">IF(AND('Mapa final'!$H$28="Muy Alta",'Mapa final'!$L$28="Moderado"),CONCATENATE("R",'Mapa final'!$A$28),"")</f>
        <v/>
      </c>
      <c r="W8" s="284"/>
      <c r="X8" s="284" t="str">
        <f ca="1">IF(AND('Mapa final'!$H$34="Muy Alta",'Mapa final'!$L$34="Moderado"),CONCATENATE("R",'Mapa final'!$A$34),"")</f>
        <v/>
      </c>
      <c r="Y8" s="284"/>
      <c r="Z8" s="284" t="str">
        <f ca="1">IF(AND('Mapa final'!$H$40="Muy Alta",'Mapa final'!$L$40="Moderado"),CONCATENATE("R",'Mapa final'!$A$40),"")</f>
        <v/>
      </c>
      <c r="AA8" s="285"/>
      <c r="AB8" s="288" t="str">
        <f ca="1">IF(AND('Mapa final'!$H$28="Muy Alta",'Mapa final'!$L$28="Mayor"),CONCATENATE("R",'Mapa final'!$A$28),"")</f>
        <v/>
      </c>
      <c r="AC8" s="284"/>
      <c r="AD8" s="284" t="str">
        <f ca="1">IF(AND('Mapa final'!$H$34="Muy Alta",'Mapa final'!$L$34="Mayor"),CONCATENATE("R",'Mapa final'!$A$34),"")</f>
        <v/>
      </c>
      <c r="AE8" s="284"/>
      <c r="AF8" s="284" t="str">
        <f ca="1">IF(AND('Mapa final'!$H$40="Muy Alta",'Mapa final'!$L$40="Mayor"),CONCATENATE("R",'Mapa final'!$A$40),"")</f>
        <v/>
      </c>
      <c r="AG8" s="285"/>
      <c r="AH8" s="295" t="str">
        <f ca="1">IF(AND('Mapa final'!$H$28="Muy Alta",'Mapa final'!$L$28="Catastrófico"),CONCATENATE("R",'Mapa final'!$A$28),"")</f>
        <v/>
      </c>
      <c r="AI8" s="296"/>
      <c r="AJ8" s="296" t="str">
        <f ca="1">IF(AND('Mapa final'!$H$34="Muy Alta",'Mapa final'!$L$34="Catastrófico"),CONCATENATE("R",'Mapa final'!$A$34),"")</f>
        <v/>
      </c>
      <c r="AK8" s="296"/>
      <c r="AL8" s="296" t="str">
        <f ca="1">IF(AND('Mapa final'!$H$40="Muy Alta",'Mapa final'!$L$40="Catastrófico"),CONCATENATE("R",'Mapa final'!$A$40),"")</f>
        <v/>
      </c>
      <c r="AM8" s="297"/>
      <c r="AN8" s="83"/>
      <c r="AO8" s="242"/>
      <c r="AP8" s="243"/>
      <c r="AQ8" s="243"/>
      <c r="AR8" s="243"/>
      <c r="AS8" s="243"/>
      <c r="AT8" s="2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7"/>
      <c r="C9" s="237"/>
      <c r="D9" s="238"/>
      <c r="E9" s="278"/>
      <c r="F9" s="279"/>
      <c r="G9" s="279"/>
      <c r="H9" s="279"/>
      <c r="I9" s="280"/>
      <c r="J9" s="288"/>
      <c r="K9" s="284"/>
      <c r="L9" s="284"/>
      <c r="M9" s="284"/>
      <c r="N9" s="284"/>
      <c r="O9" s="285"/>
      <c r="P9" s="288"/>
      <c r="Q9" s="284"/>
      <c r="R9" s="284"/>
      <c r="S9" s="284"/>
      <c r="T9" s="284"/>
      <c r="U9" s="285"/>
      <c r="V9" s="288"/>
      <c r="W9" s="284"/>
      <c r="X9" s="284"/>
      <c r="Y9" s="284"/>
      <c r="Z9" s="284"/>
      <c r="AA9" s="285"/>
      <c r="AB9" s="288"/>
      <c r="AC9" s="284"/>
      <c r="AD9" s="284"/>
      <c r="AE9" s="284"/>
      <c r="AF9" s="284"/>
      <c r="AG9" s="285"/>
      <c r="AH9" s="295"/>
      <c r="AI9" s="296"/>
      <c r="AJ9" s="296"/>
      <c r="AK9" s="296"/>
      <c r="AL9" s="296"/>
      <c r="AM9" s="297"/>
      <c r="AN9" s="83"/>
      <c r="AO9" s="242"/>
      <c r="AP9" s="243"/>
      <c r="AQ9" s="243"/>
      <c r="AR9" s="243"/>
      <c r="AS9" s="243"/>
      <c r="AT9" s="2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7"/>
      <c r="C10" s="237"/>
      <c r="D10" s="238"/>
      <c r="E10" s="278"/>
      <c r="F10" s="279"/>
      <c r="G10" s="279"/>
      <c r="H10" s="279"/>
      <c r="I10" s="280"/>
      <c r="J10" s="288" t="str">
        <f ca="1">IF(AND('Mapa final'!$H$46="Muy Alta",'Mapa final'!$L$46="Leve"),CONCATENATE("R",'Mapa final'!$A$46),"")</f>
        <v/>
      </c>
      <c r="K10" s="284"/>
      <c r="L10" s="284" t="str">
        <f ca="1">IF(AND('Mapa final'!$H$52="Muy Alta",'Mapa final'!$L$52="Leve"),CONCATENATE("R",'Mapa final'!$A$52),"")</f>
        <v/>
      </c>
      <c r="M10" s="284"/>
      <c r="N10" s="284" t="str">
        <f ca="1">IF(AND('Mapa final'!$H$58="Muy Alta",'Mapa final'!$L$58="Leve"),CONCATENATE("R",'Mapa final'!$A$58),"")</f>
        <v/>
      </c>
      <c r="O10" s="285"/>
      <c r="P10" s="288" t="str">
        <f ca="1">IF(AND('Mapa final'!$H$46="Muy Alta",'Mapa final'!$L$46="Menor"),CONCATENATE("R",'Mapa final'!$A$46),"")</f>
        <v/>
      </c>
      <c r="Q10" s="284"/>
      <c r="R10" s="284" t="str">
        <f ca="1">IF(AND('Mapa final'!$H$52="Muy Alta",'Mapa final'!$L$52="Menor"),CONCATENATE("R",'Mapa final'!$A$52),"")</f>
        <v/>
      </c>
      <c r="S10" s="284"/>
      <c r="T10" s="284" t="str">
        <f ca="1">IF(AND('Mapa final'!$H$58="Muy Alta",'Mapa final'!$L$58="Menor"),CONCATENATE("R",'Mapa final'!$A$58),"")</f>
        <v/>
      </c>
      <c r="U10" s="285"/>
      <c r="V10" s="288" t="str">
        <f ca="1">IF(AND('Mapa final'!$H$46="Muy Alta",'Mapa final'!$L$46="Moderado"),CONCATENATE("R",'Mapa final'!$A$46),"")</f>
        <v/>
      </c>
      <c r="W10" s="284"/>
      <c r="X10" s="284" t="str">
        <f ca="1">IF(AND('Mapa final'!$H$52="Muy Alta",'Mapa final'!$L$52="Moderado"),CONCATENATE("R",'Mapa final'!$A$52),"")</f>
        <v/>
      </c>
      <c r="Y10" s="284"/>
      <c r="Z10" s="284" t="str">
        <f ca="1">IF(AND('Mapa final'!$H$58="Muy Alta",'Mapa final'!$L$58="Moderado"),CONCATENATE("R",'Mapa final'!$A$58),"")</f>
        <v/>
      </c>
      <c r="AA10" s="285"/>
      <c r="AB10" s="288" t="str">
        <f ca="1">IF(AND('Mapa final'!$H$46="Muy Alta",'Mapa final'!$L$46="Mayor"),CONCATENATE("R",'Mapa final'!$A$46),"")</f>
        <v/>
      </c>
      <c r="AC10" s="284"/>
      <c r="AD10" s="284" t="str">
        <f ca="1">IF(AND('Mapa final'!$H$52="Muy Alta",'Mapa final'!$L$52="Mayor"),CONCATENATE("R",'Mapa final'!$A$52),"")</f>
        <v/>
      </c>
      <c r="AE10" s="284"/>
      <c r="AF10" s="284" t="str">
        <f ca="1">IF(AND('Mapa final'!$H$58="Muy Alta",'Mapa final'!$L$58="Mayor"),CONCATENATE("R",'Mapa final'!$A$58),"")</f>
        <v/>
      </c>
      <c r="AG10" s="285"/>
      <c r="AH10" s="295" t="str">
        <f ca="1">IF(AND('Mapa final'!$H$46="Muy Alta",'Mapa final'!$L$46="Catastrófico"),CONCATENATE("R",'Mapa final'!$A$46),"")</f>
        <v/>
      </c>
      <c r="AI10" s="296"/>
      <c r="AJ10" s="296" t="str">
        <f ca="1">IF(AND('Mapa final'!$H$52="Muy Alta",'Mapa final'!$L$52="Catastrófico"),CONCATENATE("R",'Mapa final'!$A$52),"")</f>
        <v/>
      </c>
      <c r="AK10" s="296"/>
      <c r="AL10" s="296" t="str">
        <f ca="1">IF(AND('Mapa final'!$H$58="Muy Alta",'Mapa final'!$L$58="Catastrófico"),CONCATENATE("R",'Mapa final'!$A$58),"")</f>
        <v/>
      </c>
      <c r="AM10" s="297"/>
      <c r="AN10" s="83"/>
      <c r="AO10" s="242"/>
      <c r="AP10" s="243"/>
      <c r="AQ10" s="243"/>
      <c r="AR10" s="243"/>
      <c r="AS10" s="243"/>
      <c r="AT10" s="2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7"/>
      <c r="C11" s="237"/>
      <c r="D11" s="238"/>
      <c r="E11" s="278"/>
      <c r="F11" s="279"/>
      <c r="G11" s="279"/>
      <c r="H11" s="279"/>
      <c r="I11" s="280"/>
      <c r="J11" s="288"/>
      <c r="K11" s="284"/>
      <c r="L11" s="284"/>
      <c r="M11" s="284"/>
      <c r="N11" s="284"/>
      <c r="O11" s="285"/>
      <c r="P11" s="288"/>
      <c r="Q11" s="284"/>
      <c r="R11" s="284"/>
      <c r="S11" s="284"/>
      <c r="T11" s="284"/>
      <c r="U11" s="285"/>
      <c r="V11" s="288"/>
      <c r="W11" s="284"/>
      <c r="X11" s="284"/>
      <c r="Y11" s="284"/>
      <c r="Z11" s="284"/>
      <c r="AA11" s="285"/>
      <c r="AB11" s="288"/>
      <c r="AC11" s="284"/>
      <c r="AD11" s="284"/>
      <c r="AE11" s="284"/>
      <c r="AF11" s="284"/>
      <c r="AG11" s="285"/>
      <c r="AH11" s="295"/>
      <c r="AI11" s="296"/>
      <c r="AJ11" s="296"/>
      <c r="AK11" s="296"/>
      <c r="AL11" s="296"/>
      <c r="AM11" s="297"/>
      <c r="AN11" s="83"/>
      <c r="AO11" s="242"/>
      <c r="AP11" s="243"/>
      <c r="AQ11" s="243"/>
      <c r="AR11" s="243"/>
      <c r="AS11" s="243"/>
      <c r="AT11" s="2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7"/>
      <c r="C12" s="237"/>
      <c r="D12" s="238"/>
      <c r="E12" s="278"/>
      <c r="F12" s="279"/>
      <c r="G12" s="279"/>
      <c r="H12" s="279"/>
      <c r="I12" s="280"/>
      <c r="J12" s="288" t="str">
        <f ca="1">IF(AND('Mapa final'!$H$64="Muy Alta",'Mapa final'!$L$64="Leve"),CONCATENATE("R",'Mapa final'!$A$64),"")</f>
        <v/>
      </c>
      <c r="K12" s="284"/>
      <c r="L12" s="284" t="str">
        <f>IF(AND('Mapa final'!$H$70="Muy Alta",'Mapa final'!$L$70="Leve"),CONCATENATE("R",'Mapa final'!$A$70),"")</f>
        <v/>
      </c>
      <c r="M12" s="284"/>
      <c r="N12" s="284" t="str">
        <f>IF(AND('Mapa final'!$H$76="Muy Alta",'Mapa final'!$L$76="Leve"),CONCATENATE("R",'Mapa final'!$A$76),"")</f>
        <v/>
      </c>
      <c r="O12" s="285"/>
      <c r="P12" s="288" t="str">
        <f ca="1">IF(AND('Mapa final'!$H$64="Muy Alta",'Mapa final'!$L$64="Menor"),CONCATENATE("R",'Mapa final'!$A$64),"")</f>
        <v/>
      </c>
      <c r="Q12" s="284"/>
      <c r="R12" s="284" t="str">
        <f>IF(AND('Mapa final'!$H$70="Muy Alta",'Mapa final'!$L$70="Menor"),CONCATENATE("R",'Mapa final'!$A$70),"")</f>
        <v/>
      </c>
      <c r="S12" s="284"/>
      <c r="T12" s="284" t="str">
        <f>IF(AND('Mapa final'!$H$76="Muy Alta",'Mapa final'!$L$76="Menor"),CONCATENATE("R",'Mapa final'!$A$76),"")</f>
        <v/>
      </c>
      <c r="U12" s="285"/>
      <c r="V12" s="288" t="str">
        <f ca="1">IF(AND('Mapa final'!$H$64="Muy Alta",'Mapa final'!$L$64="Moderado"),CONCATENATE("R",'Mapa final'!$A$64),"")</f>
        <v/>
      </c>
      <c r="W12" s="284"/>
      <c r="X12" s="284" t="str">
        <f>IF(AND('Mapa final'!$H$70="Muy Alta",'Mapa final'!$L$70="Moderado"),CONCATENATE("R",'Mapa final'!$A$70),"")</f>
        <v/>
      </c>
      <c r="Y12" s="284"/>
      <c r="Z12" s="284" t="str">
        <f>IF(AND('Mapa final'!$H$76="Muy Alta",'Mapa final'!$L$76="Moderado"),CONCATENATE("R",'Mapa final'!$A$76),"")</f>
        <v/>
      </c>
      <c r="AA12" s="285"/>
      <c r="AB12" s="288" t="str">
        <f ca="1">IF(AND('Mapa final'!$H$64="Muy Alta",'Mapa final'!$L$64="Mayor"),CONCATENATE("R",'Mapa final'!$A$64),"")</f>
        <v/>
      </c>
      <c r="AC12" s="284"/>
      <c r="AD12" s="284" t="str">
        <f>IF(AND('Mapa final'!$H$70="Muy Alta",'Mapa final'!$L$70="Mayor"),CONCATENATE("R",'Mapa final'!$A$70),"")</f>
        <v/>
      </c>
      <c r="AE12" s="284"/>
      <c r="AF12" s="284" t="str">
        <f>IF(AND('Mapa final'!$H$76="Muy Alta",'Mapa final'!$L$76="Mayor"),CONCATENATE("R",'Mapa final'!$A$76),"")</f>
        <v/>
      </c>
      <c r="AG12" s="285"/>
      <c r="AH12" s="295" t="str">
        <f ca="1">IF(AND('Mapa final'!$H$64="Muy Alta",'Mapa final'!$L$64="Catastrófico"),CONCATENATE("R",'Mapa final'!$A$64),"")</f>
        <v/>
      </c>
      <c r="AI12" s="296"/>
      <c r="AJ12" s="296" t="str">
        <f>IF(AND('Mapa final'!$H$70="Muy Alta",'Mapa final'!$L$70="Catastrófico"),CONCATENATE("R",'Mapa final'!$A$70),"")</f>
        <v/>
      </c>
      <c r="AK12" s="296"/>
      <c r="AL12" s="296" t="str">
        <f>IF(AND('Mapa final'!$H$76="Muy Alta",'Mapa final'!$L$76="Catastrófico"),CONCATENATE("R",'Mapa final'!$A$76),"")</f>
        <v/>
      </c>
      <c r="AM12" s="297"/>
      <c r="AN12" s="83"/>
      <c r="AO12" s="242"/>
      <c r="AP12" s="243"/>
      <c r="AQ12" s="243"/>
      <c r="AR12" s="243"/>
      <c r="AS12" s="243"/>
      <c r="AT12" s="2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7"/>
      <c r="C13" s="237"/>
      <c r="D13" s="238"/>
      <c r="E13" s="281"/>
      <c r="F13" s="282"/>
      <c r="G13" s="282"/>
      <c r="H13" s="282"/>
      <c r="I13" s="283"/>
      <c r="J13" s="288"/>
      <c r="K13" s="284"/>
      <c r="L13" s="284"/>
      <c r="M13" s="284"/>
      <c r="N13" s="284"/>
      <c r="O13" s="285"/>
      <c r="P13" s="288"/>
      <c r="Q13" s="284"/>
      <c r="R13" s="284"/>
      <c r="S13" s="284"/>
      <c r="T13" s="284"/>
      <c r="U13" s="285"/>
      <c r="V13" s="288"/>
      <c r="W13" s="284"/>
      <c r="X13" s="284"/>
      <c r="Y13" s="284"/>
      <c r="Z13" s="284"/>
      <c r="AA13" s="285"/>
      <c r="AB13" s="288"/>
      <c r="AC13" s="284"/>
      <c r="AD13" s="284"/>
      <c r="AE13" s="284"/>
      <c r="AF13" s="284"/>
      <c r="AG13" s="285"/>
      <c r="AH13" s="298"/>
      <c r="AI13" s="299"/>
      <c r="AJ13" s="299"/>
      <c r="AK13" s="299"/>
      <c r="AL13" s="299"/>
      <c r="AM13" s="300"/>
      <c r="AN13" s="83"/>
      <c r="AO13" s="245"/>
      <c r="AP13" s="246"/>
      <c r="AQ13" s="246"/>
      <c r="AR13" s="246"/>
      <c r="AS13" s="246"/>
      <c r="AT13" s="2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7"/>
      <c r="C14" s="237"/>
      <c r="D14" s="238"/>
      <c r="E14" s="275" t="s">
        <v>115</v>
      </c>
      <c r="F14" s="276"/>
      <c r="G14" s="276"/>
      <c r="H14" s="276"/>
      <c r="I14" s="276"/>
      <c r="J14" s="310" t="str">
        <f ca="1">IF(AND('Mapa final'!$H$10="Alta",'Mapa final'!$L$10="Leve"),CONCATENATE("R",'Mapa final'!$A$10),"")</f>
        <v/>
      </c>
      <c r="K14" s="311"/>
      <c r="L14" s="311" t="str">
        <f ca="1">IF(AND('Mapa final'!$H$16="Alta",'Mapa final'!$L$16="Leve"),CONCATENATE("R",'Mapa final'!$A$16),"")</f>
        <v/>
      </c>
      <c r="M14" s="311"/>
      <c r="N14" s="311" t="str">
        <f ca="1">IF(AND('Mapa final'!$H$22="Alta",'Mapa final'!$L$22="Leve"),CONCATENATE("R",'Mapa final'!$A$22),"")</f>
        <v/>
      </c>
      <c r="O14" s="312"/>
      <c r="P14" s="310" t="str">
        <f ca="1">IF(AND('Mapa final'!$H$10="Alta",'Mapa final'!$L$10="Menor"),CONCATENATE("R",'Mapa final'!$A$10),"")</f>
        <v/>
      </c>
      <c r="Q14" s="311"/>
      <c r="R14" s="311" t="str">
        <f ca="1">IF(AND('Mapa final'!$H$16="Alta",'Mapa final'!$L$16="Menor"),CONCATENATE("R",'Mapa final'!$A$16),"")</f>
        <v/>
      </c>
      <c r="S14" s="311"/>
      <c r="T14" s="311" t="str">
        <f ca="1">IF(AND('Mapa final'!$H$22="Alta",'Mapa final'!$L$22="Menor"),CONCATENATE("R",'Mapa final'!$A$22),"")</f>
        <v/>
      </c>
      <c r="U14" s="312"/>
      <c r="V14" s="286" t="str">
        <f ca="1">IF(AND('Mapa final'!$H$10="Alta",'Mapa final'!$L$10="Moderado"),CONCATENATE("R",'Mapa final'!$A$10),"")</f>
        <v/>
      </c>
      <c r="W14" s="287"/>
      <c r="X14" s="287" t="str">
        <f ca="1">IF(AND('Mapa final'!$H$16="Alta",'Mapa final'!$L$16="Moderado"),CONCATENATE("R",'Mapa final'!$A$16),"")</f>
        <v/>
      </c>
      <c r="Y14" s="287"/>
      <c r="Z14" s="287" t="str">
        <f ca="1">IF(AND('Mapa final'!$H$22="Alta",'Mapa final'!$L$22="Moderado"),CONCATENATE("R",'Mapa final'!$A$22),"")</f>
        <v/>
      </c>
      <c r="AA14" s="289"/>
      <c r="AB14" s="286" t="str">
        <f ca="1">IF(AND('Mapa final'!$H$10="Alta",'Mapa final'!$L$10="Mayor"),CONCATENATE("R",'Mapa final'!$A$10),"")</f>
        <v/>
      </c>
      <c r="AC14" s="287"/>
      <c r="AD14" s="287" t="str">
        <f ca="1">IF(AND('Mapa final'!$H$16="Alta",'Mapa final'!$L$16="Mayor"),CONCATENATE("R",'Mapa final'!$A$16),"")</f>
        <v/>
      </c>
      <c r="AE14" s="287"/>
      <c r="AF14" s="287" t="str">
        <f ca="1">IF(AND('Mapa final'!$H$22="Alta",'Mapa final'!$L$22="Mayor"),CONCATENATE("R",'Mapa final'!$A$22),"")</f>
        <v/>
      </c>
      <c r="AG14" s="289"/>
      <c r="AH14" s="301" t="str">
        <f ca="1">IF(AND('Mapa final'!$H$10="Alta",'Mapa final'!$L$10="Catastrófico"),CONCATENATE("R",'Mapa final'!$A$10),"")</f>
        <v/>
      </c>
      <c r="AI14" s="302"/>
      <c r="AJ14" s="302" t="str">
        <f ca="1">IF(AND('Mapa final'!$H$16="Alta",'Mapa final'!$L$16="Catastrófico"),CONCATENATE("R",'Mapa final'!$A$16),"")</f>
        <v/>
      </c>
      <c r="AK14" s="302"/>
      <c r="AL14" s="302" t="str">
        <f ca="1">IF(AND('Mapa final'!$H$22="Alta",'Mapa final'!$L$22="Catastrófico"),CONCATENATE("R",'Mapa final'!$A$22),"")</f>
        <v/>
      </c>
      <c r="AM14" s="303"/>
      <c r="AN14" s="83"/>
      <c r="AO14" s="248" t="s">
        <v>80</v>
      </c>
      <c r="AP14" s="249"/>
      <c r="AQ14" s="249"/>
      <c r="AR14" s="249"/>
      <c r="AS14" s="249"/>
      <c r="AT14" s="25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7"/>
      <c r="C15" s="237"/>
      <c r="D15" s="238"/>
      <c r="E15" s="278"/>
      <c r="F15" s="279"/>
      <c r="G15" s="279"/>
      <c r="H15" s="279"/>
      <c r="I15" s="279"/>
      <c r="J15" s="304"/>
      <c r="K15" s="305"/>
      <c r="L15" s="305"/>
      <c r="M15" s="305"/>
      <c r="N15" s="305"/>
      <c r="O15" s="306"/>
      <c r="P15" s="304"/>
      <c r="Q15" s="305"/>
      <c r="R15" s="305"/>
      <c r="S15" s="305"/>
      <c r="T15" s="305"/>
      <c r="U15" s="306"/>
      <c r="V15" s="288"/>
      <c r="W15" s="284"/>
      <c r="X15" s="284"/>
      <c r="Y15" s="284"/>
      <c r="Z15" s="284"/>
      <c r="AA15" s="285"/>
      <c r="AB15" s="288"/>
      <c r="AC15" s="284"/>
      <c r="AD15" s="284"/>
      <c r="AE15" s="284"/>
      <c r="AF15" s="284"/>
      <c r="AG15" s="285"/>
      <c r="AH15" s="295"/>
      <c r="AI15" s="296"/>
      <c r="AJ15" s="296"/>
      <c r="AK15" s="296"/>
      <c r="AL15" s="296"/>
      <c r="AM15" s="297"/>
      <c r="AN15" s="83"/>
      <c r="AO15" s="251"/>
      <c r="AP15" s="252"/>
      <c r="AQ15" s="252"/>
      <c r="AR15" s="252"/>
      <c r="AS15" s="252"/>
      <c r="AT15" s="25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7"/>
      <c r="C16" s="237"/>
      <c r="D16" s="238"/>
      <c r="E16" s="278"/>
      <c r="F16" s="279"/>
      <c r="G16" s="279"/>
      <c r="H16" s="279"/>
      <c r="I16" s="279"/>
      <c r="J16" s="304" t="str">
        <f ca="1">IF(AND('Mapa final'!$H$28="Alta",'Mapa final'!$L$28="Leve"),CONCATENATE("R",'Mapa final'!$A$28),"")</f>
        <v/>
      </c>
      <c r="K16" s="305"/>
      <c r="L16" s="305" t="str">
        <f ca="1">IF(AND('Mapa final'!$H$34="Alta",'Mapa final'!$L$34="Leve"),CONCATENATE("R",'Mapa final'!$A$34),"")</f>
        <v/>
      </c>
      <c r="M16" s="305"/>
      <c r="N16" s="305" t="str">
        <f ca="1">IF(AND('Mapa final'!$H$40="Alta",'Mapa final'!$L$40="Leve"),CONCATENATE("R",'Mapa final'!$A$40),"")</f>
        <v/>
      </c>
      <c r="O16" s="306"/>
      <c r="P16" s="304" t="str">
        <f ca="1">IF(AND('Mapa final'!$H$28="Alta",'Mapa final'!$L$28="Menor"),CONCATENATE("R",'Mapa final'!$A$28),"")</f>
        <v/>
      </c>
      <c r="Q16" s="305"/>
      <c r="R16" s="305" t="str">
        <f ca="1">IF(AND('Mapa final'!$H$34="Alta",'Mapa final'!$L$34="Menor"),CONCATENATE("R",'Mapa final'!$A$34),"")</f>
        <v/>
      </c>
      <c r="S16" s="305"/>
      <c r="T16" s="305" t="str">
        <f ca="1">IF(AND('Mapa final'!$H$40="Alta",'Mapa final'!$L$40="Menor"),CONCATENATE("R",'Mapa final'!$A$40),"")</f>
        <v/>
      </c>
      <c r="U16" s="306"/>
      <c r="V16" s="288" t="str">
        <f ca="1">IF(AND('Mapa final'!$H$28="Alta",'Mapa final'!$L$28="Moderado"),CONCATENATE("R",'Mapa final'!$A$28),"")</f>
        <v/>
      </c>
      <c r="W16" s="284"/>
      <c r="X16" s="284" t="str">
        <f ca="1">IF(AND('Mapa final'!$H$34="Alta",'Mapa final'!$L$34="Moderado"),CONCATENATE("R",'Mapa final'!$A$34),"")</f>
        <v/>
      </c>
      <c r="Y16" s="284"/>
      <c r="Z16" s="284" t="str">
        <f ca="1">IF(AND('Mapa final'!$H$40="Alta",'Mapa final'!$L$40="Moderado"),CONCATENATE("R",'Mapa final'!$A$40),"")</f>
        <v/>
      </c>
      <c r="AA16" s="285"/>
      <c r="AB16" s="288" t="str">
        <f ca="1">IF(AND('Mapa final'!$H$28="Alta",'Mapa final'!$L$28="Mayor"),CONCATENATE("R",'Mapa final'!$A$28),"")</f>
        <v/>
      </c>
      <c r="AC16" s="284"/>
      <c r="AD16" s="284" t="str">
        <f ca="1">IF(AND('Mapa final'!$H$34="Alta",'Mapa final'!$L$34="Mayor"),CONCATENATE("R",'Mapa final'!$A$34),"")</f>
        <v/>
      </c>
      <c r="AE16" s="284"/>
      <c r="AF16" s="284" t="str">
        <f ca="1">IF(AND('Mapa final'!$H$40="Alta",'Mapa final'!$L$40="Mayor"),CONCATENATE("R",'Mapa final'!$A$40),"")</f>
        <v/>
      </c>
      <c r="AG16" s="285"/>
      <c r="AH16" s="295" t="str">
        <f ca="1">IF(AND('Mapa final'!$H$28="Alta",'Mapa final'!$L$28="Catastrófico"),CONCATENATE("R",'Mapa final'!$A$28),"")</f>
        <v/>
      </c>
      <c r="AI16" s="296"/>
      <c r="AJ16" s="296" t="str">
        <f ca="1">IF(AND('Mapa final'!$H$34="Alta",'Mapa final'!$L$34="Catastrófico"),CONCATENATE("R",'Mapa final'!$A$34),"")</f>
        <v/>
      </c>
      <c r="AK16" s="296"/>
      <c r="AL16" s="296" t="str">
        <f ca="1">IF(AND('Mapa final'!$H$40="Alta",'Mapa final'!$L$40="Catastrófico"),CONCATENATE("R",'Mapa final'!$A$40),"")</f>
        <v/>
      </c>
      <c r="AM16" s="297"/>
      <c r="AN16" s="83"/>
      <c r="AO16" s="251"/>
      <c r="AP16" s="252"/>
      <c r="AQ16" s="252"/>
      <c r="AR16" s="252"/>
      <c r="AS16" s="252"/>
      <c r="AT16" s="25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7"/>
      <c r="C17" s="237"/>
      <c r="D17" s="238"/>
      <c r="E17" s="278"/>
      <c r="F17" s="279"/>
      <c r="G17" s="279"/>
      <c r="H17" s="279"/>
      <c r="I17" s="279"/>
      <c r="J17" s="304"/>
      <c r="K17" s="305"/>
      <c r="L17" s="305"/>
      <c r="M17" s="305"/>
      <c r="N17" s="305"/>
      <c r="O17" s="306"/>
      <c r="P17" s="304"/>
      <c r="Q17" s="305"/>
      <c r="R17" s="305"/>
      <c r="S17" s="305"/>
      <c r="T17" s="305"/>
      <c r="U17" s="306"/>
      <c r="V17" s="288"/>
      <c r="W17" s="284"/>
      <c r="X17" s="284"/>
      <c r="Y17" s="284"/>
      <c r="Z17" s="284"/>
      <c r="AA17" s="285"/>
      <c r="AB17" s="288"/>
      <c r="AC17" s="284"/>
      <c r="AD17" s="284"/>
      <c r="AE17" s="284"/>
      <c r="AF17" s="284"/>
      <c r="AG17" s="285"/>
      <c r="AH17" s="295"/>
      <c r="AI17" s="296"/>
      <c r="AJ17" s="296"/>
      <c r="AK17" s="296"/>
      <c r="AL17" s="296"/>
      <c r="AM17" s="297"/>
      <c r="AN17" s="83"/>
      <c r="AO17" s="251"/>
      <c r="AP17" s="252"/>
      <c r="AQ17" s="252"/>
      <c r="AR17" s="252"/>
      <c r="AS17" s="252"/>
      <c r="AT17" s="25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7"/>
      <c r="C18" s="237"/>
      <c r="D18" s="238"/>
      <c r="E18" s="278"/>
      <c r="F18" s="279"/>
      <c r="G18" s="279"/>
      <c r="H18" s="279"/>
      <c r="I18" s="279"/>
      <c r="J18" s="304" t="str">
        <f ca="1">IF(AND('Mapa final'!$H$46="Alta",'Mapa final'!$L$46="Leve"),CONCATENATE("R",'Mapa final'!$A$46),"")</f>
        <v/>
      </c>
      <c r="K18" s="305"/>
      <c r="L18" s="305" t="str">
        <f ca="1">IF(AND('Mapa final'!$H$52="Alta",'Mapa final'!$L$52="Leve"),CONCATENATE("R",'Mapa final'!$A$52),"")</f>
        <v/>
      </c>
      <c r="M18" s="305"/>
      <c r="N18" s="305" t="str">
        <f ca="1">IF(AND('Mapa final'!$H$58="Alta",'Mapa final'!$L$58="Leve"),CONCATENATE("R",'Mapa final'!$A$58),"")</f>
        <v/>
      </c>
      <c r="O18" s="306"/>
      <c r="P18" s="304" t="str">
        <f ca="1">IF(AND('Mapa final'!$H$46="Alta",'Mapa final'!$L$46="Menor"),CONCATENATE("R",'Mapa final'!$A$46),"")</f>
        <v/>
      </c>
      <c r="Q18" s="305"/>
      <c r="R18" s="305" t="str">
        <f ca="1">IF(AND('Mapa final'!$H$52="Alta",'Mapa final'!$L$52="Menor"),CONCATENATE("R",'Mapa final'!$A$52),"")</f>
        <v/>
      </c>
      <c r="S18" s="305"/>
      <c r="T18" s="305" t="str">
        <f ca="1">IF(AND('Mapa final'!$H$58="Alta",'Mapa final'!$L$58="Menor"),CONCATENATE("R",'Mapa final'!$A$58),"")</f>
        <v/>
      </c>
      <c r="U18" s="306"/>
      <c r="V18" s="288" t="str">
        <f ca="1">IF(AND('Mapa final'!$H$46="Alta",'Mapa final'!$L$46="Moderado"),CONCATENATE("R",'Mapa final'!$A$46),"")</f>
        <v/>
      </c>
      <c r="W18" s="284"/>
      <c r="X18" s="284" t="str">
        <f ca="1">IF(AND('Mapa final'!$H$52="Alta",'Mapa final'!$L$52="Moderado"),CONCATENATE("R",'Mapa final'!$A$52),"")</f>
        <v/>
      </c>
      <c r="Y18" s="284"/>
      <c r="Z18" s="284" t="str">
        <f ca="1">IF(AND('Mapa final'!$H$58="Alta",'Mapa final'!$L$58="Moderado"),CONCATENATE("R",'Mapa final'!$A$58),"")</f>
        <v/>
      </c>
      <c r="AA18" s="285"/>
      <c r="AB18" s="288" t="str">
        <f ca="1">IF(AND('Mapa final'!$H$46="Alta",'Mapa final'!$L$46="Mayor"),CONCATENATE("R",'Mapa final'!$A$46),"")</f>
        <v/>
      </c>
      <c r="AC18" s="284"/>
      <c r="AD18" s="284" t="str">
        <f ca="1">IF(AND('Mapa final'!$H$52="Alta",'Mapa final'!$L$52="Mayor"),CONCATENATE("R",'Mapa final'!$A$52),"")</f>
        <v/>
      </c>
      <c r="AE18" s="284"/>
      <c r="AF18" s="284" t="str">
        <f ca="1">IF(AND('Mapa final'!$H$58="Alta",'Mapa final'!$L$58="Mayor"),CONCATENATE("R",'Mapa final'!$A$58),"")</f>
        <v/>
      </c>
      <c r="AG18" s="285"/>
      <c r="AH18" s="295" t="str">
        <f ca="1">IF(AND('Mapa final'!$H$46="Alta",'Mapa final'!$L$46="Catastrófico"),CONCATENATE("R",'Mapa final'!$A$46),"")</f>
        <v/>
      </c>
      <c r="AI18" s="296"/>
      <c r="AJ18" s="296" t="str">
        <f ca="1">IF(AND('Mapa final'!$H$52="Alta",'Mapa final'!$L$52="Catastrófico"),CONCATENATE("R",'Mapa final'!$A$52),"")</f>
        <v/>
      </c>
      <c r="AK18" s="296"/>
      <c r="AL18" s="296" t="str">
        <f ca="1">IF(AND('Mapa final'!$H$58="Alta",'Mapa final'!$L$58="Catastrófico"),CONCATENATE("R",'Mapa final'!$A$58),"")</f>
        <v/>
      </c>
      <c r="AM18" s="297"/>
      <c r="AN18" s="83"/>
      <c r="AO18" s="251"/>
      <c r="AP18" s="252"/>
      <c r="AQ18" s="252"/>
      <c r="AR18" s="252"/>
      <c r="AS18" s="252"/>
      <c r="AT18" s="25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7"/>
      <c r="C19" s="237"/>
      <c r="D19" s="238"/>
      <c r="E19" s="278"/>
      <c r="F19" s="279"/>
      <c r="G19" s="279"/>
      <c r="H19" s="279"/>
      <c r="I19" s="279"/>
      <c r="J19" s="304"/>
      <c r="K19" s="305"/>
      <c r="L19" s="305"/>
      <c r="M19" s="305"/>
      <c r="N19" s="305"/>
      <c r="O19" s="306"/>
      <c r="P19" s="304"/>
      <c r="Q19" s="305"/>
      <c r="R19" s="305"/>
      <c r="S19" s="305"/>
      <c r="T19" s="305"/>
      <c r="U19" s="306"/>
      <c r="V19" s="288"/>
      <c r="W19" s="284"/>
      <c r="X19" s="284"/>
      <c r="Y19" s="284"/>
      <c r="Z19" s="284"/>
      <c r="AA19" s="285"/>
      <c r="AB19" s="288"/>
      <c r="AC19" s="284"/>
      <c r="AD19" s="284"/>
      <c r="AE19" s="284"/>
      <c r="AF19" s="284"/>
      <c r="AG19" s="285"/>
      <c r="AH19" s="295"/>
      <c r="AI19" s="296"/>
      <c r="AJ19" s="296"/>
      <c r="AK19" s="296"/>
      <c r="AL19" s="296"/>
      <c r="AM19" s="297"/>
      <c r="AN19" s="83"/>
      <c r="AO19" s="251"/>
      <c r="AP19" s="252"/>
      <c r="AQ19" s="252"/>
      <c r="AR19" s="252"/>
      <c r="AS19" s="252"/>
      <c r="AT19" s="25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7"/>
      <c r="C20" s="237"/>
      <c r="D20" s="238"/>
      <c r="E20" s="278"/>
      <c r="F20" s="279"/>
      <c r="G20" s="279"/>
      <c r="H20" s="279"/>
      <c r="I20" s="279"/>
      <c r="J20" s="304" t="str">
        <f ca="1">IF(AND('Mapa final'!$H$64="Alta",'Mapa final'!$L$64="Leve"),CONCATENATE("R",'Mapa final'!$A$64),"")</f>
        <v/>
      </c>
      <c r="K20" s="305"/>
      <c r="L20" s="305" t="str">
        <f>IF(AND('Mapa final'!$H$70="Alta",'Mapa final'!$L$70="Leve"),CONCATENATE("R",'Mapa final'!$A$70),"")</f>
        <v/>
      </c>
      <c r="M20" s="305"/>
      <c r="N20" s="305" t="str">
        <f>IF(AND('Mapa final'!$H$76="Alta",'Mapa final'!$L$76="Leve"),CONCATENATE("R",'Mapa final'!$A$76),"")</f>
        <v/>
      </c>
      <c r="O20" s="306"/>
      <c r="P20" s="304" t="str">
        <f ca="1">IF(AND('Mapa final'!$H$64="Alta",'Mapa final'!$L$64="Menor"),CONCATENATE("R",'Mapa final'!$A$64),"")</f>
        <v/>
      </c>
      <c r="Q20" s="305"/>
      <c r="R20" s="305" t="str">
        <f>IF(AND('Mapa final'!$H$70="Alta",'Mapa final'!$L$70="Menor"),CONCATENATE("R",'Mapa final'!$A$70),"")</f>
        <v/>
      </c>
      <c r="S20" s="305"/>
      <c r="T20" s="305" t="str">
        <f>IF(AND('Mapa final'!$H$76="Alta",'Mapa final'!$L$76="Menor"),CONCATENATE("R",'Mapa final'!$A$76),"")</f>
        <v/>
      </c>
      <c r="U20" s="306"/>
      <c r="V20" s="288" t="str">
        <f ca="1">IF(AND('Mapa final'!$H$64="Alta",'Mapa final'!$L$64="Moderado"),CONCATENATE("R",'Mapa final'!$A$64),"")</f>
        <v/>
      </c>
      <c r="W20" s="284"/>
      <c r="X20" s="284" t="str">
        <f>IF(AND('Mapa final'!$H$70="Alta",'Mapa final'!$L$70="Moderado"),CONCATENATE("R",'Mapa final'!$A$70),"")</f>
        <v/>
      </c>
      <c r="Y20" s="284"/>
      <c r="Z20" s="284" t="str">
        <f>IF(AND('Mapa final'!$H$76="Alta",'Mapa final'!$L$76="Moderado"),CONCATENATE("R",'Mapa final'!$A$76),"")</f>
        <v/>
      </c>
      <c r="AA20" s="285"/>
      <c r="AB20" s="288" t="str">
        <f ca="1">IF(AND('Mapa final'!$H$64="Alta",'Mapa final'!$L$64="Mayor"),CONCATENATE("R",'Mapa final'!$A$64),"")</f>
        <v/>
      </c>
      <c r="AC20" s="284"/>
      <c r="AD20" s="284" t="str">
        <f>IF(AND('Mapa final'!$H$70="Alta",'Mapa final'!$L$70="Mayor"),CONCATENATE("R",'Mapa final'!$A$70),"")</f>
        <v/>
      </c>
      <c r="AE20" s="284"/>
      <c r="AF20" s="284" t="str">
        <f>IF(AND('Mapa final'!$H$76="Alta",'Mapa final'!$L$76="Mayor"),CONCATENATE("R",'Mapa final'!$A$76),"")</f>
        <v/>
      </c>
      <c r="AG20" s="285"/>
      <c r="AH20" s="295" t="str">
        <f ca="1">IF(AND('Mapa final'!$H$64="Alta",'Mapa final'!$L$64="Catastrófico"),CONCATENATE("R",'Mapa final'!$A$64),"")</f>
        <v/>
      </c>
      <c r="AI20" s="296"/>
      <c r="AJ20" s="296" t="str">
        <f>IF(AND('Mapa final'!$H$70="Alta",'Mapa final'!$L$70="Catastrófico"),CONCATENATE("R",'Mapa final'!$A$70),"")</f>
        <v/>
      </c>
      <c r="AK20" s="296"/>
      <c r="AL20" s="296" t="str">
        <f>IF(AND('Mapa final'!$H$76="Alta",'Mapa final'!$L$76="Catastrófico"),CONCATENATE("R",'Mapa final'!$A$76),"")</f>
        <v/>
      </c>
      <c r="AM20" s="297"/>
      <c r="AN20" s="83"/>
      <c r="AO20" s="251"/>
      <c r="AP20" s="252"/>
      <c r="AQ20" s="252"/>
      <c r="AR20" s="252"/>
      <c r="AS20" s="252"/>
      <c r="AT20" s="25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7"/>
      <c r="C21" s="237"/>
      <c r="D21" s="238"/>
      <c r="E21" s="281"/>
      <c r="F21" s="282"/>
      <c r="G21" s="282"/>
      <c r="H21" s="282"/>
      <c r="I21" s="282"/>
      <c r="J21" s="307"/>
      <c r="K21" s="308"/>
      <c r="L21" s="308"/>
      <c r="M21" s="308"/>
      <c r="N21" s="308"/>
      <c r="O21" s="309"/>
      <c r="P21" s="307"/>
      <c r="Q21" s="308"/>
      <c r="R21" s="308"/>
      <c r="S21" s="308"/>
      <c r="T21" s="308"/>
      <c r="U21" s="309"/>
      <c r="V21" s="292"/>
      <c r="W21" s="293"/>
      <c r="X21" s="293"/>
      <c r="Y21" s="293"/>
      <c r="Z21" s="293"/>
      <c r="AA21" s="294"/>
      <c r="AB21" s="292"/>
      <c r="AC21" s="293"/>
      <c r="AD21" s="293"/>
      <c r="AE21" s="293"/>
      <c r="AF21" s="293"/>
      <c r="AG21" s="294"/>
      <c r="AH21" s="298"/>
      <c r="AI21" s="299"/>
      <c r="AJ21" s="299"/>
      <c r="AK21" s="299"/>
      <c r="AL21" s="299"/>
      <c r="AM21" s="300"/>
      <c r="AN21" s="83"/>
      <c r="AO21" s="254"/>
      <c r="AP21" s="255"/>
      <c r="AQ21" s="255"/>
      <c r="AR21" s="255"/>
      <c r="AS21" s="255"/>
      <c r="AT21" s="25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7"/>
      <c r="C22" s="237"/>
      <c r="D22" s="238"/>
      <c r="E22" s="275" t="s">
        <v>117</v>
      </c>
      <c r="F22" s="276"/>
      <c r="G22" s="276"/>
      <c r="H22" s="276"/>
      <c r="I22" s="277"/>
      <c r="J22" s="310" t="str">
        <f ca="1">IF(AND('Mapa final'!$H$10="Media",'Mapa final'!$L$10="Leve"),CONCATENATE("R",'Mapa final'!$A$10),"")</f>
        <v/>
      </c>
      <c r="K22" s="311"/>
      <c r="L22" s="311" t="str">
        <f ca="1">IF(AND('Mapa final'!$H$16="Media",'Mapa final'!$L$16="Leve"),CONCATENATE("R",'Mapa final'!$A$16),"")</f>
        <v/>
      </c>
      <c r="M22" s="311"/>
      <c r="N22" s="311" t="str">
        <f ca="1">IF(AND('Mapa final'!$H$22="Media",'Mapa final'!$L$22="Leve"),CONCATENATE("R",'Mapa final'!$A$22),"")</f>
        <v>R3</v>
      </c>
      <c r="O22" s="312"/>
      <c r="P22" s="310" t="str">
        <f ca="1">IF(AND('Mapa final'!$H$10="Media",'Mapa final'!$L$10="Menor"),CONCATENATE("R",'Mapa final'!$A$10),"")</f>
        <v/>
      </c>
      <c r="Q22" s="311"/>
      <c r="R22" s="311" t="str">
        <f ca="1">IF(AND('Mapa final'!$H$16="Media",'Mapa final'!$L$16="Menor"),CONCATENATE("R",'Mapa final'!$A$16),"")</f>
        <v>R2</v>
      </c>
      <c r="S22" s="311"/>
      <c r="T22" s="311" t="str">
        <f ca="1">IF(AND('Mapa final'!$H$22="Media",'Mapa final'!$L$22="Menor"),CONCATENATE("R",'Mapa final'!$A$22),"")</f>
        <v/>
      </c>
      <c r="U22" s="312"/>
      <c r="V22" s="310" t="str">
        <f ca="1">IF(AND('Mapa final'!$H$10="Media",'Mapa final'!$L$10="Moderado"),CONCATENATE("R",'Mapa final'!$A$10),"")</f>
        <v>R1</v>
      </c>
      <c r="W22" s="311"/>
      <c r="X22" s="311" t="str">
        <f ca="1">IF(AND('Mapa final'!$H$16="Media",'Mapa final'!$L$16="Moderado"),CONCATENATE("R",'Mapa final'!$A$16),"")</f>
        <v/>
      </c>
      <c r="Y22" s="311"/>
      <c r="Z22" s="311" t="str">
        <f ca="1">IF(AND('Mapa final'!$H$22="Media",'Mapa final'!$L$22="Moderado"),CONCATENATE("R",'Mapa final'!$A$22),"")</f>
        <v/>
      </c>
      <c r="AA22" s="312"/>
      <c r="AB22" s="286" t="str">
        <f ca="1">IF(AND('Mapa final'!$H$10="Media",'Mapa final'!$L$10="Mayor"),CONCATENATE("R",'Mapa final'!$A$10),"")</f>
        <v/>
      </c>
      <c r="AC22" s="287"/>
      <c r="AD22" s="287" t="str">
        <f ca="1">IF(AND('Mapa final'!$H$16="Media",'Mapa final'!$L$16="Mayor"),CONCATENATE("R",'Mapa final'!$A$16),"")</f>
        <v/>
      </c>
      <c r="AE22" s="287"/>
      <c r="AF22" s="287" t="str">
        <f ca="1">IF(AND('Mapa final'!$H$22="Media",'Mapa final'!$L$22="Mayor"),CONCATENATE("R",'Mapa final'!$A$22),"")</f>
        <v/>
      </c>
      <c r="AG22" s="289"/>
      <c r="AH22" s="301" t="str">
        <f ca="1">IF(AND('Mapa final'!$H$10="Media",'Mapa final'!$L$10="Catastrófico"),CONCATENATE("R",'Mapa final'!$A$10),"")</f>
        <v/>
      </c>
      <c r="AI22" s="302"/>
      <c r="AJ22" s="302" t="str">
        <f ca="1">IF(AND('Mapa final'!$H$16="Media",'Mapa final'!$L$16="Catastrófico"),CONCATENATE("R",'Mapa final'!$A$16),"")</f>
        <v/>
      </c>
      <c r="AK22" s="302"/>
      <c r="AL22" s="302" t="str">
        <f ca="1">IF(AND('Mapa final'!$H$22="Media",'Mapa final'!$L$22="Catastrófico"),CONCATENATE("R",'Mapa final'!$A$22),"")</f>
        <v/>
      </c>
      <c r="AM22" s="303"/>
      <c r="AN22" s="83"/>
      <c r="AO22" s="257" t="s">
        <v>81</v>
      </c>
      <c r="AP22" s="258"/>
      <c r="AQ22" s="258"/>
      <c r="AR22" s="258"/>
      <c r="AS22" s="258"/>
      <c r="AT22" s="25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7"/>
      <c r="C23" s="237"/>
      <c r="D23" s="238"/>
      <c r="E23" s="278"/>
      <c r="F23" s="279"/>
      <c r="G23" s="279"/>
      <c r="H23" s="279"/>
      <c r="I23" s="280"/>
      <c r="J23" s="304"/>
      <c r="K23" s="305"/>
      <c r="L23" s="305"/>
      <c r="M23" s="305"/>
      <c r="N23" s="305"/>
      <c r="O23" s="306"/>
      <c r="P23" s="304"/>
      <c r="Q23" s="305"/>
      <c r="R23" s="305"/>
      <c r="S23" s="305"/>
      <c r="T23" s="305"/>
      <c r="U23" s="306"/>
      <c r="V23" s="304"/>
      <c r="W23" s="305"/>
      <c r="X23" s="305"/>
      <c r="Y23" s="305"/>
      <c r="Z23" s="305"/>
      <c r="AA23" s="306"/>
      <c r="AB23" s="288"/>
      <c r="AC23" s="284"/>
      <c r="AD23" s="284"/>
      <c r="AE23" s="284"/>
      <c r="AF23" s="284"/>
      <c r="AG23" s="285"/>
      <c r="AH23" s="295"/>
      <c r="AI23" s="296"/>
      <c r="AJ23" s="296"/>
      <c r="AK23" s="296"/>
      <c r="AL23" s="296"/>
      <c r="AM23" s="297"/>
      <c r="AN23" s="83"/>
      <c r="AO23" s="260"/>
      <c r="AP23" s="261"/>
      <c r="AQ23" s="261"/>
      <c r="AR23" s="261"/>
      <c r="AS23" s="261"/>
      <c r="AT23" s="26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7"/>
      <c r="C24" s="237"/>
      <c r="D24" s="238"/>
      <c r="E24" s="278"/>
      <c r="F24" s="279"/>
      <c r="G24" s="279"/>
      <c r="H24" s="279"/>
      <c r="I24" s="280"/>
      <c r="J24" s="304" t="str">
        <f ca="1">IF(AND('Mapa final'!$H$28="Media",'Mapa final'!$L$28="Leve"),CONCATENATE("R",'Mapa final'!$A$28),"")</f>
        <v/>
      </c>
      <c r="K24" s="305"/>
      <c r="L24" s="305" t="str">
        <f ca="1">IF(AND('Mapa final'!$H$34="Media",'Mapa final'!$L$34="Leve"),CONCATENATE("R",'Mapa final'!$A$34),"")</f>
        <v/>
      </c>
      <c r="M24" s="305"/>
      <c r="N24" s="305" t="str">
        <f ca="1">IF(AND('Mapa final'!$H$40="Media",'Mapa final'!$L$40="Leve"),CONCATENATE("R",'Mapa final'!$A$40),"")</f>
        <v/>
      </c>
      <c r="O24" s="306"/>
      <c r="P24" s="304" t="str">
        <f ca="1">IF(AND('Mapa final'!$H$28="Media",'Mapa final'!$L$28="Menor"),CONCATENATE("R",'Mapa final'!$A$28),"")</f>
        <v/>
      </c>
      <c r="Q24" s="305"/>
      <c r="R24" s="305" t="str">
        <f ca="1">IF(AND('Mapa final'!$H$34="Media",'Mapa final'!$L$34="Menor"),CONCATENATE("R",'Mapa final'!$A$34),"")</f>
        <v/>
      </c>
      <c r="S24" s="305"/>
      <c r="T24" s="305" t="str">
        <f ca="1">IF(AND('Mapa final'!$H$40="Media",'Mapa final'!$L$40="Menor"),CONCATENATE("R",'Mapa final'!$A$40),"")</f>
        <v/>
      </c>
      <c r="U24" s="306"/>
      <c r="V24" s="304" t="str">
        <f ca="1">IF(AND('Mapa final'!$H$28="Media",'Mapa final'!$L$28="Moderado"),CONCATENATE("R",'Mapa final'!$A$28),"")</f>
        <v>R4</v>
      </c>
      <c r="W24" s="305"/>
      <c r="X24" s="305" t="str">
        <f ca="1">IF(AND('Mapa final'!$H$34="Media",'Mapa final'!$L$34="Moderado"),CONCATENATE("R",'Mapa final'!$A$34),"")</f>
        <v/>
      </c>
      <c r="Y24" s="305"/>
      <c r="Z24" s="305" t="str">
        <f ca="1">IF(AND('Mapa final'!$H$40="Media",'Mapa final'!$L$40="Moderado"),CONCATENATE("R",'Mapa final'!$A$40),"")</f>
        <v/>
      </c>
      <c r="AA24" s="306"/>
      <c r="AB24" s="288" t="str">
        <f ca="1">IF(AND('Mapa final'!$H$28="Media",'Mapa final'!$L$28="Mayor"),CONCATENATE("R",'Mapa final'!$A$28),"")</f>
        <v/>
      </c>
      <c r="AC24" s="284"/>
      <c r="AD24" s="284" t="str">
        <f ca="1">IF(AND('Mapa final'!$H$34="Media",'Mapa final'!$L$34="Mayor"),CONCATENATE("R",'Mapa final'!$A$34),"")</f>
        <v/>
      </c>
      <c r="AE24" s="284"/>
      <c r="AF24" s="284" t="str">
        <f ca="1">IF(AND('Mapa final'!$H$40="Media",'Mapa final'!$L$40="Mayor"),CONCATENATE("R",'Mapa final'!$A$40),"")</f>
        <v/>
      </c>
      <c r="AG24" s="285"/>
      <c r="AH24" s="295" t="str">
        <f ca="1">IF(AND('Mapa final'!$H$28="Media",'Mapa final'!$L$28="Catastrófico"),CONCATENATE("R",'Mapa final'!$A$28),"")</f>
        <v/>
      </c>
      <c r="AI24" s="296"/>
      <c r="AJ24" s="296" t="str">
        <f ca="1">IF(AND('Mapa final'!$H$34="Media",'Mapa final'!$L$34="Catastrófico"),CONCATENATE("R",'Mapa final'!$A$34),"")</f>
        <v/>
      </c>
      <c r="AK24" s="296"/>
      <c r="AL24" s="296" t="str">
        <f ca="1">IF(AND('Mapa final'!$H$40="Media",'Mapa final'!$L$40="Catastrófico"),CONCATENATE("R",'Mapa final'!$A$40),"")</f>
        <v/>
      </c>
      <c r="AM24" s="297"/>
      <c r="AN24" s="83"/>
      <c r="AO24" s="260"/>
      <c r="AP24" s="261"/>
      <c r="AQ24" s="261"/>
      <c r="AR24" s="261"/>
      <c r="AS24" s="261"/>
      <c r="AT24" s="26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7"/>
      <c r="C25" s="237"/>
      <c r="D25" s="238"/>
      <c r="E25" s="278"/>
      <c r="F25" s="279"/>
      <c r="G25" s="279"/>
      <c r="H25" s="279"/>
      <c r="I25" s="280"/>
      <c r="J25" s="304"/>
      <c r="K25" s="305"/>
      <c r="L25" s="305"/>
      <c r="M25" s="305"/>
      <c r="N25" s="305"/>
      <c r="O25" s="306"/>
      <c r="P25" s="304"/>
      <c r="Q25" s="305"/>
      <c r="R25" s="305"/>
      <c r="S25" s="305"/>
      <c r="T25" s="305"/>
      <c r="U25" s="306"/>
      <c r="V25" s="304"/>
      <c r="W25" s="305"/>
      <c r="X25" s="305"/>
      <c r="Y25" s="305"/>
      <c r="Z25" s="305"/>
      <c r="AA25" s="306"/>
      <c r="AB25" s="288"/>
      <c r="AC25" s="284"/>
      <c r="AD25" s="284"/>
      <c r="AE25" s="284"/>
      <c r="AF25" s="284"/>
      <c r="AG25" s="285"/>
      <c r="AH25" s="295"/>
      <c r="AI25" s="296"/>
      <c r="AJ25" s="296"/>
      <c r="AK25" s="296"/>
      <c r="AL25" s="296"/>
      <c r="AM25" s="297"/>
      <c r="AN25" s="83"/>
      <c r="AO25" s="260"/>
      <c r="AP25" s="261"/>
      <c r="AQ25" s="261"/>
      <c r="AR25" s="261"/>
      <c r="AS25" s="261"/>
      <c r="AT25" s="26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7"/>
      <c r="C26" s="237"/>
      <c r="D26" s="238"/>
      <c r="E26" s="278"/>
      <c r="F26" s="279"/>
      <c r="G26" s="279"/>
      <c r="H26" s="279"/>
      <c r="I26" s="280"/>
      <c r="J26" s="304" t="str">
        <f ca="1">IF(AND('Mapa final'!$H$46="Media",'Mapa final'!$L$46="Leve"),CONCATENATE("R",'Mapa final'!$A$46),"")</f>
        <v/>
      </c>
      <c r="K26" s="305"/>
      <c r="L26" s="305" t="str">
        <f ca="1">IF(AND('Mapa final'!$H$52="Media",'Mapa final'!$L$52="Leve"),CONCATENATE("R",'Mapa final'!$A$52),"")</f>
        <v/>
      </c>
      <c r="M26" s="305"/>
      <c r="N26" s="305" t="str">
        <f ca="1">IF(AND('Mapa final'!$H$58="Media",'Mapa final'!$L$58="Leve"),CONCATENATE("R",'Mapa final'!$A$58),"")</f>
        <v/>
      </c>
      <c r="O26" s="306"/>
      <c r="P26" s="304" t="str">
        <f ca="1">IF(AND('Mapa final'!$H$46="Media",'Mapa final'!$L$46="Menor"),CONCATENATE("R",'Mapa final'!$A$46),"")</f>
        <v/>
      </c>
      <c r="Q26" s="305"/>
      <c r="R26" s="305" t="str">
        <f ca="1">IF(AND('Mapa final'!$H$52="Media",'Mapa final'!$L$52="Menor"),CONCATENATE("R",'Mapa final'!$A$52),"")</f>
        <v>R8</v>
      </c>
      <c r="S26" s="305"/>
      <c r="T26" s="305" t="str">
        <f ca="1">IF(AND('Mapa final'!$H$58="Media",'Mapa final'!$L$58="Menor"),CONCATENATE("R",'Mapa final'!$A$58),"")</f>
        <v>R9</v>
      </c>
      <c r="U26" s="306"/>
      <c r="V26" s="304" t="str">
        <f ca="1">IF(AND('Mapa final'!$H$46="Media",'Mapa final'!$L$46="Moderado"),CONCATENATE("R",'Mapa final'!$A$46),"")</f>
        <v/>
      </c>
      <c r="W26" s="305"/>
      <c r="X26" s="305" t="str">
        <f ca="1">IF(AND('Mapa final'!$H$52="Media",'Mapa final'!$L$52="Moderado"),CONCATENATE("R",'Mapa final'!$A$52),"")</f>
        <v/>
      </c>
      <c r="Y26" s="305"/>
      <c r="Z26" s="305" t="str">
        <f ca="1">IF(AND('Mapa final'!$H$58="Media",'Mapa final'!$L$58="Moderado"),CONCATENATE("R",'Mapa final'!$A$58),"")</f>
        <v/>
      </c>
      <c r="AA26" s="306"/>
      <c r="AB26" s="288" t="str">
        <f ca="1">IF(AND('Mapa final'!$H$46="Media",'Mapa final'!$L$46="Mayor"),CONCATENATE("R",'Mapa final'!$A$46),"")</f>
        <v/>
      </c>
      <c r="AC26" s="284"/>
      <c r="AD26" s="284" t="str">
        <f ca="1">IF(AND('Mapa final'!$H$52="Media",'Mapa final'!$L$52="Mayor"),CONCATENATE("R",'Mapa final'!$A$52),"")</f>
        <v/>
      </c>
      <c r="AE26" s="284"/>
      <c r="AF26" s="284" t="str">
        <f ca="1">IF(AND('Mapa final'!$H$58="Media",'Mapa final'!$L$58="Mayor"),CONCATENATE("R",'Mapa final'!$A$58),"")</f>
        <v/>
      </c>
      <c r="AG26" s="285"/>
      <c r="AH26" s="295" t="str">
        <f ca="1">IF(AND('Mapa final'!$H$46="Media",'Mapa final'!$L$46="Catastrófico"),CONCATENATE("R",'Mapa final'!$A$46),"")</f>
        <v/>
      </c>
      <c r="AI26" s="296"/>
      <c r="AJ26" s="296" t="str">
        <f ca="1">IF(AND('Mapa final'!$H$52="Media",'Mapa final'!$L$52="Catastrófico"),CONCATENATE("R",'Mapa final'!$A$52),"")</f>
        <v/>
      </c>
      <c r="AK26" s="296"/>
      <c r="AL26" s="296" t="str">
        <f ca="1">IF(AND('Mapa final'!$H$58="Media",'Mapa final'!$L$58="Catastrófico"),CONCATENATE("R",'Mapa final'!$A$58),"")</f>
        <v/>
      </c>
      <c r="AM26" s="297"/>
      <c r="AN26" s="83"/>
      <c r="AO26" s="260"/>
      <c r="AP26" s="261"/>
      <c r="AQ26" s="261"/>
      <c r="AR26" s="261"/>
      <c r="AS26" s="261"/>
      <c r="AT26" s="26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7"/>
      <c r="C27" s="237"/>
      <c r="D27" s="238"/>
      <c r="E27" s="278"/>
      <c r="F27" s="279"/>
      <c r="G27" s="279"/>
      <c r="H27" s="279"/>
      <c r="I27" s="280"/>
      <c r="J27" s="304"/>
      <c r="K27" s="305"/>
      <c r="L27" s="305"/>
      <c r="M27" s="305"/>
      <c r="N27" s="305"/>
      <c r="O27" s="306"/>
      <c r="P27" s="304"/>
      <c r="Q27" s="305"/>
      <c r="R27" s="305"/>
      <c r="S27" s="305"/>
      <c r="T27" s="305"/>
      <c r="U27" s="306"/>
      <c r="V27" s="304"/>
      <c r="W27" s="305"/>
      <c r="X27" s="305"/>
      <c r="Y27" s="305"/>
      <c r="Z27" s="305"/>
      <c r="AA27" s="306"/>
      <c r="AB27" s="288"/>
      <c r="AC27" s="284"/>
      <c r="AD27" s="284"/>
      <c r="AE27" s="284"/>
      <c r="AF27" s="284"/>
      <c r="AG27" s="285"/>
      <c r="AH27" s="295"/>
      <c r="AI27" s="296"/>
      <c r="AJ27" s="296"/>
      <c r="AK27" s="296"/>
      <c r="AL27" s="296"/>
      <c r="AM27" s="297"/>
      <c r="AN27" s="83"/>
      <c r="AO27" s="260"/>
      <c r="AP27" s="261"/>
      <c r="AQ27" s="261"/>
      <c r="AR27" s="261"/>
      <c r="AS27" s="261"/>
      <c r="AT27" s="26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7"/>
      <c r="C28" s="237"/>
      <c r="D28" s="238"/>
      <c r="E28" s="278"/>
      <c r="F28" s="279"/>
      <c r="G28" s="279"/>
      <c r="H28" s="279"/>
      <c r="I28" s="280"/>
      <c r="J28" s="304" t="str">
        <f ca="1">IF(AND('Mapa final'!$H$64="Media",'Mapa final'!$L$64="Leve"),CONCATENATE("R",'Mapa final'!$A$64),"")</f>
        <v/>
      </c>
      <c r="K28" s="305"/>
      <c r="L28" s="305" t="str">
        <f>IF(AND('Mapa final'!$H$70="Media",'Mapa final'!$L$70="Leve"),CONCATENATE("R",'Mapa final'!$A$70),"")</f>
        <v/>
      </c>
      <c r="M28" s="305"/>
      <c r="N28" s="305" t="str">
        <f>IF(AND('Mapa final'!$H$76="Media",'Mapa final'!$L$76="Leve"),CONCATENATE("R",'Mapa final'!$A$76),"")</f>
        <v/>
      </c>
      <c r="O28" s="306"/>
      <c r="P28" s="304" t="str">
        <f ca="1">IF(AND('Mapa final'!$H$64="Media",'Mapa final'!$L$64="Menor"),CONCATENATE("R",'Mapa final'!$A$64),"")</f>
        <v/>
      </c>
      <c r="Q28" s="305"/>
      <c r="R28" s="305" t="str">
        <f>IF(AND('Mapa final'!$H$70="Media",'Mapa final'!$L$70="Menor"),CONCATENATE("R",'Mapa final'!$A$70),"")</f>
        <v/>
      </c>
      <c r="S28" s="305"/>
      <c r="T28" s="305" t="str">
        <f>IF(AND('Mapa final'!$H$76="Media",'Mapa final'!$L$76="Menor"),CONCATENATE("R",'Mapa final'!$A$76),"")</f>
        <v/>
      </c>
      <c r="U28" s="306"/>
      <c r="V28" s="304" t="str">
        <f ca="1">IF(AND('Mapa final'!$H$64="Media",'Mapa final'!$L$64="Moderado"),CONCATENATE("R",'Mapa final'!$A$64),"")</f>
        <v/>
      </c>
      <c r="W28" s="305"/>
      <c r="X28" s="305" t="str">
        <f>IF(AND('Mapa final'!$H$70="Media",'Mapa final'!$L$70="Moderado"),CONCATENATE("R",'Mapa final'!$A$70),"")</f>
        <v/>
      </c>
      <c r="Y28" s="305"/>
      <c r="Z28" s="305" t="str">
        <f>IF(AND('Mapa final'!$H$76="Media",'Mapa final'!$L$76="Moderado"),CONCATENATE("R",'Mapa final'!$A$76),"")</f>
        <v/>
      </c>
      <c r="AA28" s="306"/>
      <c r="AB28" s="288" t="str">
        <f ca="1">IF(AND('Mapa final'!$H$64="Media",'Mapa final'!$L$64="Mayor"),CONCATENATE("R",'Mapa final'!$A$64),"")</f>
        <v/>
      </c>
      <c r="AC28" s="284"/>
      <c r="AD28" s="284" t="str">
        <f>IF(AND('Mapa final'!$H$70="Media",'Mapa final'!$L$70="Mayor"),CONCATENATE("R",'Mapa final'!$A$70),"")</f>
        <v/>
      </c>
      <c r="AE28" s="284"/>
      <c r="AF28" s="284" t="str">
        <f>IF(AND('Mapa final'!$H$76="Media",'Mapa final'!$L$76="Mayor"),CONCATENATE("R",'Mapa final'!$A$76),"")</f>
        <v/>
      </c>
      <c r="AG28" s="285"/>
      <c r="AH28" s="295" t="str">
        <f ca="1">IF(AND('Mapa final'!$H$64="Media",'Mapa final'!$L$64="Catastrófico"),CONCATENATE("R",'Mapa final'!$A$64),"")</f>
        <v/>
      </c>
      <c r="AI28" s="296"/>
      <c r="AJ28" s="296" t="str">
        <f>IF(AND('Mapa final'!$H$70="Media",'Mapa final'!$L$70="Catastrófico"),CONCATENATE("R",'Mapa final'!$A$70),"")</f>
        <v/>
      </c>
      <c r="AK28" s="296"/>
      <c r="AL28" s="296" t="str">
        <f>IF(AND('Mapa final'!$H$76="Media",'Mapa final'!$L$76="Catastrófico"),CONCATENATE("R",'Mapa final'!$A$76),"")</f>
        <v/>
      </c>
      <c r="AM28" s="297"/>
      <c r="AN28" s="83"/>
      <c r="AO28" s="260"/>
      <c r="AP28" s="261"/>
      <c r="AQ28" s="261"/>
      <c r="AR28" s="261"/>
      <c r="AS28" s="261"/>
      <c r="AT28" s="26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7"/>
      <c r="C29" s="237"/>
      <c r="D29" s="238"/>
      <c r="E29" s="281"/>
      <c r="F29" s="282"/>
      <c r="G29" s="282"/>
      <c r="H29" s="282"/>
      <c r="I29" s="283"/>
      <c r="J29" s="304"/>
      <c r="K29" s="305"/>
      <c r="L29" s="305"/>
      <c r="M29" s="305"/>
      <c r="N29" s="305"/>
      <c r="O29" s="306"/>
      <c r="P29" s="307"/>
      <c r="Q29" s="308"/>
      <c r="R29" s="308"/>
      <c r="S29" s="308"/>
      <c r="T29" s="308"/>
      <c r="U29" s="309"/>
      <c r="V29" s="307"/>
      <c r="W29" s="308"/>
      <c r="X29" s="308"/>
      <c r="Y29" s="308"/>
      <c r="Z29" s="308"/>
      <c r="AA29" s="309"/>
      <c r="AB29" s="292"/>
      <c r="AC29" s="293"/>
      <c r="AD29" s="293"/>
      <c r="AE29" s="293"/>
      <c r="AF29" s="293"/>
      <c r="AG29" s="294"/>
      <c r="AH29" s="298"/>
      <c r="AI29" s="299"/>
      <c r="AJ29" s="299"/>
      <c r="AK29" s="299"/>
      <c r="AL29" s="299"/>
      <c r="AM29" s="300"/>
      <c r="AN29" s="83"/>
      <c r="AO29" s="263"/>
      <c r="AP29" s="264"/>
      <c r="AQ29" s="264"/>
      <c r="AR29" s="264"/>
      <c r="AS29" s="264"/>
      <c r="AT29" s="26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7"/>
      <c r="C30" s="237"/>
      <c r="D30" s="238"/>
      <c r="E30" s="275" t="s">
        <v>114</v>
      </c>
      <c r="F30" s="276"/>
      <c r="G30" s="276"/>
      <c r="H30" s="276"/>
      <c r="I30" s="276"/>
      <c r="J30" s="319" t="str">
        <f ca="1">IF(AND('Mapa final'!$H$10="Baja",'Mapa final'!$L$10="Leve"),CONCATENATE("R",'Mapa final'!$A$10),"")</f>
        <v/>
      </c>
      <c r="K30" s="320"/>
      <c r="L30" s="320" t="str">
        <f ca="1">IF(AND('Mapa final'!$H$16="Baja",'Mapa final'!$L$16="Leve"),CONCATENATE("R",'Mapa final'!$A$16),"")</f>
        <v/>
      </c>
      <c r="M30" s="320"/>
      <c r="N30" s="320" t="str">
        <f ca="1">IF(AND('Mapa final'!$H$22="Baja",'Mapa final'!$L$22="Leve"),CONCATENATE("R",'Mapa final'!$A$22),"")</f>
        <v/>
      </c>
      <c r="O30" s="321"/>
      <c r="P30" s="311" t="str">
        <f ca="1">IF(AND('Mapa final'!$H$10="Baja",'Mapa final'!$L$10="Menor"),CONCATENATE("R",'Mapa final'!$A$10),"")</f>
        <v/>
      </c>
      <c r="Q30" s="311"/>
      <c r="R30" s="311" t="str">
        <f ca="1">IF(AND('Mapa final'!$H$16="Baja",'Mapa final'!$L$16="Menor"),CONCATENATE("R",'Mapa final'!$A$16),"")</f>
        <v/>
      </c>
      <c r="S30" s="311"/>
      <c r="T30" s="311" t="str">
        <f ca="1">IF(AND('Mapa final'!$H$22="Baja",'Mapa final'!$L$22="Menor"),CONCATENATE("R",'Mapa final'!$A$22),"")</f>
        <v/>
      </c>
      <c r="U30" s="312"/>
      <c r="V30" s="310" t="str">
        <f ca="1">IF(AND('Mapa final'!$H$10="Baja",'Mapa final'!$L$10="Moderado"),CONCATENATE("R",'Mapa final'!$A$10),"")</f>
        <v/>
      </c>
      <c r="W30" s="311"/>
      <c r="X30" s="311" t="str">
        <f ca="1">IF(AND('Mapa final'!$H$16="Baja",'Mapa final'!$L$16="Moderado"),CONCATENATE("R",'Mapa final'!$A$16),"")</f>
        <v/>
      </c>
      <c r="Y30" s="311"/>
      <c r="Z30" s="311" t="str">
        <f ca="1">IF(AND('Mapa final'!$H$22="Baja",'Mapa final'!$L$22="Moderado"),CONCATENATE("R",'Mapa final'!$A$22),"")</f>
        <v/>
      </c>
      <c r="AA30" s="312"/>
      <c r="AB30" s="286" t="str">
        <f ca="1">IF(AND('Mapa final'!$H$10="Baja",'Mapa final'!$L$10="Mayor"),CONCATENATE("R",'Mapa final'!$A$10),"")</f>
        <v/>
      </c>
      <c r="AC30" s="287"/>
      <c r="AD30" s="287" t="str">
        <f ca="1">IF(AND('Mapa final'!$H$16="Baja",'Mapa final'!$L$16="Mayor"),CONCATENATE("R",'Mapa final'!$A$16),"")</f>
        <v/>
      </c>
      <c r="AE30" s="287"/>
      <c r="AF30" s="287" t="str">
        <f ca="1">IF(AND('Mapa final'!$H$22="Baja",'Mapa final'!$L$22="Mayor"),CONCATENATE("R",'Mapa final'!$A$22),"")</f>
        <v/>
      </c>
      <c r="AG30" s="289"/>
      <c r="AH30" s="301" t="str">
        <f ca="1">IF(AND('Mapa final'!$H$10="Baja",'Mapa final'!$L$10="Catastrófico"),CONCATENATE("R",'Mapa final'!$A$10),"")</f>
        <v/>
      </c>
      <c r="AI30" s="302"/>
      <c r="AJ30" s="302" t="str">
        <f ca="1">IF(AND('Mapa final'!$H$16="Baja",'Mapa final'!$L$16="Catastrófico"),CONCATENATE("R",'Mapa final'!$A$16),"")</f>
        <v/>
      </c>
      <c r="AK30" s="302"/>
      <c r="AL30" s="302" t="str">
        <f ca="1">IF(AND('Mapa final'!$H$22="Baja",'Mapa final'!$L$22="Catastrófico"),CONCATENATE("R",'Mapa final'!$A$22),"")</f>
        <v/>
      </c>
      <c r="AM30" s="303"/>
      <c r="AN30" s="83"/>
      <c r="AO30" s="266" t="s">
        <v>82</v>
      </c>
      <c r="AP30" s="267"/>
      <c r="AQ30" s="267"/>
      <c r="AR30" s="267"/>
      <c r="AS30" s="267"/>
      <c r="AT30" s="2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7"/>
      <c r="C31" s="237"/>
      <c r="D31" s="238"/>
      <c r="E31" s="278"/>
      <c r="F31" s="279"/>
      <c r="G31" s="279"/>
      <c r="H31" s="279"/>
      <c r="I31" s="279"/>
      <c r="J31" s="315"/>
      <c r="K31" s="313"/>
      <c r="L31" s="313"/>
      <c r="M31" s="313"/>
      <c r="N31" s="313"/>
      <c r="O31" s="314"/>
      <c r="P31" s="305"/>
      <c r="Q31" s="305"/>
      <c r="R31" s="305"/>
      <c r="S31" s="305"/>
      <c r="T31" s="305"/>
      <c r="U31" s="306"/>
      <c r="V31" s="304"/>
      <c r="W31" s="305"/>
      <c r="X31" s="305"/>
      <c r="Y31" s="305"/>
      <c r="Z31" s="305"/>
      <c r="AA31" s="306"/>
      <c r="AB31" s="288"/>
      <c r="AC31" s="284"/>
      <c r="AD31" s="284"/>
      <c r="AE31" s="284"/>
      <c r="AF31" s="284"/>
      <c r="AG31" s="285"/>
      <c r="AH31" s="295"/>
      <c r="AI31" s="296"/>
      <c r="AJ31" s="296"/>
      <c r="AK31" s="296"/>
      <c r="AL31" s="296"/>
      <c r="AM31" s="297"/>
      <c r="AN31" s="83"/>
      <c r="AO31" s="269"/>
      <c r="AP31" s="270"/>
      <c r="AQ31" s="270"/>
      <c r="AR31" s="270"/>
      <c r="AS31" s="270"/>
      <c r="AT31" s="27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7"/>
      <c r="C32" s="237"/>
      <c r="D32" s="238"/>
      <c r="E32" s="278"/>
      <c r="F32" s="279"/>
      <c r="G32" s="279"/>
      <c r="H32" s="279"/>
      <c r="I32" s="279"/>
      <c r="J32" s="315" t="str">
        <f ca="1">IF(AND('Mapa final'!$H$28="Baja",'Mapa final'!$L$28="Leve"),CONCATENATE("R",'Mapa final'!$A$28),"")</f>
        <v/>
      </c>
      <c r="K32" s="313"/>
      <c r="L32" s="313" t="str">
        <f ca="1">IF(AND('Mapa final'!$H$34="Baja",'Mapa final'!$L$34="Leve"),CONCATENATE("R",'Mapa final'!$A$34),"")</f>
        <v/>
      </c>
      <c r="M32" s="313"/>
      <c r="N32" s="313" t="str">
        <f ca="1">IF(AND('Mapa final'!$H$40="Baja",'Mapa final'!$L$40="Leve"),CONCATENATE("R",'Mapa final'!$A$40),"")</f>
        <v/>
      </c>
      <c r="O32" s="314"/>
      <c r="P32" s="305" t="str">
        <f ca="1">IF(AND('Mapa final'!$H$28="Baja",'Mapa final'!$L$28="Menor"),CONCATENATE("R",'Mapa final'!$A$28),"")</f>
        <v/>
      </c>
      <c r="Q32" s="305"/>
      <c r="R32" s="305" t="str">
        <f ca="1">IF(AND('Mapa final'!$H$34="Baja",'Mapa final'!$L$34="Menor"),CONCATENATE("R",'Mapa final'!$A$34),"")</f>
        <v/>
      </c>
      <c r="S32" s="305"/>
      <c r="T32" s="305" t="str">
        <f ca="1">IF(AND('Mapa final'!$H$40="Baja",'Mapa final'!$L$40="Menor"),CONCATENATE("R",'Mapa final'!$A$40),"")</f>
        <v/>
      </c>
      <c r="U32" s="306"/>
      <c r="V32" s="304" t="str">
        <f ca="1">IF(AND('Mapa final'!$H$28="Baja",'Mapa final'!$L$28="Moderado"),CONCATENATE("R",'Mapa final'!$A$28),"")</f>
        <v/>
      </c>
      <c r="W32" s="305"/>
      <c r="X32" s="305" t="str">
        <f ca="1">IF(AND('Mapa final'!$H$34="Baja",'Mapa final'!$L$34="Moderado"),CONCATENATE("R",'Mapa final'!$A$34),"")</f>
        <v>R5</v>
      </c>
      <c r="Y32" s="305"/>
      <c r="Z32" s="305" t="str">
        <f ca="1">IF(AND('Mapa final'!$H$40="Baja",'Mapa final'!$L$40="Moderado"),CONCATENATE("R",'Mapa final'!$A$40),"")</f>
        <v>R6</v>
      </c>
      <c r="AA32" s="306"/>
      <c r="AB32" s="288" t="str">
        <f ca="1">IF(AND('Mapa final'!$H$28="Baja",'Mapa final'!$L$28="Mayor"),CONCATENATE("R",'Mapa final'!$A$28),"")</f>
        <v/>
      </c>
      <c r="AC32" s="284"/>
      <c r="AD32" s="284" t="str">
        <f ca="1">IF(AND('Mapa final'!$H$34="Baja",'Mapa final'!$L$34="Mayor"),CONCATENATE("R",'Mapa final'!$A$34),"")</f>
        <v/>
      </c>
      <c r="AE32" s="284"/>
      <c r="AF32" s="284" t="str">
        <f ca="1">IF(AND('Mapa final'!$H$40="Baja",'Mapa final'!$L$40="Mayor"),CONCATENATE("R",'Mapa final'!$A$40),"")</f>
        <v/>
      </c>
      <c r="AG32" s="285"/>
      <c r="AH32" s="295" t="str">
        <f ca="1">IF(AND('Mapa final'!$H$28="Baja",'Mapa final'!$L$28="Catastrófico"),CONCATENATE("R",'Mapa final'!$A$28),"")</f>
        <v/>
      </c>
      <c r="AI32" s="296"/>
      <c r="AJ32" s="296" t="str">
        <f ca="1">IF(AND('Mapa final'!$H$34="Baja",'Mapa final'!$L$34="Catastrófico"),CONCATENATE("R",'Mapa final'!$A$34),"")</f>
        <v/>
      </c>
      <c r="AK32" s="296"/>
      <c r="AL32" s="296" t="str">
        <f ca="1">IF(AND('Mapa final'!$H$40="Baja",'Mapa final'!$L$40="Catastrófico"),CONCATENATE("R",'Mapa final'!$A$40),"")</f>
        <v/>
      </c>
      <c r="AM32" s="297"/>
      <c r="AN32" s="83"/>
      <c r="AO32" s="269"/>
      <c r="AP32" s="270"/>
      <c r="AQ32" s="270"/>
      <c r="AR32" s="270"/>
      <c r="AS32" s="270"/>
      <c r="AT32" s="27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7"/>
      <c r="C33" s="237"/>
      <c r="D33" s="238"/>
      <c r="E33" s="278"/>
      <c r="F33" s="279"/>
      <c r="G33" s="279"/>
      <c r="H33" s="279"/>
      <c r="I33" s="279"/>
      <c r="J33" s="315"/>
      <c r="K33" s="313"/>
      <c r="L33" s="313"/>
      <c r="M33" s="313"/>
      <c r="N33" s="313"/>
      <c r="O33" s="314"/>
      <c r="P33" s="305"/>
      <c r="Q33" s="305"/>
      <c r="R33" s="305"/>
      <c r="S33" s="305"/>
      <c r="T33" s="305"/>
      <c r="U33" s="306"/>
      <c r="V33" s="304"/>
      <c r="W33" s="305"/>
      <c r="X33" s="305"/>
      <c r="Y33" s="305"/>
      <c r="Z33" s="305"/>
      <c r="AA33" s="306"/>
      <c r="AB33" s="288"/>
      <c r="AC33" s="284"/>
      <c r="AD33" s="284"/>
      <c r="AE33" s="284"/>
      <c r="AF33" s="284"/>
      <c r="AG33" s="285"/>
      <c r="AH33" s="295"/>
      <c r="AI33" s="296"/>
      <c r="AJ33" s="296"/>
      <c r="AK33" s="296"/>
      <c r="AL33" s="296"/>
      <c r="AM33" s="297"/>
      <c r="AN33" s="83"/>
      <c r="AO33" s="269"/>
      <c r="AP33" s="270"/>
      <c r="AQ33" s="270"/>
      <c r="AR33" s="270"/>
      <c r="AS33" s="270"/>
      <c r="AT33" s="27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7"/>
      <c r="C34" s="237"/>
      <c r="D34" s="238"/>
      <c r="E34" s="278"/>
      <c r="F34" s="279"/>
      <c r="G34" s="279"/>
      <c r="H34" s="279"/>
      <c r="I34" s="279"/>
      <c r="J34" s="315" t="str">
        <f ca="1">IF(AND('Mapa final'!$H$46="Baja",'Mapa final'!$L$46="Leve"),CONCATENATE("R",'Mapa final'!$A$46),"")</f>
        <v/>
      </c>
      <c r="K34" s="313"/>
      <c r="L34" s="313" t="str">
        <f ca="1">IF(AND('Mapa final'!$H$52="Baja",'Mapa final'!$L$52="Leve"),CONCATENATE("R",'Mapa final'!$A$52),"")</f>
        <v/>
      </c>
      <c r="M34" s="313"/>
      <c r="N34" s="313" t="str">
        <f ca="1">IF(AND('Mapa final'!$H$58="Baja",'Mapa final'!$L$58="Leve"),CONCATENATE("R",'Mapa final'!$A$58),"")</f>
        <v/>
      </c>
      <c r="O34" s="314"/>
      <c r="P34" s="305" t="str">
        <f ca="1">IF(AND('Mapa final'!$H$46="Baja",'Mapa final'!$L$46="Menor"),CONCATENATE("R",'Mapa final'!$A$46),"")</f>
        <v/>
      </c>
      <c r="Q34" s="305"/>
      <c r="R34" s="305" t="str">
        <f ca="1">IF(AND('Mapa final'!$H$52="Baja",'Mapa final'!$L$52="Menor"),CONCATENATE("R",'Mapa final'!$A$52),"")</f>
        <v/>
      </c>
      <c r="S34" s="305"/>
      <c r="T34" s="305" t="str">
        <f ca="1">IF(AND('Mapa final'!$H$58="Baja",'Mapa final'!$L$58="Menor"),CONCATENATE("R",'Mapa final'!$A$58),"")</f>
        <v/>
      </c>
      <c r="U34" s="306"/>
      <c r="V34" s="304" t="str">
        <f ca="1">IF(AND('Mapa final'!$H$46="Baja",'Mapa final'!$L$46="Moderado"),CONCATENATE("R",'Mapa final'!$A$46),"")</f>
        <v>R7</v>
      </c>
      <c r="W34" s="305"/>
      <c r="X34" s="305" t="str">
        <f ca="1">IF(AND('Mapa final'!$H$52="Baja",'Mapa final'!$L$52="Moderado"),CONCATENATE("R",'Mapa final'!$A$52),"")</f>
        <v/>
      </c>
      <c r="Y34" s="305"/>
      <c r="Z34" s="305" t="str">
        <f ca="1">IF(AND('Mapa final'!$H$58="Baja",'Mapa final'!$L$58="Moderado"),CONCATENATE("R",'Mapa final'!$A$58),"")</f>
        <v/>
      </c>
      <c r="AA34" s="306"/>
      <c r="AB34" s="288" t="str">
        <f ca="1">IF(AND('Mapa final'!$H$46="Baja",'Mapa final'!$L$46="Mayor"),CONCATENATE("R",'Mapa final'!$A$46),"")</f>
        <v/>
      </c>
      <c r="AC34" s="284"/>
      <c r="AD34" s="284" t="str">
        <f ca="1">IF(AND('Mapa final'!$H$52="Baja",'Mapa final'!$L$52="Mayor"),CONCATENATE("R",'Mapa final'!$A$52),"")</f>
        <v/>
      </c>
      <c r="AE34" s="284"/>
      <c r="AF34" s="284" t="str">
        <f ca="1">IF(AND('Mapa final'!$H$58="Baja",'Mapa final'!$L$58="Mayor"),CONCATENATE("R",'Mapa final'!$A$58),"")</f>
        <v/>
      </c>
      <c r="AG34" s="285"/>
      <c r="AH34" s="295" t="str">
        <f ca="1">IF(AND('Mapa final'!$H$46="Baja",'Mapa final'!$L$46="Catastrófico"),CONCATENATE("R",'Mapa final'!$A$46),"")</f>
        <v/>
      </c>
      <c r="AI34" s="296"/>
      <c r="AJ34" s="296" t="str">
        <f ca="1">IF(AND('Mapa final'!$H$52="Baja",'Mapa final'!$L$52="Catastrófico"),CONCATENATE("R",'Mapa final'!$A$52),"")</f>
        <v/>
      </c>
      <c r="AK34" s="296"/>
      <c r="AL34" s="296" t="str">
        <f ca="1">IF(AND('Mapa final'!$H$58="Baja",'Mapa final'!$L$58="Catastrófico"),CONCATENATE("R",'Mapa final'!$A$58),"")</f>
        <v/>
      </c>
      <c r="AM34" s="297"/>
      <c r="AN34" s="83"/>
      <c r="AO34" s="269"/>
      <c r="AP34" s="270"/>
      <c r="AQ34" s="270"/>
      <c r="AR34" s="270"/>
      <c r="AS34" s="270"/>
      <c r="AT34" s="27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7"/>
      <c r="C35" s="237"/>
      <c r="D35" s="238"/>
      <c r="E35" s="278"/>
      <c r="F35" s="279"/>
      <c r="G35" s="279"/>
      <c r="H35" s="279"/>
      <c r="I35" s="279"/>
      <c r="J35" s="315"/>
      <c r="K35" s="313"/>
      <c r="L35" s="313"/>
      <c r="M35" s="313"/>
      <c r="N35" s="313"/>
      <c r="O35" s="314"/>
      <c r="P35" s="305"/>
      <c r="Q35" s="305"/>
      <c r="R35" s="305"/>
      <c r="S35" s="305"/>
      <c r="T35" s="305"/>
      <c r="U35" s="306"/>
      <c r="V35" s="304"/>
      <c r="W35" s="305"/>
      <c r="X35" s="305"/>
      <c r="Y35" s="305"/>
      <c r="Z35" s="305"/>
      <c r="AA35" s="306"/>
      <c r="AB35" s="288"/>
      <c r="AC35" s="284"/>
      <c r="AD35" s="284"/>
      <c r="AE35" s="284"/>
      <c r="AF35" s="284"/>
      <c r="AG35" s="285"/>
      <c r="AH35" s="295"/>
      <c r="AI35" s="296"/>
      <c r="AJ35" s="296"/>
      <c r="AK35" s="296"/>
      <c r="AL35" s="296"/>
      <c r="AM35" s="297"/>
      <c r="AN35" s="83"/>
      <c r="AO35" s="269"/>
      <c r="AP35" s="270"/>
      <c r="AQ35" s="270"/>
      <c r="AR35" s="270"/>
      <c r="AS35" s="270"/>
      <c r="AT35" s="2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7"/>
      <c r="C36" s="237"/>
      <c r="D36" s="238"/>
      <c r="E36" s="278"/>
      <c r="F36" s="279"/>
      <c r="G36" s="279"/>
      <c r="H36" s="279"/>
      <c r="I36" s="279"/>
      <c r="J36" s="315" t="str">
        <f ca="1">IF(AND('Mapa final'!$H$64="Baja",'Mapa final'!$L$64="Leve"),CONCATENATE("R",'Mapa final'!$A$64),"")</f>
        <v/>
      </c>
      <c r="K36" s="313"/>
      <c r="L36" s="313" t="str">
        <f>IF(AND('Mapa final'!$H$70="Baja",'Mapa final'!$L$70="Leve"),CONCATENATE("R",'Mapa final'!$A$70),"")</f>
        <v/>
      </c>
      <c r="M36" s="313"/>
      <c r="N36" s="313" t="str">
        <f>IF(AND('Mapa final'!$H$76="Baja",'Mapa final'!$L$76="Leve"),CONCATENATE("R",'Mapa final'!$A$76),"")</f>
        <v/>
      </c>
      <c r="O36" s="314"/>
      <c r="P36" s="305" t="str">
        <f ca="1">IF(AND('Mapa final'!$H$64="Baja",'Mapa final'!$L$64="Menor"),CONCATENATE("R",'Mapa final'!$A$64),"")</f>
        <v/>
      </c>
      <c r="Q36" s="305"/>
      <c r="R36" s="305" t="str">
        <f>IF(AND('Mapa final'!$H$70="Baja",'Mapa final'!$L$70="Menor"),CONCATENATE("R",'Mapa final'!$A$70),"")</f>
        <v/>
      </c>
      <c r="S36" s="305"/>
      <c r="T36" s="305" t="str">
        <f>IF(AND('Mapa final'!$H$76="Baja",'Mapa final'!$L$76="Menor"),CONCATENATE("R",'Mapa final'!$A$76),"")</f>
        <v/>
      </c>
      <c r="U36" s="306"/>
      <c r="V36" s="304" t="str">
        <f ca="1">IF(AND('Mapa final'!$H$64="Baja",'Mapa final'!$L$64="Moderado"),CONCATENATE("R",'Mapa final'!$A$64),"")</f>
        <v>R10</v>
      </c>
      <c r="W36" s="305"/>
      <c r="X36" s="305" t="str">
        <f>IF(AND('Mapa final'!$H$70="Baja",'Mapa final'!$L$70="Moderado"),CONCATENATE("R",'Mapa final'!$A$70),"")</f>
        <v/>
      </c>
      <c r="Y36" s="305"/>
      <c r="Z36" s="305" t="str">
        <f>IF(AND('Mapa final'!$H$76="Baja",'Mapa final'!$L$76="Moderado"),CONCATENATE("R",'Mapa final'!$A$76),"")</f>
        <v/>
      </c>
      <c r="AA36" s="306"/>
      <c r="AB36" s="288" t="str">
        <f ca="1">IF(AND('Mapa final'!$H$64="Baja",'Mapa final'!$L$64="Mayor"),CONCATENATE("R",'Mapa final'!$A$64),"")</f>
        <v/>
      </c>
      <c r="AC36" s="284"/>
      <c r="AD36" s="284" t="str">
        <f>IF(AND('Mapa final'!$H$70="Baja",'Mapa final'!$L$70="Mayor"),CONCATENATE("R",'Mapa final'!$A$70),"")</f>
        <v/>
      </c>
      <c r="AE36" s="284"/>
      <c r="AF36" s="284" t="str">
        <f>IF(AND('Mapa final'!$H$76="Baja",'Mapa final'!$L$76="Mayor"),CONCATENATE("R",'Mapa final'!$A$76),"")</f>
        <v/>
      </c>
      <c r="AG36" s="285"/>
      <c r="AH36" s="295" t="str">
        <f ca="1">IF(AND('Mapa final'!$H$64="Baja",'Mapa final'!$L$64="Catastrófico"),CONCATENATE("R",'Mapa final'!$A$64),"")</f>
        <v/>
      </c>
      <c r="AI36" s="296"/>
      <c r="AJ36" s="296" t="str">
        <f>IF(AND('Mapa final'!$H$70="Baja",'Mapa final'!$L$70="Catastrófico"),CONCATENATE("R",'Mapa final'!$A$70),"")</f>
        <v/>
      </c>
      <c r="AK36" s="296"/>
      <c r="AL36" s="296" t="str">
        <f>IF(AND('Mapa final'!$H$76="Baja",'Mapa final'!$L$76="Catastrófico"),CONCATENATE("R",'Mapa final'!$A$76),"")</f>
        <v/>
      </c>
      <c r="AM36" s="297"/>
      <c r="AN36" s="83"/>
      <c r="AO36" s="269"/>
      <c r="AP36" s="270"/>
      <c r="AQ36" s="270"/>
      <c r="AR36" s="270"/>
      <c r="AS36" s="270"/>
      <c r="AT36" s="27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7"/>
      <c r="C37" s="237"/>
      <c r="D37" s="238"/>
      <c r="E37" s="281"/>
      <c r="F37" s="282"/>
      <c r="G37" s="282"/>
      <c r="H37" s="282"/>
      <c r="I37" s="282"/>
      <c r="J37" s="316"/>
      <c r="K37" s="317"/>
      <c r="L37" s="317"/>
      <c r="M37" s="317"/>
      <c r="N37" s="317"/>
      <c r="O37" s="318"/>
      <c r="P37" s="308"/>
      <c r="Q37" s="308"/>
      <c r="R37" s="308"/>
      <c r="S37" s="308"/>
      <c r="T37" s="308"/>
      <c r="U37" s="309"/>
      <c r="V37" s="307"/>
      <c r="W37" s="308"/>
      <c r="X37" s="308"/>
      <c r="Y37" s="308"/>
      <c r="Z37" s="308"/>
      <c r="AA37" s="309"/>
      <c r="AB37" s="292"/>
      <c r="AC37" s="293"/>
      <c r="AD37" s="293"/>
      <c r="AE37" s="293"/>
      <c r="AF37" s="293"/>
      <c r="AG37" s="294"/>
      <c r="AH37" s="298"/>
      <c r="AI37" s="299"/>
      <c r="AJ37" s="299"/>
      <c r="AK37" s="299"/>
      <c r="AL37" s="299"/>
      <c r="AM37" s="300"/>
      <c r="AN37" s="83"/>
      <c r="AO37" s="272"/>
      <c r="AP37" s="273"/>
      <c r="AQ37" s="273"/>
      <c r="AR37" s="273"/>
      <c r="AS37" s="273"/>
      <c r="AT37" s="27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7"/>
      <c r="C38" s="237"/>
      <c r="D38" s="238"/>
      <c r="E38" s="275" t="s">
        <v>113</v>
      </c>
      <c r="F38" s="276"/>
      <c r="G38" s="276"/>
      <c r="H38" s="276"/>
      <c r="I38" s="277"/>
      <c r="J38" s="319" t="str">
        <f ca="1">IF(AND('Mapa final'!$H$10="Muy Baja",'Mapa final'!$L$10="Leve"),CONCATENATE("R",'Mapa final'!$A$10),"")</f>
        <v/>
      </c>
      <c r="K38" s="320"/>
      <c r="L38" s="320" t="str">
        <f ca="1">IF(AND('Mapa final'!$H$16="Muy Baja",'Mapa final'!$L$16="Leve"),CONCATENATE("R",'Mapa final'!$A$16),"")</f>
        <v/>
      </c>
      <c r="M38" s="320"/>
      <c r="N38" s="320" t="str">
        <f ca="1">IF(AND('Mapa final'!$H$22="Muy Baja",'Mapa final'!$L$22="Leve"),CONCATENATE("R",'Mapa final'!$A$22),"")</f>
        <v/>
      </c>
      <c r="O38" s="321"/>
      <c r="P38" s="319" t="str">
        <f ca="1">IF(AND('Mapa final'!$H$10="Muy Baja",'Mapa final'!$L$10="Menor"),CONCATENATE("R",'Mapa final'!$A$10),"")</f>
        <v/>
      </c>
      <c r="Q38" s="320"/>
      <c r="R38" s="320" t="str">
        <f ca="1">IF(AND('Mapa final'!$H$16="Muy Baja",'Mapa final'!$L$16="Menor"),CONCATENATE("R",'Mapa final'!$A$16),"")</f>
        <v/>
      </c>
      <c r="S38" s="320"/>
      <c r="T38" s="320" t="str">
        <f ca="1">IF(AND('Mapa final'!$H$22="Muy Baja",'Mapa final'!$L$22="Menor"),CONCATENATE("R",'Mapa final'!$A$22),"")</f>
        <v/>
      </c>
      <c r="U38" s="321"/>
      <c r="V38" s="310" t="str">
        <f ca="1">IF(AND('Mapa final'!$H$10="Muy Baja",'Mapa final'!$L$10="Moderado"),CONCATENATE("R",'Mapa final'!$A$10),"")</f>
        <v/>
      </c>
      <c r="W38" s="311"/>
      <c r="X38" s="311" t="str">
        <f ca="1">IF(AND('Mapa final'!$H$16="Muy Baja",'Mapa final'!$L$16="Moderado"),CONCATENATE("R",'Mapa final'!$A$16),"")</f>
        <v/>
      </c>
      <c r="Y38" s="311"/>
      <c r="Z38" s="311" t="str">
        <f ca="1">IF(AND('Mapa final'!$H$22="Muy Baja",'Mapa final'!$L$22="Moderado"),CONCATENATE("R",'Mapa final'!$A$22),"")</f>
        <v/>
      </c>
      <c r="AA38" s="312"/>
      <c r="AB38" s="286" t="str">
        <f ca="1">IF(AND('Mapa final'!$H$10="Muy Baja",'Mapa final'!$L$10="Mayor"),CONCATENATE("R",'Mapa final'!$A$10),"")</f>
        <v/>
      </c>
      <c r="AC38" s="287"/>
      <c r="AD38" s="287" t="str">
        <f ca="1">IF(AND('Mapa final'!$H$16="Muy Baja",'Mapa final'!$L$16="Mayor"),CONCATENATE("R",'Mapa final'!$A$16),"")</f>
        <v/>
      </c>
      <c r="AE38" s="287"/>
      <c r="AF38" s="287" t="str">
        <f ca="1">IF(AND('Mapa final'!$H$22="Muy Baja",'Mapa final'!$L$22="Mayor"),CONCATENATE("R",'Mapa final'!$A$22),"")</f>
        <v/>
      </c>
      <c r="AG38" s="289"/>
      <c r="AH38" s="301" t="str">
        <f ca="1">IF(AND('Mapa final'!$H$10="Muy Baja",'Mapa final'!$L$10="Catastrófico"),CONCATENATE("R",'Mapa final'!$A$10),"")</f>
        <v/>
      </c>
      <c r="AI38" s="302"/>
      <c r="AJ38" s="302" t="str">
        <f ca="1">IF(AND('Mapa final'!$H$16="Muy Baja",'Mapa final'!$L$16="Catastrófico"),CONCATENATE("R",'Mapa final'!$A$16),"")</f>
        <v/>
      </c>
      <c r="AK38" s="302"/>
      <c r="AL38" s="302" t="str">
        <f ca="1">IF(AND('Mapa final'!$H$22="Muy Baja",'Mapa final'!$L$22="Catastrófico"),CONCATENATE("R",'Mapa final'!$A$22),"")</f>
        <v/>
      </c>
      <c r="AM38" s="30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7"/>
      <c r="C39" s="237"/>
      <c r="D39" s="238"/>
      <c r="E39" s="278"/>
      <c r="F39" s="279"/>
      <c r="G39" s="279"/>
      <c r="H39" s="279"/>
      <c r="I39" s="280"/>
      <c r="J39" s="315"/>
      <c r="K39" s="313"/>
      <c r="L39" s="313"/>
      <c r="M39" s="313"/>
      <c r="N39" s="313"/>
      <c r="O39" s="314"/>
      <c r="P39" s="315"/>
      <c r="Q39" s="313"/>
      <c r="R39" s="313"/>
      <c r="S39" s="313"/>
      <c r="T39" s="313"/>
      <c r="U39" s="314"/>
      <c r="V39" s="304"/>
      <c r="W39" s="305"/>
      <c r="X39" s="305"/>
      <c r="Y39" s="305"/>
      <c r="Z39" s="305"/>
      <c r="AA39" s="306"/>
      <c r="AB39" s="288"/>
      <c r="AC39" s="284"/>
      <c r="AD39" s="284"/>
      <c r="AE39" s="284"/>
      <c r="AF39" s="284"/>
      <c r="AG39" s="285"/>
      <c r="AH39" s="295"/>
      <c r="AI39" s="296"/>
      <c r="AJ39" s="296"/>
      <c r="AK39" s="296"/>
      <c r="AL39" s="296"/>
      <c r="AM39" s="29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7"/>
      <c r="C40" s="237"/>
      <c r="D40" s="238"/>
      <c r="E40" s="278"/>
      <c r="F40" s="279"/>
      <c r="G40" s="279"/>
      <c r="H40" s="279"/>
      <c r="I40" s="280"/>
      <c r="J40" s="315" t="str">
        <f ca="1">IF(AND('Mapa final'!$H$28="Muy Baja",'Mapa final'!$L$28="Leve"),CONCATENATE("R",'Mapa final'!$A$28),"")</f>
        <v/>
      </c>
      <c r="K40" s="313"/>
      <c r="L40" s="313" t="str">
        <f ca="1">IF(AND('Mapa final'!$H$34="Muy Baja",'Mapa final'!$L$34="Leve"),CONCATENATE("R",'Mapa final'!$A$34),"")</f>
        <v/>
      </c>
      <c r="M40" s="313"/>
      <c r="N40" s="313" t="str">
        <f ca="1">IF(AND('Mapa final'!$H$40="Muy Baja",'Mapa final'!$L$40="Leve"),CONCATENATE("R",'Mapa final'!$A$40),"")</f>
        <v/>
      </c>
      <c r="O40" s="314"/>
      <c r="P40" s="315" t="str">
        <f ca="1">IF(AND('Mapa final'!$H$28="Muy Baja",'Mapa final'!$L$28="Menor"),CONCATENATE("R",'Mapa final'!$A$28),"")</f>
        <v/>
      </c>
      <c r="Q40" s="313"/>
      <c r="R40" s="313" t="str">
        <f ca="1">IF(AND('Mapa final'!$H$34="Muy Baja",'Mapa final'!$L$34="Menor"),CONCATENATE("R",'Mapa final'!$A$34),"")</f>
        <v/>
      </c>
      <c r="S40" s="313"/>
      <c r="T40" s="313" t="str">
        <f ca="1">IF(AND('Mapa final'!$H$40="Muy Baja",'Mapa final'!$L$40="Menor"),CONCATENATE("R",'Mapa final'!$A$40),"")</f>
        <v/>
      </c>
      <c r="U40" s="314"/>
      <c r="V40" s="304" t="str">
        <f ca="1">IF(AND('Mapa final'!$H$28="Muy Baja",'Mapa final'!$L$28="Moderado"),CONCATENATE("R",'Mapa final'!$A$28),"")</f>
        <v/>
      </c>
      <c r="W40" s="305"/>
      <c r="X40" s="305" t="str">
        <f ca="1">IF(AND('Mapa final'!$H$34="Muy Baja",'Mapa final'!$L$34="Moderado"),CONCATENATE("R",'Mapa final'!$A$34),"")</f>
        <v/>
      </c>
      <c r="Y40" s="305"/>
      <c r="Z40" s="305" t="str">
        <f ca="1">IF(AND('Mapa final'!$H$40="Muy Baja",'Mapa final'!$L$40="Moderado"),CONCATENATE("R",'Mapa final'!$A$40),"")</f>
        <v/>
      </c>
      <c r="AA40" s="306"/>
      <c r="AB40" s="288" t="str">
        <f ca="1">IF(AND('Mapa final'!$H$28="Muy Baja",'Mapa final'!$L$28="Mayor"),CONCATENATE("R",'Mapa final'!$A$28),"")</f>
        <v/>
      </c>
      <c r="AC40" s="284"/>
      <c r="AD40" s="284" t="str">
        <f ca="1">IF(AND('Mapa final'!$H$34="Muy Baja",'Mapa final'!$L$34="Mayor"),CONCATENATE("R",'Mapa final'!$A$34),"")</f>
        <v/>
      </c>
      <c r="AE40" s="284"/>
      <c r="AF40" s="284" t="str">
        <f ca="1">IF(AND('Mapa final'!$H$40="Muy Baja",'Mapa final'!$L$40="Mayor"),CONCATENATE("R",'Mapa final'!$A$40),"")</f>
        <v/>
      </c>
      <c r="AG40" s="285"/>
      <c r="AH40" s="295" t="str">
        <f ca="1">IF(AND('Mapa final'!$H$28="Muy Baja",'Mapa final'!$L$28="Catastrófico"),CONCATENATE("R",'Mapa final'!$A$28),"")</f>
        <v/>
      </c>
      <c r="AI40" s="296"/>
      <c r="AJ40" s="296" t="str">
        <f ca="1">IF(AND('Mapa final'!$H$34="Muy Baja",'Mapa final'!$L$34="Catastrófico"),CONCATENATE("R",'Mapa final'!$A$34),"")</f>
        <v/>
      </c>
      <c r="AK40" s="296"/>
      <c r="AL40" s="296" t="str">
        <f ca="1">IF(AND('Mapa final'!$H$40="Muy Baja",'Mapa final'!$L$40="Catastrófico"),CONCATENATE("R",'Mapa final'!$A$40),"")</f>
        <v/>
      </c>
      <c r="AM40" s="29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7"/>
      <c r="C41" s="237"/>
      <c r="D41" s="238"/>
      <c r="E41" s="278"/>
      <c r="F41" s="279"/>
      <c r="G41" s="279"/>
      <c r="H41" s="279"/>
      <c r="I41" s="280"/>
      <c r="J41" s="315"/>
      <c r="K41" s="313"/>
      <c r="L41" s="313"/>
      <c r="M41" s="313"/>
      <c r="N41" s="313"/>
      <c r="O41" s="314"/>
      <c r="P41" s="315"/>
      <c r="Q41" s="313"/>
      <c r="R41" s="313"/>
      <c r="S41" s="313"/>
      <c r="T41" s="313"/>
      <c r="U41" s="314"/>
      <c r="V41" s="304"/>
      <c r="W41" s="305"/>
      <c r="X41" s="305"/>
      <c r="Y41" s="305"/>
      <c r="Z41" s="305"/>
      <c r="AA41" s="306"/>
      <c r="AB41" s="288"/>
      <c r="AC41" s="284"/>
      <c r="AD41" s="284"/>
      <c r="AE41" s="284"/>
      <c r="AF41" s="284"/>
      <c r="AG41" s="285"/>
      <c r="AH41" s="295"/>
      <c r="AI41" s="296"/>
      <c r="AJ41" s="296"/>
      <c r="AK41" s="296"/>
      <c r="AL41" s="296"/>
      <c r="AM41" s="29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7"/>
      <c r="C42" s="237"/>
      <c r="D42" s="238"/>
      <c r="E42" s="278"/>
      <c r="F42" s="279"/>
      <c r="G42" s="279"/>
      <c r="H42" s="279"/>
      <c r="I42" s="280"/>
      <c r="J42" s="315" t="str">
        <f ca="1">IF(AND('Mapa final'!$H$46="Muy Baja",'Mapa final'!$L$46="Leve"),CONCATENATE("R",'Mapa final'!$A$46),"")</f>
        <v/>
      </c>
      <c r="K42" s="313"/>
      <c r="L42" s="313" t="str">
        <f ca="1">IF(AND('Mapa final'!$H$52="Muy Baja",'Mapa final'!$L$52="Leve"),CONCATENATE("R",'Mapa final'!$A$52),"")</f>
        <v/>
      </c>
      <c r="M42" s="313"/>
      <c r="N42" s="313" t="str">
        <f ca="1">IF(AND('Mapa final'!$H$58="Muy Baja",'Mapa final'!$L$58="Leve"),CONCATENATE("R",'Mapa final'!$A$58),"")</f>
        <v/>
      </c>
      <c r="O42" s="314"/>
      <c r="P42" s="315" t="str">
        <f ca="1">IF(AND('Mapa final'!$H$46="Muy Baja",'Mapa final'!$L$46="Menor"),CONCATENATE("R",'Mapa final'!$A$46),"")</f>
        <v/>
      </c>
      <c r="Q42" s="313"/>
      <c r="R42" s="313" t="str">
        <f ca="1">IF(AND('Mapa final'!$H$52="Muy Baja",'Mapa final'!$L$52="Menor"),CONCATENATE("R",'Mapa final'!$A$52),"")</f>
        <v/>
      </c>
      <c r="S42" s="313"/>
      <c r="T42" s="313" t="str">
        <f ca="1">IF(AND('Mapa final'!$H$58="Muy Baja",'Mapa final'!$L$58="Menor"),CONCATENATE("R",'Mapa final'!$A$58),"")</f>
        <v/>
      </c>
      <c r="U42" s="314"/>
      <c r="V42" s="304" t="str">
        <f ca="1">IF(AND('Mapa final'!$H$46="Muy Baja",'Mapa final'!$L$46="Moderado"),CONCATENATE("R",'Mapa final'!$A$46),"")</f>
        <v/>
      </c>
      <c r="W42" s="305"/>
      <c r="X42" s="305" t="str">
        <f ca="1">IF(AND('Mapa final'!$H$52="Muy Baja",'Mapa final'!$L$52="Moderado"),CONCATENATE("R",'Mapa final'!$A$52),"")</f>
        <v/>
      </c>
      <c r="Y42" s="305"/>
      <c r="Z42" s="305" t="str">
        <f ca="1">IF(AND('Mapa final'!$H$58="Muy Baja",'Mapa final'!$L$58="Moderado"),CONCATENATE("R",'Mapa final'!$A$58),"")</f>
        <v/>
      </c>
      <c r="AA42" s="306"/>
      <c r="AB42" s="288" t="str">
        <f ca="1">IF(AND('Mapa final'!$H$46="Muy Baja",'Mapa final'!$L$46="Mayor"),CONCATENATE("R",'Mapa final'!$A$46),"")</f>
        <v/>
      </c>
      <c r="AC42" s="284"/>
      <c r="AD42" s="284" t="str">
        <f ca="1">IF(AND('Mapa final'!$H$52="Muy Baja",'Mapa final'!$L$52="Mayor"),CONCATENATE("R",'Mapa final'!$A$52),"")</f>
        <v/>
      </c>
      <c r="AE42" s="284"/>
      <c r="AF42" s="284" t="str">
        <f ca="1">IF(AND('Mapa final'!$H$58="Muy Baja",'Mapa final'!$L$58="Mayor"),CONCATENATE("R",'Mapa final'!$A$58),"")</f>
        <v/>
      </c>
      <c r="AG42" s="285"/>
      <c r="AH42" s="295" t="str">
        <f ca="1">IF(AND('Mapa final'!$H$46="Muy Baja",'Mapa final'!$L$46="Catastrófico"),CONCATENATE("R",'Mapa final'!$A$46),"")</f>
        <v/>
      </c>
      <c r="AI42" s="296"/>
      <c r="AJ42" s="296" t="str">
        <f ca="1">IF(AND('Mapa final'!$H$52="Muy Baja",'Mapa final'!$L$52="Catastrófico"),CONCATENATE("R",'Mapa final'!$A$52),"")</f>
        <v/>
      </c>
      <c r="AK42" s="296"/>
      <c r="AL42" s="296" t="str">
        <f ca="1">IF(AND('Mapa final'!$H$58="Muy Baja",'Mapa final'!$L$58="Catastrófico"),CONCATENATE("R",'Mapa final'!$A$58),"")</f>
        <v/>
      </c>
      <c r="AM42" s="29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7"/>
      <c r="C43" s="237"/>
      <c r="D43" s="238"/>
      <c r="E43" s="278"/>
      <c r="F43" s="279"/>
      <c r="G43" s="279"/>
      <c r="H43" s="279"/>
      <c r="I43" s="280"/>
      <c r="J43" s="315"/>
      <c r="K43" s="313"/>
      <c r="L43" s="313"/>
      <c r="M43" s="313"/>
      <c r="N43" s="313"/>
      <c r="O43" s="314"/>
      <c r="P43" s="315"/>
      <c r="Q43" s="313"/>
      <c r="R43" s="313"/>
      <c r="S43" s="313"/>
      <c r="T43" s="313"/>
      <c r="U43" s="314"/>
      <c r="V43" s="304"/>
      <c r="W43" s="305"/>
      <c r="X43" s="305"/>
      <c r="Y43" s="305"/>
      <c r="Z43" s="305"/>
      <c r="AA43" s="306"/>
      <c r="AB43" s="288"/>
      <c r="AC43" s="284"/>
      <c r="AD43" s="284"/>
      <c r="AE43" s="284"/>
      <c r="AF43" s="284"/>
      <c r="AG43" s="285"/>
      <c r="AH43" s="295"/>
      <c r="AI43" s="296"/>
      <c r="AJ43" s="296"/>
      <c r="AK43" s="296"/>
      <c r="AL43" s="296"/>
      <c r="AM43" s="29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7"/>
      <c r="C44" s="237"/>
      <c r="D44" s="238"/>
      <c r="E44" s="278"/>
      <c r="F44" s="279"/>
      <c r="G44" s="279"/>
      <c r="H44" s="279"/>
      <c r="I44" s="280"/>
      <c r="J44" s="315" t="str">
        <f ca="1">IF(AND('Mapa final'!$H$64="Muy Baja",'Mapa final'!$L$64="Leve"),CONCATENATE("R",'Mapa final'!$A$64),"")</f>
        <v/>
      </c>
      <c r="K44" s="313"/>
      <c r="L44" s="313" t="str">
        <f>IF(AND('Mapa final'!$H$70="Muy Baja",'Mapa final'!$L$70="Leve"),CONCATENATE("R",'Mapa final'!$A$70),"")</f>
        <v/>
      </c>
      <c r="M44" s="313"/>
      <c r="N44" s="313" t="str">
        <f>IF(AND('Mapa final'!$H$76="Muy Baja",'Mapa final'!$L$76="Leve"),CONCATENATE("R",'Mapa final'!$A$76),"")</f>
        <v/>
      </c>
      <c r="O44" s="314"/>
      <c r="P44" s="315" t="str">
        <f ca="1">IF(AND('Mapa final'!$H$64="Muy Baja",'Mapa final'!$L$64="Menor"),CONCATENATE("R",'Mapa final'!$A$64),"")</f>
        <v/>
      </c>
      <c r="Q44" s="313"/>
      <c r="R44" s="313" t="str">
        <f>IF(AND('Mapa final'!$H$70="Muy Baja",'Mapa final'!$L$70="Menor"),CONCATENATE("R",'Mapa final'!$A$70),"")</f>
        <v/>
      </c>
      <c r="S44" s="313"/>
      <c r="T44" s="313" t="str">
        <f>IF(AND('Mapa final'!$H$76="Muy Baja",'Mapa final'!$L$76="Menor"),CONCATENATE("R",'Mapa final'!$A$76),"")</f>
        <v/>
      </c>
      <c r="U44" s="314"/>
      <c r="V44" s="304" t="str">
        <f ca="1">IF(AND('Mapa final'!$H$64="Muy Baja",'Mapa final'!$L$64="Moderado"),CONCATENATE("R",'Mapa final'!$A$64),"")</f>
        <v/>
      </c>
      <c r="W44" s="305"/>
      <c r="X44" s="305" t="str">
        <f>IF(AND('Mapa final'!$H$70="Muy Baja",'Mapa final'!$L$70="Moderado"),CONCATENATE("R",'Mapa final'!$A$70),"")</f>
        <v/>
      </c>
      <c r="Y44" s="305"/>
      <c r="Z44" s="305" t="str">
        <f>IF(AND('Mapa final'!$H$76="Muy Baja",'Mapa final'!$L$76="Moderado"),CONCATENATE("R",'Mapa final'!$A$76),"")</f>
        <v/>
      </c>
      <c r="AA44" s="306"/>
      <c r="AB44" s="288" t="str">
        <f ca="1">IF(AND('Mapa final'!$H$64="Muy Baja",'Mapa final'!$L$64="Mayor"),CONCATENATE("R",'Mapa final'!$A$64),"")</f>
        <v/>
      </c>
      <c r="AC44" s="284"/>
      <c r="AD44" s="284" t="str">
        <f>IF(AND('Mapa final'!$H$70="Muy Baja",'Mapa final'!$L$70="Mayor"),CONCATENATE("R",'Mapa final'!$A$70),"")</f>
        <v/>
      </c>
      <c r="AE44" s="284"/>
      <c r="AF44" s="284" t="str">
        <f>IF(AND('Mapa final'!$H$76="Muy Baja",'Mapa final'!$L$76="Mayor"),CONCATENATE("R",'Mapa final'!$A$76),"")</f>
        <v/>
      </c>
      <c r="AG44" s="285"/>
      <c r="AH44" s="295" t="str">
        <f ca="1">IF(AND('Mapa final'!$H$64="Muy Baja",'Mapa final'!$L$64="Catastrófico"),CONCATENATE("R",'Mapa final'!$A$64),"")</f>
        <v/>
      </c>
      <c r="AI44" s="296"/>
      <c r="AJ44" s="296" t="str">
        <f>IF(AND('Mapa final'!$H$70="Muy Baja",'Mapa final'!$L$70="Catastrófico"),CONCATENATE("R",'Mapa final'!$A$70),"")</f>
        <v/>
      </c>
      <c r="AK44" s="296"/>
      <c r="AL44" s="296" t="str">
        <f>IF(AND('Mapa final'!$H$76="Muy Baja",'Mapa final'!$L$76="Catastrófico"),CONCATENATE("R",'Mapa final'!$A$76),"")</f>
        <v/>
      </c>
      <c r="AM44" s="29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7"/>
      <c r="C45" s="237"/>
      <c r="D45" s="238"/>
      <c r="E45" s="281"/>
      <c r="F45" s="282"/>
      <c r="G45" s="282"/>
      <c r="H45" s="282"/>
      <c r="I45" s="283"/>
      <c r="J45" s="316"/>
      <c r="K45" s="317"/>
      <c r="L45" s="317"/>
      <c r="M45" s="317"/>
      <c r="N45" s="317"/>
      <c r="O45" s="318"/>
      <c r="P45" s="316"/>
      <c r="Q45" s="317"/>
      <c r="R45" s="317"/>
      <c r="S45" s="317"/>
      <c r="T45" s="317"/>
      <c r="U45" s="318"/>
      <c r="V45" s="307"/>
      <c r="W45" s="308"/>
      <c r="X45" s="308"/>
      <c r="Y45" s="308"/>
      <c r="Z45" s="308"/>
      <c r="AA45" s="309"/>
      <c r="AB45" s="292"/>
      <c r="AC45" s="293"/>
      <c r="AD45" s="293"/>
      <c r="AE45" s="293"/>
      <c r="AF45" s="293"/>
      <c r="AG45" s="294"/>
      <c r="AH45" s="298"/>
      <c r="AI45" s="299"/>
      <c r="AJ45" s="299"/>
      <c r="AK45" s="299"/>
      <c r="AL45" s="299"/>
      <c r="AM45" s="30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5" t="s">
        <v>112</v>
      </c>
      <c r="K46" s="276"/>
      <c r="L46" s="276"/>
      <c r="M46" s="276"/>
      <c r="N46" s="276"/>
      <c r="O46" s="277"/>
      <c r="P46" s="275" t="s">
        <v>111</v>
      </c>
      <c r="Q46" s="276"/>
      <c r="R46" s="276"/>
      <c r="S46" s="276"/>
      <c r="T46" s="276"/>
      <c r="U46" s="277"/>
      <c r="V46" s="275" t="s">
        <v>110</v>
      </c>
      <c r="W46" s="276"/>
      <c r="X46" s="276"/>
      <c r="Y46" s="276"/>
      <c r="Z46" s="276"/>
      <c r="AA46" s="277"/>
      <c r="AB46" s="275" t="s">
        <v>109</v>
      </c>
      <c r="AC46" s="291"/>
      <c r="AD46" s="276"/>
      <c r="AE46" s="276"/>
      <c r="AF46" s="276"/>
      <c r="AG46" s="277"/>
      <c r="AH46" s="275" t="s">
        <v>108</v>
      </c>
      <c r="AI46" s="276"/>
      <c r="AJ46" s="276"/>
      <c r="AK46" s="276"/>
      <c r="AL46" s="276"/>
      <c r="AM46" s="27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8"/>
      <c r="K47" s="279"/>
      <c r="L47" s="279"/>
      <c r="M47" s="279"/>
      <c r="N47" s="279"/>
      <c r="O47" s="280"/>
      <c r="P47" s="278"/>
      <c r="Q47" s="279"/>
      <c r="R47" s="279"/>
      <c r="S47" s="279"/>
      <c r="T47" s="279"/>
      <c r="U47" s="280"/>
      <c r="V47" s="278"/>
      <c r="W47" s="279"/>
      <c r="X47" s="279"/>
      <c r="Y47" s="279"/>
      <c r="Z47" s="279"/>
      <c r="AA47" s="280"/>
      <c r="AB47" s="278"/>
      <c r="AC47" s="279"/>
      <c r="AD47" s="279"/>
      <c r="AE47" s="279"/>
      <c r="AF47" s="279"/>
      <c r="AG47" s="280"/>
      <c r="AH47" s="278"/>
      <c r="AI47" s="279"/>
      <c r="AJ47" s="279"/>
      <c r="AK47" s="279"/>
      <c r="AL47" s="279"/>
      <c r="AM47" s="28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8"/>
      <c r="K48" s="279"/>
      <c r="L48" s="279"/>
      <c r="M48" s="279"/>
      <c r="N48" s="279"/>
      <c r="O48" s="280"/>
      <c r="P48" s="278"/>
      <c r="Q48" s="279"/>
      <c r="R48" s="279"/>
      <c r="S48" s="279"/>
      <c r="T48" s="279"/>
      <c r="U48" s="280"/>
      <c r="V48" s="278"/>
      <c r="W48" s="279"/>
      <c r="X48" s="279"/>
      <c r="Y48" s="279"/>
      <c r="Z48" s="279"/>
      <c r="AA48" s="280"/>
      <c r="AB48" s="278"/>
      <c r="AC48" s="279"/>
      <c r="AD48" s="279"/>
      <c r="AE48" s="279"/>
      <c r="AF48" s="279"/>
      <c r="AG48" s="280"/>
      <c r="AH48" s="278"/>
      <c r="AI48" s="279"/>
      <c r="AJ48" s="279"/>
      <c r="AK48" s="279"/>
      <c r="AL48" s="279"/>
      <c r="AM48" s="28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8"/>
      <c r="K49" s="279"/>
      <c r="L49" s="279"/>
      <c r="M49" s="279"/>
      <c r="N49" s="279"/>
      <c r="O49" s="280"/>
      <c r="P49" s="278"/>
      <c r="Q49" s="279"/>
      <c r="R49" s="279"/>
      <c r="S49" s="279"/>
      <c r="T49" s="279"/>
      <c r="U49" s="280"/>
      <c r="V49" s="278"/>
      <c r="W49" s="279"/>
      <c r="X49" s="279"/>
      <c r="Y49" s="279"/>
      <c r="Z49" s="279"/>
      <c r="AA49" s="280"/>
      <c r="AB49" s="278"/>
      <c r="AC49" s="279"/>
      <c r="AD49" s="279"/>
      <c r="AE49" s="279"/>
      <c r="AF49" s="279"/>
      <c r="AG49" s="280"/>
      <c r="AH49" s="278"/>
      <c r="AI49" s="279"/>
      <c r="AJ49" s="279"/>
      <c r="AK49" s="279"/>
      <c r="AL49" s="279"/>
      <c r="AM49" s="28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8"/>
      <c r="K50" s="279"/>
      <c r="L50" s="279"/>
      <c r="M50" s="279"/>
      <c r="N50" s="279"/>
      <c r="O50" s="280"/>
      <c r="P50" s="278"/>
      <c r="Q50" s="279"/>
      <c r="R50" s="279"/>
      <c r="S50" s="279"/>
      <c r="T50" s="279"/>
      <c r="U50" s="280"/>
      <c r="V50" s="278"/>
      <c r="W50" s="279"/>
      <c r="X50" s="279"/>
      <c r="Y50" s="279"/>
      <c r="Z50" s="279"/>
      <c r="AA50" s="280"/>
      <c r="AB50" s="278"/>
      <c r="AC50" s="279"/>
      <c r="AD50" s="279"/>
      <c r="AE50" s="279"/>
      <c r="AF50" s="279"/>
      <c r="AG50" s="280"/>
      <c r="AH50" s="278"/>
      <c r="AI50" s="279"/>
      <c r="AJ50" s="279"/>
      <c r="AK50" s="279"/>
      <c r="AL50" s="279"/>
      <c r="AM50" s="28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1"/>
      <c r="K51" s="282"/>
      <c r="L51" s="282"/>
      <c r="M51" s="282"/>
      <c r="N51" s="282"/>
      <c r="O51" s="283"/>
      <c r="P51" s="281"/>
      <c r="Q51" s="282"/>
      <c r="R51" s="282"/>
      <c r="S51" s="282"/>
      <c r="T51" s="282"/>
      <c r="U51" s="283"/>
      <c r="V51" s="281"/>
      <c r="W51" s="282"/>
      <c r="X51" s="282"/>
      <c r="Y51" s="282"/>
      <c r="Z51" s="282"/>
      <c r="AA51" s="283"/>
      <c r="AB51" s="281"/>
      <c r="AC51" s="282"/>
      <c r="AD51" s="282"/>
      <c r="AE51" s="282"/>
      <c r="AF51" s="282"/>
      <c r="AG51" s="283"/>
      <c r="AH51" s="281"/>
      <c r="AI51" s="282"/>
      <c r="AJ51" s="282"/>
      <c r="AK51" s="282"/>
      <c r="AL51" s="282"/>
      <c r="AM51" s="28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8" t="s">
        <v>160</v>
      </c>
      <c r="C2" s="349"/>
      <c r="D2" s="349"/>
      <c r="E2" s="349"/>
      <c r="F2" s="349"/>
      <c r="G2" s="349"/>
      <c r="H2" s="349"/>
      <c r="I2" s="34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9"/>
      <c r="C3" s="349"/>
      <c r="D3" s="349"/>
      <c r="E3" s="349"/>
      <c r="F3" s="349"/>
      <c r="G3" s="349"/>
      <c r="H3" s="349"/>
      <c r="I3" s="34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9"/>
      <c r="C4" s="349"/>
      <c r="D4" s="349"/>
      <c r="E4" s="349"/>
      <c r="F4" s="349"/>
      <c r="G4" s="349"/>
      <c r="H4" s="349"/>
      <c r="I4" s="34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7" t="s">
        <v>4</v>
      </c>
      <c r="C6" s="237"/>
      <c r="D6" s="238"/>
      <c r="E6" s="332" t="s">
        <v>116</v>
      </c>
      <c r="F6" s="333"/>
      <c r="G6" s="333"/>
      <c r="H6" s="333"/>
      <c r="I6" s="350"/>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9" t="s">
        <v>79</v>
      </c>
      <c r="AP6" s="340"/>
      <c r="AQ6" s="340"/>
      <c r="AR6" s="340"/>
      <c r="AS6" s="340"/>
      <c r="AT6" s="34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7"/>
      <c r="C7" s="237"/>
      <c r="D7" s="238"/>
      <c r="E7" s="336"/>
      <c r="F7" s="335"/>
      <c r="G7" s="335"/>
      <c r="H7" s="335"/>
      <c r="I7" s="351"/>
      <c r="J7" s="52" t="str">
        <f ca="1">IF(AND('Mapa final'!$Y$16="Muy Alta",'Mapa final'!$AA$16="Leve"),CONCATENATE("R2C",'Mapa final'!$O$16),"")</f>
        <v/>
      </c>
      <c r="K7" s="53" t="str">
        <f ca="1">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 ca="1">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 ca="1">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 ca="1">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 ca="1">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2"/>
      <c r="AP7" s="343"/>
      <c r="AQ7" s="343"/>
      <c r="AR7" s="343"/>
      <c r="AS7" s="343"/>
      <c r="AT7" s="34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7"/>
      <c r="C8" s="237"/>
      <c r="D8" s="238"/>
      <c r="E8" s="336"/>
      <c r="F8" s="335"/>
      <c r="G8" s="335"/>
      <c r="H8" s="335"/>
      <c r="I8" s="351"/>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2"/>
      <c r="AP8" s="343"/>
      <c r="AQ8" s="343"/>
      <c r="AR8" s="343"/>
      <c r="AS8" s="343"/>
      <c r="AT8" s="34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7"/>
      <c r="C9" s="237"/>
      <c r="D9" s="238"/>
      <c r="E9" s="336"/>
      <c r="F9" s="335"/>
      <c r="G9" s="335"/>
      <c r="H9" s="335"/>
      <c r="I9" s="351"/>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2"/>
      <c r="AP9" s="343"/>
      <c r="AQ9" s="343"/>
      <c r="AR9" s="343"/>
      <c r="AS9" s="343"/>
      <c r="AT9" s="34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7"/>
      <c r="C10" s="237"/>
      <c r="D10" s="238"/>
      <c r="E10" s="336"/>
      <c r="F10" s="335"/>
      <c r="G10" s="335"/>
      <c r="H10" s="335"/>
      <c r="I10" s="351"/>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2"/>
      <c r="AP10" s="343"/>
      <c r="AQ10" s="343"/>
      <c r="AR10" s="343"/>
      <c r="AS10" s="343"/>
      <c r="AT10" s="34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7"/>
      <c r="C11" s="237"/>
      <c r="D11" s="238"/>
      <c r="E11" s="336"/>
      <c r="F11" s="335"/>
      <c r="G11" s="335"/>
      <c r="H11" s="335"/>
      <c r="I11" s="351"/>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2"/>
      <c r="AP11" s="343"/>
      <c r="AQ11" s="343"/>
      <c r="AR11" s="343"/>
      <c r="AS11" s="343"/>
      <c r="AT11" s="34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7"/>
      <c r="C12" s="237"/>
      <c r="D12" s="238"/>
      <c r="E12" s="336"/>
      <c r="F12" s="335"/>
      <c r="G12" s="335"/>
      <c r="H12" s="335"/>
      <c r="I12" s="351"/>
      <c r="J12" s="52" t="str">
        <f ca="1">IF(AND('Mapa final'!$Y$46="Muy Alta",'Mapa final'!$AA$46="Leve"),CONCATENATE("R7C",'Mapa final'!$O$46),"")</f>
        <v/>
      </c>
      <c r="K12" s="53" t="str">
        <f ca="1">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 ca="1">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 ca="1">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 ca="1">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 ca="1">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2"/>
      <c r="AP12" s="343"/>
      <c r="AQ12" s="343"/>
      <c r="AR12" s="343"/>
      <c r="AS12" s="343"/>
      <c r="AT12" s="34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7"/>
      <c r="C13" s="237"/>
      <c r="D13" s="238"/>
      <c r="E13" s="336"/>
      <c r="F13" s="335"/>
      <c r="G13" s="335"/>
      <c r="H13" s="335"/>
      <c r="I13" s="351"/>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2"/>
      <c r="AP13" s="343"/>
      <c r="AQ13" s="343"/>
      <c r="AR13" s="343"/>
      <c r="AS13" s="343"/>
      <c r="AT13" s="34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7"/>
      <c r="C14" s="237"/>
      <c r="D14" s="238"/>
      <c r="E14" s="336"/>
      <c r="F14" s="335"/>
      <c r="G14" s="335"/>
      <c r="H14" s="335"/>
      <c r="I14" s="351"/>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2"/>
      <c r="AP14" s="343"/>
      <c r="AQ14" s="343"/>
      <c r="AR14" s="343"/>
      <c r="AS14" s="343"/>
      <c r="AT14" s="34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7"/>
      <c r="C15" s="237"/>
      <c r="D15" s="238"/>
      <c r="E15" s="337"/>
      <c r="F15" s="338"/>
      <c r="G15" s="338"/>
      <c r="H15" s="338"/>
      <c r="I15" s="352"/>
      <c r="J15" s="58" t="str">
        <f ca="1">IF(AND('Mapa final'!$Y$64="Muy Alta",'Mapa final'!$AA$64="Leve"),CONCATENATE("R10C",'Mapa final'!$O$64),"")</f>
        <v/>
      </c>
      <c r="K15" s="59" t="str">
        <f ca="1">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 ca="1">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 ca="1">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 ca="1">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 ca="1">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5"/>
      <c r="AP15" s="346"/>
      <c r="AQ15" s="346"/>
      <c r="AR15" s="346"/>
      <c r="AS15" s="346"/>
      <c r="AT15" s="34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7"/>
      <c r="C16" s="237"/>
      <c r="D16" s="238"/>
      <c r="E16" s="332" t="s">
        <v>115</v>
      </c>
      <c r="F16" s="333"/>
      <c r="G16" s="333"/>
      <c r="H16" s="333"/>
      <c r="I16" s="33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3" t="s">
        <v>80</v>
      </c>
      <c r="AP16" s="324"/>
      <c r="AQ16" s="324"/>
      <c r="AR16" s="324"/>
      <c r="AS16" s="324"/>
      <c r="AT16" s="32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7"/>
      <c r="C17" s="237"/>
      <c r="D17" s="238"/>
      <c r="E17" s="334"/>
      <c r="F17" s="335"/>
      <c r="G17" s="335"/>
      <c r="H17" s="335"/>
      <c r="I17" s="335"/>
      <c r="J17" s="67" t="str">
        <f ca="1">IF(AND('Mapa final'!$Y$16="Alta",'Mapa final'!$AA$16="Leve"),CONCATENATE("R2C",'Mapa final'!$O$16),"")</f>
        <v/>
      </c>
      <c r="K17" s="68" t="str">
        <f ca="1">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 ca="1">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 ca="1">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 ca="1">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 ca="1">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6"/>
      <c r="AP17" s="327"/>
      <c r="AQ17" s="327"/>
      <c r="AR17" s="327"/>
      <c r="AS17" s="327"/>
      <c r="AT17" s="32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7"/>
      <c r="C18" s="237"/>
      <c r="D18" s="238"/>
      <c r="E18" s="336"/>
      <c r="F18" s="335"/>
      <c r="G18" s="335"/>
      <c r="H18" s="335"/>
      <c r="I18" s="335"/>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6"/>
      <c r="AP18" s="327"/>
      <c r="AQ18" s="327"/>
      <c r="AR18" s="327"/>
      <c r="AS18" s="327"/>
      <c r="AT18" s="32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7"/>
      <c r="C19" s="237"/>
      <c r="D19" s="238"/>
      <c r="E19" s="336"/>
      <c r="F19" s="335"/>
      <c r="G19" s="335"/>
      <c r="H19" s="335"/>
      <c r="I19" s="335"/>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6"/>
      <c r="AP19" s="327"/>
      <c r="AQ19" s="327"/>
      <c r="AR19" s="327"/>
      <c r="AS19" s="327"/>
      <c r="AT19" s="32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7"/>
      <c r="C20" s="237"/>
      <c r="D20" s="238"/>
      <c r="E20" s="336"/>
      <c r="F20" s="335"/>
      <c r="G20" s="335"/>
      <c r="H20" s="335"/>
      <c r="I20" s="335"/>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6"/>
      <c r="AP20" s="327"/>
      <c r="AQ20" s="327"/>
      <c r="AR20" s="327"/>
      <c r="AS20" s="327"/>
      <c r="AT20" s="32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7"/>
      <c r="C21" s="237"/>
      <c r="D21" s="238"/>
      <c r="E21" s="336"/>
      <c r="F21" s="335"/>
      <c r="G21" s="335"/>
      <c r="H21" s="335"/>
      <c r="I21" s="335"/>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6"/>
      <c r="AP21" s="327"/>
      <c r="AQ21" s="327"/>
      <c r="AR21" s="327"/>
      <c r="AS21" s="327"/>
      <c r="AT21" s="32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7"/>
      <c r="C22" s="237"/>
      <c r="D22" s="238"/>
      <c r="E22" s="336"/>
      <c r="F22" s="335"/>
      <c r="G22" s="335"/>
      <c r="H22" s="335"/>
      <c r="I22" s="335"/>
      <c r="J22" s="67" t="str">
        <f ca="1">IF(AND('Mapa final'!$Y$46="Alta",'Mapa final'!$AA$46="Leve"),CONCATENATE("R7C",'Mapa final'!$O$46),"")</f>
        <v/>
      </c>
      <c r="K22" s="68" t="str">
        <f ca="1">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 ca="1">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 ca="1">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 ca="1">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 ca="1">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6"/>
      <c r="AP22" s="327"/>
      <c r="AQ22" s="327"/>
      <c r="AR22" s="327"/>
      <c r="AS22" s="327"/>
      <c r="AT22" s="32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7"/>
      <c r="C23" s="237"/>
      <c r="D23" s="238"/>
      <c r="E23" s="336"/>
      <c r="F23" s="335"/>
      <c r="G23" s="335"/>
      <c r="H23" s="335"/>
      <c r="I23" s="335"/>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6"/>
      <c r="AP23" s="327"/>
      <c r="AQ23" s="327"/>
      <c r="AR23" s="327"/>
      <c r="AS23" s="327"/>
      <c r="AT23" s="32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7"/>
      <c r="C24" s="237"/>
      <c r="D24" s="238"/>
      <c r="E24" s="336"/>
      <c r="F24" s="335"/>
      <c r="G24" s="335"/>
      <c r="H24" s="335"/>
      <c r="I24" s="335"/>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6"/>
      <c r="AP24" s="327"/>
      <c r="AQ24" s="327"/>
      <c r="AR24" s="327"/>
      <c r="AS24" s="327"/>
      <c r="AT24" s="32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7"/>
      <c r="C25" s="237"/>
      <c r="D25" s="238"/>
      <c r="E25" s="337"/>
      <c r="F25" s="338"/>
      <c r="G25" s="338"/>
      <c r="H25" s="338"/>
      <c r="I25" s="338"/>
      <c r="J25" s="70" t="str">
        <f ca="1">IF(AND('Mapa final'!$Y$64="Alta",'Mapa final'!$AA$64="Leve"),CONCATENATE("R10C",'Mapa final'!$O$64),"")</f>
        <v/>
      </c>
      <c r="K25" s="71" t="str">
        <f ca="1">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 ca="1">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 ca="1">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 ca="1">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 ca="1">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9"/>
      <c r="AP25" s="330"/>
      <c r="AQ25" s="330"/>
      <c r="AR25" s="330"/>
      <c r="AS25" s="330"/>
      <c r="AT25" s="33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7"/>
      <c r="C26" s="237"/>
      <c r="D26" s="238"/>
      <c r="E26" s="332" t="s">
        <v>117</v>
      </c>
      <c r="F26" s="333"/>
      <c r="G26" s="333"/>
      <c r="H26" s="333"/>
      <c r="I26" s="350"/>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7"/>
      <c r="C27" s="237"/>
      <c r="D27" s="238"/>
      <c r="E27" s="334"/>
      <c r="F27" s="335"/>
      <c r="G27" s="335"/>
      <c r="H27" s="335"/>
      <c r="I27" s="351"/>
      <c r="J27" s="67" t="str">
        <f ca="1">IF(AND('Mapa final'!$Y$16="Media",'Mapa final'!$AA$16="Leve"),CONCATENATE("R2C",'Mapa final'!$O$16),"")</f>
        <v/>
      </c>
      <c r="K27" s="68" t="str">
        <f ca="1">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R2C1</v>
      </c>
      <c r="Q27" s="68" t="str">
        <f ca="1">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 ca="1">IF(AND('Mapa final'!$Y$17="Media",'Mapa final'!$AA$17="Moderado"),CONCATENATE("R2C",'Mapa final'!$O$17),"")</f>
        <v>R2C2</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 ca="1">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 ca="1">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7"/>
      <c r="C28" s="237"/>
      <c r="D28" s="238"/>
      <c r="E28" s="336"/>
      <c r="F28" s="335"/>
      <c r="G28" s="335"/>
      <c r="H28" s="335"/>
      <c r="I28" s="351"/>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7"/>
      <c r="C29" s="237"/>
      <c r="D29" s="238"/>
      <c r="E29" s="336"/>
      <c r="F29" s="335"/>
      <c r="G29" s="335"/>
      <c r="H29" s="335"/>
      <c r="I29" s="351"/>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R4C1</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7"/>
      <c r="C30" s="237"/>
      <c r="D30" s="238"/>
      <c r="E30" s="336"/>
      <c r="F30" s="335"/>
      <c r="G30" s="335"/>
      <c r="H30" s="335"/>
      <c r="I30" s="351"/>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7"/>
      <c r="C31" s="237"/>
      <c r="D31" s="238"/>
      <c r="E31" s="336"/>
      <c r="F31" s="335"/>
      <c r="G31" s="335"/>
      <c r="H31" s="335"/>
      <c r="I31" s="351"/>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7"/>
      <c r="C32" s="237"/>
      <c r="D32" s="238"/>
      <c r="E32" s="336"/>
      <c r="F32" s="335"/>
      <c r="G32" s="335"/>
      <c r="H32" s="335"/>
      <c r="I32" s="351"/>
      <c r="J32" s="67" t="str">
        <f ca="1">IF(AND('Mapa final'!$Y$46="Media",'Mapa final'!$AA$46="Leve"),CONCATENATE("R7C",'Mapa final'!$O$46),"")</f>
        <v/>
      </c>
      <c r="K32" s="68" t="str">
        <f ca="1">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 ca="1">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 ca="1">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 ca="1">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 ca="1">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7"/>
      <c r="C33" s="237"/>
      <c r="D33" s="238"/>
      <c r="E33" s="336"/>
      <c r="F33" s="335"/>
      <c r="G33" s="335"/>
      <c r="H33" s="335"/>
      <c r="I33" s="351"/>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7"/>
      <c r="C34" s="237"/>
      <c r="D34" s="238"/>
      <c r="E34" s="336"/>
      <c r="F34" s="335"/>
      <c r="G34" s="335"/>
      <c r="H34" s="335"/>
      <c r="I34" s="351"/>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7"/>
      <c r="C35" s="237"/>
      <c r="D35" s="238"/>
      <c r="E35" s="337"/>
      <c r="F35" s="338"/>
      <c r="G35" s="338"/>
      <c r="H35" s="338"/>
      <c r="I35" s="352"/>
      <c r="J35" s="67" t="str">
        <f ca="1">IF(AND('Mapa final'!$Y$64="Media",'Mapa final'!$AA$64="Leve"),CONCATENATE("R10C",'Mapa final'!$O$64),"")</f>
        <v/>
      </c>
      <c r="K35" s="68" t="str">
        <f ca="1">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 ca="1">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 ca="1">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 ca="1">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 ca="1">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7"/>
      <c r="C36" s="237"/>
      <c r="D36" s="238"/>
      <c r="E36" s="332" t="s">
        <v>114</v>
      </c>
      <c r="F36" s="333"/>
      <c r="G36" s="333"/>
      <c r="H36" s="333"/>
      <c r="I36" s="33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7"/>
      <c r="C37" s="237"/>
      <c r="D37" s="238"/>
      <c r="E37" s="334"/>
      <c r="F37" s="335"/>
      <c r="G37" s="335"/>
      <c r="H37" s="335"/>
      <c r="I37" s="335"/>
      <c r="J37" s="76" t="str">
        <f ca="1">IF(AND('Mapa final'!$Y$16="Baja",'Mapa final'!$AA$16="Leve"),CONCATENATE("R2C",'Mapa final'!$O$16),"")</f>
        <v/>
      </c>
      <c r="K37" s="77" t="str">
        <f ca="1">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 ca="1">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 ca="1">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 ca="1">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 ca="1">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7"/>
      <c r="C38" s="237"/>
      <c r="D38" s="238"/>
      <c r="E38" s="336"/>
      <c r="F38" s="335"/>
      <c r="G38" s="335"/>
      <c r="H38" s="335"/>
      <c r="I38" s="335"/>
      <c r="J38" s="76" t="str">
        <f ca="1">IF(AND('Mapa final'!$Y$22="Baja",'Mapa final'!$AA$22="Leve"),CONCATENATE("R3C",'Mapa final'!$O$22),"")</f>
        <v>R3C1</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R3C2</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7"/>
      <c r="C39" s="237"/>
      <c r="D39" s="238"/>
      <c r="E39" s="336"/>
      <c r="F39" s="335"/>
      <c r="G39" s="335"/>
      <c r="H39" s="335"/>
      <c r="I39" s="335"/>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7"/>
      <c r="C40" s="237"/>
      <c r="D40" s="238"/>
      <c r="E40" s="336"/>
      <c r="F40" s="335"/>
      <c r="G40" s="335"/>
      <c r="H40" s="335"/>
      <c r="I40" s="335"/>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7"/>
      <c r="C41" s="237"/>
      <c r="D41" s="238"/>
      <c r="E41" s="336"/>
      <c r="F41" s="335"/>
      <c r="G41" s="335"/>
      <c r="H41" s="335"/>
      <c r="I41" s="335"/>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7"/>
      <c r="C42" s="237"/>
      <c r="D42" s="238"/>
      <c r="E42" s="336"/>
      <c r="F42" s="335"/>
      <c r="G42" s="335"/>
      <c r="H42" s="335"/>
      <c r="I42" s="335"/>
      <c r="J42" s="76" t="str">
        <f ca="1">IF(AND('Mapa final'!$Y$46="Baja",'Mapa final'!$AA$46="Leve"),CONCATENATE("R7C",'Mapa final'!$O$46),"")</f>
        <v/>
      </c>
      <c r="K42" s="77" t="str">
        <f ca="1">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 ca="1">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 ca="1">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 ca="1">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 ca="1">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7"/>
      <c r="C43" s="237"/>
      <c r="D43" s="238"/>
      <c r="E43" s="336"/>
      <c r="F43" s="335"/>
      <c r="G43" s="335"/>
      <c r="H43" s="335"/>
      <c r="I43" s="335"/>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7"/>
      <c r="C44" s="237"/>
      <c r="D44" s="238"/>
      <c r="E44" s="336"/>
      <c r="F44" s="335"/>
      <c r="G44" s="335"/>
      <c r="H44" s="335"/>
      <c r="I44" s="335"/>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R9C1</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7"/>
      <c r="C45" s="237"/>
      <c r="D45" s="238"/>
      <c r="E45" s="337"/>
      <c r="F45" s="338"/>
      <c r="G45" s="338"/>
      <c r="H45" s="338"/>
      <c r="I45" s="338"/>
      <c r="J45" s="79" t="str">
        <f ca="1">IF(AND('Mapa final'!$Y$64="Baja",'Mapa final'!$AA$64="Leve"),CONCATENATE("R10C",'Mapa final'!$O$64),"")</f>
        <v/>
      </c>
      <c r="K45" s="80" t="str">
        <f ca="1">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 ca="1">IF(AND('Mapa final'!$Y$65="Baja",'Mapa final'!$AA$65="Menor"),CONCATENATE("R10C",'Mapa final'!$O$65),"")</f>
        <v>R10C2</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R10C1</v>
      </c>
      <c r="W45" s="71" t="str">
        <f ca="1">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 ca="1">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 ca="1">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37"/>
      <c r="C46" s="237"/>
      <c r="D46" s="238"/>
      <c r="E46" s="332" t="s">
        <v>113</v>
      </c>
      <c r="F46" s="333"/>
      <c r="G46" s="333"/>
      <c r="H46" s="333"/>
      <c r="I46" s="350"/>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7"/>
      <c r="C47" s="237"/>
      <c r="D47" s="238"/>
      <c r="E47" s="334"/>
      <c r="F47" s="335"/>
      <c r="G47" s="335"/>
      <c r="H47" s="335"/>
      <c r="I47" s="351"/>
      <c r="J47" s="76" t="str">
        <f ca="1">IF(AND('Mapa final'!$Y$16="Muy Baja",'Mapa final'!$AA$16="Leve"),CONCATENATE("R2C",'Mapa final'!$O$16),"")</f>
        <v/>
      </c>
      <c r="K47" s="77" t="str">
        <f ca="1">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 ca="1">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 ca="1">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 ca="1">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 ca="1">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7"/>
      <c r="C48" s="237"/>
      <c r="D48" s="238"/>
      <c r="E48" s="334"/>
      <c r="F48" s="335"/>
      <c r="G48" s="335"/>
      <c r="H48" s="335"/>
      <c r="I48" s="351"/>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7"/>
      <c r="C49" s="237"/>
      <c r="D49" s="238"/>
      <c r="E49" s="336"/>
      <c r="F49" s="335"/>
      <c r="G49" s="335"/>
      <c r="H49" s="335"/>
      <c r="I49" s="351"/>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7"/>
      <c r="C50" s="237"/>
      <c r="D50" s="238"/>
      <c r="E50" s="336"/>
      <c r="F50" s="335"/>
      <c r="G50" s="335"/>
      <c r="H50" s="335"/>
      <c r="I50" s="351"/>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7"/>
      <c r="C51" s="237"/>
      <c r="D51" s="238"/>
      <c r="E51" s="336"/>
      <c r="F51" s="335"/>
      <c r="G51" s="335"/>
      <c r="H51" s="335"/>
      <c r="I51" s="351"/>
      <c r="J51" s="76" t="str">
        <f ca="1">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7"/>
      <c r="C52" s="237"/>
      <c r="D52" s="238"/>
      <c r="E52" s="336"/>
      <c r="F52" s="335"/>
      <c r="G52" s="335"/>
      <c r="H52" s="335"/>
      <c r="I52" s="351"/>
      <c r="J52" s="76" t="str">
        <f ca="1">IF(AND('Mapa final'!$Y$46="Muy Baja",'Mapa final'!$AA$46="Leve"),CONCATENATE("R7C",'Mapa final'!$O$46),"")</f>
        <v/>
      </c>
      <c r="K52" s="77" t="str">
        <f ca="1">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 ca="1">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 ca="1">IF(AND('Mapa final'!$Y$47="Muy Baja",'Mapa final'!$AA$47="Moderado"),CONCATENATE("R7C",'Mapa final'!$O$47),"")</f>
        <v>R7C2</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 ca="1">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 ca="1">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7"/>
      <c r="C53" s="237"/>
      <c r="D53" s="238"/>
      <c r="E53" s="336"/>
      <c r="F53" s="335"/>
      <c r="G53" s="335"/>
      <c r="H53" s="335"/>
      <c r="I53" s="351"/>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7"/>
      <c r="C54" s="237"/>
      <c r="D54" s="238"/>
      <c r="E54" s="336"/>
      <c r="F54" s="335"/>
      <c r="G54" s="335"/>
      <c r="H54" s="335"/>
      <c r="I54" s="351"/>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7"/>
      <c r="C55" s="237"/>
      <c r="D55" s="238"/>
      <c r="E55" s="337"/>
      <c r="F55" s="338"/>
      <c r="G55" s="338"/>
      <c r="H55" s="338"/>
      <c r="I55" s="352"/>
      <c r="J55" s="79" t="str">
        <f ca="1">IF(AND('Mapa final'!$Y$64="Muy Baja",'Mapa final'!$AA$64="Leve"),CONCATENATE("R10C",'Mapa final'!$O$64),"")</f>
        <v/>
      </c>
      <c r="K55" s="80" t="str">
        <f ca="1">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
      </c>
      <c r="Q55" s="80" t="str">
        <f ca="1">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 ca="1">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 ca="1">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 ca="1">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2" t="s">
        <v>112</v>
      </c>
      <c r="K56" s="333"/>
      <c r="L56" s="333"/>
      <c r="M56" s="333"/>
      <c r="N56" s="333"/>
      <c r="O56" s="350"/>
      <c r="P56" s="332" t="s">
        <v>111</v>
      </c>
      <c r="Q56" s="333"/>
      <c r="R56" s="333"/>
      <c r="S56" s="333"/>
      <c r="T56" s="333"/>
      <c r="U56" s="350"/>
      <c r="V56" s="332" t="s">
        <v>110</v>
      </c>
      <c r="W56" s="333"/>
      <c r="X56" s="333"/>
      <c r="Y56" s="333"/>
      <c r="Z56" s="333"/>
      <c r="AA56" s="350"/>
      <c r="AB56" s="332" t="s">
        <v>109</v>
      </c>
      <c r="AC56" s="371"/>
      <c r="AD56" s="333"/>
      <c r="AE56" s="333"/>
      <c r="AF56" s="333"/>
      <c r="AG56" s="350"/>
      <c r="AH56" s="332" t="s">
        <v>108</v>
      </c>
      <c r="AI56" s="333"/>
      <c r="AJ56" s="333"/>
      <c r="AK56" s="333"/>
      <c r="AL56" s="333"/>
      <c r="AM56" s="35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6"/>
      <c r="K57" s="335"/>
      <c r="L57" s="335"/>
      <c r="M57" s="335"/>
      <c r="N57" s="335"/>
      <c r="O57" s="351"/>
      <c r="P57" s="336"/>
      <c r="Q57" s="335"/>
      <c r="R57" s="335"/>
      <c r="S57" s="335"/>
      <c r="T57" s="335"/>
      <c r="U57" s="351"/>
      <c r="V57" s="336"/>
      <c r="W57" s="335"/>
      <c r="X57" s="335"/>
      <c r="Y57" s="335"/>
      <c r="Z57" s="335"/>
      <c r="AA57" s="351"/>
      <c r="AB57" s="336"/>
      <c r="AC57" s="335"/>
      <c r="AD57" s="335"/>
      <c r="AE57" s="335"/>
      <c r="AF57" s="335"/>
      <c r="AG57" s="351"/>
      <c r="AH57" s="336"/>
      <c r="AI57" s="335"/>
      <c r="AJ57" s="335"/>
      <c r="AK57" s="335"/>
      <c r="AL57" s="335"/>
      <c r="AM57" s="35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6"/>
      <c r="K58" s="335"/>
      <c r="L58" s="335"/>
      <c r="M58" s="335"/>
      <c r="N58" s="335"/>
      <c r="O58" s="351"/>
      <c r="P58" s="336"/>
      <c r="Q58" s="335"/>
      <c r="R58" s="335"/>
      <c r="S58" s="335"/>
      <c r="T58" s="335"/>
      <c r="U58" s="351"/>
      <c r="V58" s="336"/>
      <c r="W58" s="335"/>
      <c r="X58" s="335"/>
      <c r="Y58" s="335"/>
      <c r="Z58" s="335"/>
      <c r="AA58" s="351"/>
      <c r="AB58" s="336"/>
      <c r="AC58" s="335"/>
      <c r="AD58" s="335"/>
      <c r="AE58" s="335"/>
      <c r="AF58" s="335"/>
      <c r="AG58" s="351"/>
      <c r="AH58" s="336"/>
      <c r="AI58" s="335"/>
      <c r="AJ58" s="335"/>
      <c r="AK58" s="335"/>
      <c r="AL58" s="335"/>
      <c r="AM58" s="35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6"/>
      <c r="K59" s="335"/>
      <c r="L59" s="335"/>
      <c r="M59" s="335"/>
      <c r="N59" s="335"/>
      <c r="O59" s="351"/>
      <c r="P59" s="336"/>
      <c r="Q59" s="335"/>
      <c r="R59" s="335"/>
      <c r="S59" s="335"/>
      <c r="T59" s="335"/>
      <c r="U59" s="351"/>
      <c r="V59" s="336"/>
      <c r="W59" s="335"/>
      <c r="X59" s="335"/>
      <c r="Y59" s="335"/>
      <c r="Z59" s="335"/>
      <c r="AA59" s="351"/>
      <c r="AB59" s="336"/>
      <c r="AC59" s="335"/>
      <c r="AD59" s="335"/>
      <c r="AE59" s="335"/>
      <c r="AF59" s="335"/>
      <c r="AG59" s="351"/>
      <c r="AH59" s="336"/>
      <c r="AI59" s="335"/>
      <c r="AJ59" s="335"/>
      <c r="AK59" s="335"/>
      <c r="AL59" s="335"/>
      <c r="AM59" s="35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6"/>
      <c r="K60" s="335"/>
      <c r="L60" s="335"/>
      <c r="M60" s="335"/>
      <c r="N60" s="335"/>
      <c r="O60" s="351"/>
      <c r="P60" s="336"/>
      <c r="Q60" s="335"/>
      <c r="R60" s="335"/>
      <c r="S60" s="335"/>
      <c r="T60" s="335"/>
      <c r="U60" s="351"/>
      <c r="V60" s="336"/>
      <c r="W60" s="335"/>
      <c r="X60" s="335"/>
      <c r="Y60" s="335"/>
      <c r="Z60" s="335"/>
      <c r="AA60" s="351"/>
      <c r="AB60" s="336"/>
      <c r="AC60" s="335"/>
      <c r="AD60" s="335"/>
      <c r="AE60" s="335"/>
      <c r="AF60" s="335"/>
      <c r="AG60" s="351"/>
      <c r="AH60" s="336"/>
      <c r="AI60" s="335"/>
      <c r="AJ60" s="335"/>
      <c r="AK60" s="335"/>
      <c r="AL60" s="335"/>
      <c r="AM60" s="35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7"/>
      <c r="K61" s="338"/>
      <c r="L61" s="338"/>
      <c r="M61" s="338"/>
      <c r="N61" s="338"/>
      <c r="O61" s="352"/>
      <c r="P61" s="337"/>
      <c r="Q61" s="338"/>
      <c r="R61" s="338"/>
      <c r="S61" s="338"/>
      <c r="T61" s="338"/>
      <c r="U61" s="352"/>
      <c r="V61" s="337"/>
      <c r="W61" s="338"/>
      <c r="X61" s="338"/>
      <c r="Y61" s="338"/>
      <c r="Z61" s="338"/>
      <c r="AA61" s="352"/>
      <c r="AB61" s="337"/>
      <c r="AC61" s="338"/>
      <c r="AD61" s="338"/>
      <c r="AE61" s="338"/>
      <c r="AF61" s="338"/>
      <c r="AG61" s="352"/>
      <c r="AH61" s="337"/>
      <c r="AI61" s="338"/>
      <c r="AJ61" s="338"/>
      <c r="AK61" s="338"/>
      <c r="AL61" s="338"/>
      <c r="AM61" s="35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2" t="s">
        <v>55</v>
      </c>
      <c r="C1" s="372"/>
      <c r="D1" s="37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3" t="s">
        <v>63</v>
      </c>
      <c r="C1" s="373"/>
      <c r="D1" s="37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4" t="s">
        <v>78</v>
      </c>
      <c r="C1" s="375"/>
      <c r="D1" s="375"/>
      <c r="E1" s="375"/>
      <c r="F1" s="376"/>
    </row>
    <row r="2" spans="2:6" ht="16.5" thickBot="1" x14ac:dyDescent="0.3">
      <c r="B2" s="89"/>
      <c r="C2" s="89"/>
      <c r="D2" s="89"/>
      <c r="E2" s="89"/>
      <c r="F2" s="89"/>
    </row>
    <row r="3" spans="2:6" ht="16.5" thickBot="1" x14ac:dyDescent="0.25">
      <c r="B3" s="378" t="s">
        <v>64</v>
      </c>
      <c r="C3" s="379"/>
      <c r="D3" s="379"/>
      <c r="E3" s="101" t="s">
        <v>65</v>
      </c>
      <c r="F3" s="102" t="s">
        <v>66</v>
      </c>
    </row>
    <row r="4" spans="2:6" ht="31.5" x14ac:dyDescent="0.2">
      <c r="B4" s="380" t="s">
        <v>67</v>
      </c>
      <c r="C4" s="382" t="s">
        <v>13</v>
      </c>
      <c r="D4" s="90" t="s">
        <v>14</v>
      </c>
      <c r="E4" s="91" t="s">
        <v>68</v>
      </c>
      <c r="F4" s="92">
        <v>0.25</v>
      </c>
    </row>
    <row r="5" spans="2:6" ht="47.25" x14ac:dyDescent="0.2">
      <c r="B5" s="381"/>
      <c r="C5" s="383"/>
      <c r="D5" s="93" t="s">
        <v>15</v>
      </c>
      <c r="E5" s="94" t="s">
        <v>69</v>
      </c>
      <c r="F5" s="95">
        <v>0.15</v>
      </c>
    </row>
    <row r="6" spans="2:6" ht="47.25" x14ac:dyDescent="0.2">
      <c r="B6" s="381"/>
      <c r="C6" s="383"/>
      <c r="D6" s="93" t="s">
        <v>16</v>
      </c>
      <c r="E6" s="94" t="s">
        <v>70</v>
      </c>
      <c r="F6" s="95">
        <v>0.1</v>
      </c>
    </row>
    <row r="7" spans="2:6" ht="63" x14ac:dyDescent="0.2">
      <c r="B7" s="381"/>
      <c r="C7" s="383" t="s">
        <v>17</v>
      </c>
      <c r="D7" s="93" t="s">
        <v>10</v>
      </c>
      <c r="E7" s="94" t="s">
        <v>71</v>
      </c>
      <c r="F7" s="95">
        <v>0.25</v>
      </c>
    </row>
    <row r="8" spans="2:6" ht="31.5" x14ac:dyDescent="0.2">
      <c r="B8" s="381"/>
      <c r="C8" s="383"/>
      <c r="D8" s="93" t="s">
        <v>9</v>
      </c>
      <c r="E8" s="94" t="s">
        <v>72</v>
      </c>
      <c r="F8" s="95">
        <v>0.15</v>
      </c>
    </row>
    <row r="9" spans="2:6" ht="47.25" x14ac:dyDescent="0.2">
      <c r="B9" s="381" t="s">
        <v>162</v>
      </c>
      <c r="C9" s="383" t="s">
        <v>18</v>
      </c>
      <c r="D9" s="93" t="s">
        <v>19</v>
      </c>
      <c r="E9" s="94" t="s">
        <v>73</v>
      </c>
      <c r="F9" s="96" t="s">
        <v>74</v>
      </c>
    </row>
    <row r="10" spans="2:6" ht="63" x14ac:dyDescent="0.2">
      <c r="B10" s="381"/>
      <c r="C10" s="383"/>
      <c r="D10" s="93" t="s">
        <v>20</v>
      </c>
      <c r="E10" s="94" t="s">
        <v>75</v>
      </c>
      <c r="F10" s="96" t="s">
        <v>74</v>
      </c>
    </row>
    <row r="11" spans="2:6" ht="47.25" x14ac:dyDescent="0.2">
      <c r="B11" s="381"/>
      <c r="C11" s="383" t="s">
        <v>21</v>
      </c>
      <c r="D11" s="93" t="s">
        <v>22</v>
      </c>
      <c r="E11" s="94" t="s">
        <v>76</v>
      </c>
      <c r="F11" s="96" t="s">
        <v>74</v>
      </c>
    </row>
    <row r="12" spans="2:6" ht="47.25" x14ac:dyDescent="0.2">
      <c r="B12" s="381"/>
      <c r="C12" s="383"/>
      <c r="D12" s="93" t="s">
        <v>23</v>
      </c>
      <c r="E12" s="94" t="s">
        <v>77</v>
      </c>
      <c r="F12" s="96" t="s">
        <v>74</v>
      </c>
    </row>
    <row r="13" spans="2:6" ht="31.5" x14ac:dyDescent="0.2">
      <c r="B13" s="381"/>
      <c r="C13" s="383" t="s">
        <v>24</v>
      </c>
      <c r="D13" s="93" t="s">
        <v>119</v>
      </c>
      <c r="E13" s="94" t="s">
        <v>122</v>
      </c>
      <c r="F13" s="96" t="s">
        <v>74</v>
      </c>
    </row>
    <row r="14" spans="2:6" ht="32.25" thickBot="1" x14ac:dyDescent="0.25">
      <c r="B14" s="384"/>
      <c r="C14" s="385"/>
      <c r="D14" s="97" t="s">
        <v>120</v>
      </c>
      <c r="E14" s="98" t="s">
        <v>121</v>
      </c>
      <c r="F14" s="99" t="s">
        <v>74</v>
      </c>
    </row>
    <row r="15" spans="2:6" ht="49.5" customHeight="1" x14ac:dyDescent="0.2">
      <c r="B15" s="377" t="s">
        <v>159</v>
      </c>
      <c r="C15" s="377"/>
      <c r="D15" s="377"/>
      <c r="E15" s="377"/>
      <c r="F15" s="37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2023-09-20T13:54:14Z</dcterms:modified>
</cp:coreProperties>
</file>