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5B6B28A2-3B9B-498D-A935-D4F32CA201CC}"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1"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47" i="1"/>
  <c r="K56" i="1"/>
  <c r="K24" i="1"/>
  <c r="K65" i="1"/>
  <c r="K50" i="1"/>
  <c r="K66" i="1"/>
  <c r="K37" i="1"/>
  <c r="K19" i="1"/>
  <c r="K55" i="1"/>
  <c r="K18" i="1"/>
  <c r="K32" i="1"/>
  <c r="K26" i="1"/>
  <c r="K42" i="1"/>
  <c r="K20" i="1"/>
  <c r="K36" i="1"/>
  <c r="K67" i="1"/>
  <c r="K68" i="1"/>
  <c r="K53" i="1"/>
  <c r="K43" i="1"/>
  <c r="K25" i="1"/>
  <c r="K51" i="1"/>
  <c r="K61" i="1"/>
  <c r="K44" i="1"/>
  <c r="K45" i="1"/>
  <c r="K39" i="1"/>
  <c r="K27" i="1"/>
  <c r="K41" i="1"/>
  <c r="K35" i="1"/>
  <c r="K29" i="1"/>
  <c r="K23" i="1"/>
  <c r="K17" i="1"/>
  <c r="K33"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53" i="1"/>
  <c r="AB17" i="1"/>
  <c r="AB47" i="1"/>
  <c r="AB35" i="1"/>
  <c r="AB24" i="1" l="1"/>
  <c r="AA58" i="1"/>
  <c r="AB65" i="1"/>
  <c r="AA65" i="1" s="1"/>
  <c r="AA66" i="1"/>
  <c r="AB67" i="1"/>
  <c r="AB36" i="1"/>
  <c r="AA35"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52" i="1"/>
  <c r="L52" i="1" s="1"/>
  <c r="K58" i="1"/>
  <c r="L58" i="1" s="1"/>
  <c r="K22" i="1"/>
  <c r="L22" i="1" s="1"/>
  <c r="K64" i="1"/>
  <c r="L64" i="1" s="1"/>
  <c r="R34" i="18" l="1"/>
  <c r="X42" i="18"/>
  <c r="L34" i="18"/>
  <c r="AD34" i="18"/>
  <c r="AJ42" i="18"/>
  <c r="AD10" i="18"/>
  <c r="R10" i="18"/>
  <c r="AJ34" i="18"/>
  <c r="AD18" i="18"/>
  <c r="L18" i="18"/>
  <c r="R42" i="18"/>
  <c r="L42" i="18"/>
  <c r="X26" i="18"/>
  <c r="L26" i="18"/>
  <c r="AJ18" i="18"/>
  <c r="X18" i="18"/>
  <c r="N52" i="1"/>
  <c r="R26" i="18"/>
  <c r="L10" i="18"/>
  <c r="AJ26" i="18"/>
  <c r="R18" i="18"/>
  <c r="X34" i="18"/>
  <c r="AJ10" i="18"/>
  <c r="AD26" i="18"/>
  <c r="AD42" i="18"/>
  <c r="X10" i="18"/>
  <c r="M52" i="1"/>
  <c r="AB52" i="1" s="1"/>
  <c r="AA52" i="1" s="1"/>
  <c r="P14" i="18"/>
  <c r="J38" i="18"/>
  <c r="V22" i="18"/>
  <c r="AH6" i="18"/>
  <c r="V14" i="18"/>
  <c r="V6" i="18"/>
  <c r="J6" i="18"/>
  <c r="AH14" i="18"/>
  <c r="P30" i="18"/>
  <c r="AH38" i="18"/>
  <c r="AH22" i="18"/>
  <c r="J14" i="18"/>
  <c r="P6" i="18"/>
  <c r="AB38" i="18"/>
  <c r="AB22" i="18"/>
  <c r="P22" i="18"/>
  <c r="V30" i="18"/>
  <c r="AB30" i="18"/>
  <c r="AB14" i="18"/>
  <c r="M10" i="1"/>
  <c r="AB10" i="1" s="1"/>
  <c r="AH30" i="18"/>
  <c r="V38" i="18"/>
  <c r="J30" i="18"/>
  <c r="AB6" i="18"/>
  <c r="N10" i="1"/>
  <c r="P38" i="18"/>
  <c r="J22" i="18"/>
  <c r="J40" i="18"/>
  <c r="J8" i="18"/>
  <c r="AB40" i="18"/>
  <c r="AB32" i="18"/>
  <c r="AH32" i="18"/>
  <c r="AB8" i="18"/>
  <c r="AB24" i="18"/>
  <c r="J16" i="18"/>
  <c r="J24" i="18"/>
  <c r="P32" i="18"/>
  <c r="J32" i="18"/>
  <c r="V24" i="18"/>
  <c r="P8" i="18"/>
  <c r="P24" i="18"/>
  <c r="P16" i="18"/>
  <c r="AH16" i="18"/>
  <c r="P40" i="18"/>
  <c r="V16" i="18"/>
  <c r="V32" i="18"/>
  <c r="N28" i="1"/>
  <c r="AB16" i="18"/>
  <c r="AH40" i="18"/>
  <c r="AH8" i="18"/>
  <c r="AH24" i="18"/>
  <c r="M28" i="1"/>
  <c r="AB28" i="1" s="1"/>
  <c r="AA28" i="1" s="1"/>
  <c r="V40" i="18"/>
  <c r="V8" i="18"/>
  <c r="AD30" i="18"/>
  <c r="X6" i="18"/>
  <c r="AJ38" i="18"/>
  <c r="AJ30" i="18"/>
  <c r="AJ22" i="18"/>
  <c r="R22" i="18"/>
  <c r="X30" i="18"/>
  <c r="AJ6" i="18"/>
  <c r="L6" i="18"/>
  <c r="L38" i="18"/>
  <c r="R30" i="18"/>
  <c r="AD14" i="18"/>
  <c r="X22" i="18"/>
  <c r="AD38" i="18"/>
  <c r="L14" i="18"/>
  <c r="N16" i="1"/>
  <c r="AD6" i="18"/>
  <c r="AD22" i="18"/>
  <c r="X38" i="18"/>
  <c r="M16" i="1"/>
  <c r="AB16" i="1" s="1"/>
  <c r="R6" i="18"/>
  <c r="L30" i="18"/>
  <c r="AJ14" i="18"/>
  <c r="R38" i="18"/>
  <c r="L22" i="18"/>
  <c r="X14" i="18"/>
  <c r="R14" i="18"/>
  <c r="M46" i="1"/>
  <c r="AB46" i="1" s="1"/>
  <c r="AA46" i="1" s="1"/>
  <c r="AB10" i="18"/>
  <c r="J42" i="18"/>
  <c r="J18" i="18"/>
  <c r="P34" i="18"/>
  <c r="N46" i="1"/>
  <c r="AB18" i="18"/>
  <c r="AB34" i="18"/>
  <c r="AB42" i="18"/>
  <c r="AH34" i="18"/>
  <c r="J26" i="18"/>
  <c r="P10" i="18"/>
  <c r="AH10" i="18"/>
  <c r="V34" i="18"/>
  <c r="P18" i="18"/>
  <c r="P42" i="18"/>
  <c r="AB26" i="18"/>
  <c r="V26" i="18"/>
  <c r="AH42" i="18"/>
  <c r="V18" i="18"/>
  <c r="AH26" i="18"/>
  <c r="V42" i="18"/>
  <c r="V10" i="18"/>
  <c r="J34" i="18"/>
  <c r="J10" i="18"/>
  <c r="P26" i="18"/>
  <c r="AH18" i="18"/>
  <c r="Z42" i="18"/>
  <c r="AF18" i="18"/>
  <c r="T18" i="18"/>
  <c r="Z26" i="18"/>
  <c r="AF34" i="18"/>
  <c r="AL34" i="18"/>
  <c r="AF42" i="18"/>
  <c r="N26" i="18"/>
  <c r="T42" i="18"/>
  <c r="N42" i="18"/>
  <c r="T10" i="18"/>
  <c r="Z18" i="18"/>
  <c r="N58" i="1"/>
  <c r="AL10" i="18"/>
  <c r="AL42" i="18"/>
  <c r="AL26" i="18"/>
  <c r="T34" i="18"/>
  <c r="N10" i="18"/>
  <c r="Z34" i="18"/>
  <c r="AF26" i="18"/>
  <c r="N34" i="18"/>
  <c r="Z10" i="18"/>
  <c r="M58" i="1"/>
  <c r="N18" i="18"/>
  <c r="AF10" i="18"/>
  <c r="T26" i="18"/>
  <c r="AL18" i="18"/>
  <c r="AH12" i="18"/>
  <c r="V12" i="18"/>
  <c r="J20" i="18"/>
  <c r="V28" i="18"/>
  <c r="J44" i="18"/>
  <c r="AH44" i="18"/>
  <c r="AB28" i="18"/>
  <c r="P36" i="18"/>
  <c r="AH36" i="18"/>
  <c r="J36" i="18"/>
  <c r="P28" i="18"/>
  <c r="AH28" i="18"/>
  <c r="N64" i="1"/>
  <c r="V36" i="18"/>
  <c r="P12" i="18"/>
  <c r="V20" i="18"/>
  <c r="AB36" i="18"/>
  <c r="AB44" i="18"/>
  <c r="V44" i="18"/>
  <c r="M64" i="1"/>
  <c r="AB64" i="1" s="1"/>
  <c r="AA64" i="1" s="1"/>
  <c r="AH20" i="18"/>
  <c r="AB20" i="18"/>
  <c r="P44" i="18"/>
  <c r="J28" i="18"/>
  <c r="AB12" i="18"/>
  <c r="P20" i="18"/>
  <c r="J12" i="18"/>
  <c r="AF30" i="18"/>
  <c r="T14" i="18"/>
  <c r="Z22" i="18"/>
  <c r="AL38" i="18"/>
  <c r="T30" i="18"/>
  <c r="N14" i="18"/>
  <c r="N22" i="1"/>
  <c r="AL22" i="18"/>
  <c r="T38" i="18"/>
  <c r="AL6" i="18"/>
  <c r="T22" i="18"/>
  <c r="Z14" i="18"/>
  <c r="AL14" i="18"/>
  <c r="Z38" i="18"/>
  <c r="N22" i="18"/>
  <c r="AL30" i="18"/>
  <c r="Z30" i="18"/>
  <c r="T6" i="18"/>
  <c r="AF22" i="18"/>
  <c r="Z6" i="18"/>
  <c r="N6" i="18"/>
  <c r="M22" i="1"/>
  <c r="AB22" i="1" s="1"/>
  <c r="AA22" i="1" s="1"/>
  <c r="AF6" i="18"/>
  <c r="AF14" i="18"/>
  <c r="AF38" i="18"/>
  <c r="N38" i="18"/>
  <c r="N30" i="18"/>
  <c r="M34" i="1"/>
  <c r="AB34" i="1" s="1"/>
  <c r="L16" i="18"/>
  <c r="R40" i="18"/>
  <c r="R24" i="18"/>
  <c r="L40" i="18"/>
  <c r="L8" i="18"/>
  <c r="X16" i="18"/>
  <c r="AJ8" i="18"/>
  <c r="L32" i="18"/>
  <c r="X32" i="18"/>
  <c r="R32" i="18"/>
  <c r="AJ40" i="18"/>
  <c r="AJ16" i="18"/>
  <c r="R16" i="18"/>
  <c r="R8" i="18"/>
  <c r="AD40" i="18"/>
  <c r="AJ24" i="18"/>
  <c r="AD32" i="18"/>
  <c r="AJ32" i="18"/>
  <c r="AD24" i="18"/>
  <c r="AD8" i="18"/>
  <c r="L24" i="18"/>
  <c r="X40" i="18"/>
  <c r="X24" i="18"/>
  <c r="N34" i="1"/>
  <c r="AD16" i="18"/>
  <c r="X8" i="18"/>
  <c r="N24" i="18"/>
  <c r="AF24" i="18"/>
  <c r="T32" i="18"/>
  <c r="AF32" i="18"/>
  <c r="T16" i="18"/>
  <c r="T40" i="18"/>
  <c r="AF40" i="18"/>
  <c r="AL40" i="18"/>
  <c r="AF16" i="18"/>
  <c r="AL32" i="18"/>
  <c r="Z40" i="18"/>
  <c r="N40" i="18"/>
  <c r="AL8" i="18"/>
  <c r="Z24" i="18"/>
  <c r="AF8" i="18"/>
  <c r="AL16" i="18"/>
  <c r="Z16" i="18"/>
  <c r="T24" i="18"/>
  <c r="AL24" i="18"/>
  <c r="T8" i="18"/>
  <c r="M40" i="1"/>
  <c r="AB40" i="1" s="1"/>
  <c r="AA40" i="1" s="1"/>
  <c r="N32" i="18"/>
  <c r="Z32" i="18"/>
  <c r="N16" i="18"/>
  <c r="N40" i="1"/>
  <c r="N8" i="18"/>
  <c r="Z8" i="18"/>
  <c r="V11" i="19" l="1"/>
  <c r="AB41" i="19"/>
  <c r="J21" i="19"/>
  <c r="V41" i="19"/>
  <c r="P51" i="19"/>
  <c r="J51" i="19"/>
  <c r="P11" i="19"/>
  <c r="J11" i="19"/>
  <c r="AB21" i="19"/>
  <c r="AC40" i="1"/>
  <c r="AB31" i="19"/>
  <c r="V31" i="19"/>
  <c r="V21" i="19"/>
  <c r="AH51" i="19"/>
  <c r="J31" i="19"/>
  <c r="P21" i="19"/>
  <c r="AB11" i="19"/>
  <c r="J41" i="19"/>
  <c r="P31" i="19"/>
  <c r="AH41" i="19"/>
  <c r="AB51" i="19"/>
  <c r="AH21" i="19"/>
  <c r="AH31" i="19"/>
  <c r="AH11" i="19"/>
  <c r="P41" i="19"/>
  <c r="V51" i="19"/>
  <c r="P18" i="19"/>
  <c r="J28" i="19"/>
  <c r="J48" i="19"/>
  <c r="V28" i="19"/>
  <c r="AB8" i="19"/>
  <c r="P28" i="19"/>
  <c r="AB28" i="19"/>
  <c r="V38" i="19"/>
  <c r="AH28" i="19"/>
  <c r="AB38" i="19"/>
  <c r="V48" i="19"/>
  <c r="P8" i="19"/>
  <c r="AB48" i="19"/>
  <c r="AH48" i="19"/>
  <c r="V18" i="19"/>
  <c r="AC22" i="1"/>
  <c r="P38" i="19"/>
  <c r="AH38" i="19"/>
  <c r="P48" i="19"/>
  <c r="AB18" i="19"/>
  <c r="J8" i="19"/>
  <c r="J18" i="19"/>
  <c r="AH8" i="19"/>
  <c r="V8" i="19"/>
  <c r="AH18" i="19"/>
  <c r="J38" i="19"/>
  <c r="AC28" i="1"/>
  <c r="P39" i="19"/>
  <c r="V9" i="19"/>
  <c r="V29" i="19"/>
  <c r="P49" i="19"/>
  <c r="AH39" i="19"/>
  <c r="AB19" i="19"/>
  <c r="J39" i="19"/>
  <c r="P9" i="19"/>
  <c r="AH9" i="19"/>
  <c r="P29" i="19"/>
  <c r="J49" i="19"/>
  <c r="V19" i="19"/>
  <c r="J9" i="19"/>
  <c r="AH49" i="19"/>
  <c r="J19" i="19"/>
  <c r="AB29" i="19"/>
  <c r="AH29" i="19"/>
  <c r="AB39" i="19"/>
  <c r="AB9" i="19"/>
  <c r="J29" i="19"/>
  <c r="AB49" i="19"/>
  <c r="P19" i="19"/>
  <c r="AH19" i="19"/>
  <c r="V39" i="19"/>
  <c r="V49" i="19"/>
  <c r="AB11" i="1"/>
  <c r="AA10" i="1"/>
  <c r="AC52" i="1"/>
  <c r="J23" i="19"/>
  <c r="V33" i="19"/>
  <c r="J53" i="19"/>
  <c r="V43" i="19"/>
  <c r="V53" i="19"/>
  <c r="P23" i="19"/>
  <c r="AH23" i="19"/>
  <c r="P53" i="19"/>
  <c r="AB33" i="19"/>
  <c r="AB43" i="19"/>
  <c r="P13" i="19"/>
  <c r="AH43" i="19"/>
  <c r="J13" i="19"/>
  <c r="AH33" i="19"/>
  <c r="AB13" i="19"/>
  <c r="V23" i="19"/>
  <c r="J33" i="19"/>
  <c r="V13" i="19"/>
  <c r="P43" i="19"/>
  <c r="J43" i="19"/>
  <c r="AH13" i="19"/>
  <c r="P33" i="19"/>
  <c r="AB23" i="19"/>
  <c r="AB53" i="19"/>
  <c r="AH53" i="19"/>
  <c r="V25" i="19"/>
  <c r="AH15" i="19"/>
  <c r="V45" i="19"/>
  <c r="V35" i="19"/>
  <c r="J15" i="19"/>
  <c r="J55" i="19"/>
  <c r="AB45" i="19"/>
  <c r="J25" i="19"/>
  <c r="P55" i="19"/>
  <c r="AH25" i="19"/>
  <c r="AB55" i="19"/>
  <c r="AH55" i="19"/>
  <c r="AC64" i="1"/>
  <c r="AB15" i="19"/>
  <c r="AB25" i="19"/>
  <c r="P15" i="19"/>
  <c r="AH35" i="19"/>
  <c r="AB35" i="19"/>
  <c r="P45" i="19"/>
  <c r="J45" i="19"/>
  <c r="V15" i="19"/>
  <c r="P25" i="19"/>
  <c r="J35" i="19"/>
  <c r="P35" i="19"/>
  <c r="AH45" i="19"/>
  <c r="V55" i="19"/>
  <c r="AA34" i="1"/>
  <c r="AB41" i="1"/>
  <c r="AA41" i="1" s="1"/>
  <c r="J32" i="19"/>
  <c r="V22" i="19"/>
  <c r="AH42" i="19"/>
  <c r="AB32" i="19"/>
  <c r="V52" i="19"/>
  <c r="P22" i="19"/>
  <c r="J12" i="19"/>
  <c r="J22" i="19"/>
  <c r="J42" i="19"/>
  <c r="AH32" i="19"/>
  <c r="V12" i="19"/>
  <c r="V32" i="19"/>
  <c r="AB52" i="19"/>
  <c r="J52" i="19"/>
  <c r="P32" i="19"/>
  <c r="AB42" i="19"/>
  <c r="AB22" i="19"/>
  <c r="P12" i="19"/>
  <c r="AH22" i="19"/>
  <c r="P42" i="19"/>
  <c r="AC46" i="1"/>
  <c r="AH12" i="19"/>
  <c r="AB12" i="19"/>
  <c r="V42" i="19"/>
  <c r="AH52" i="19"/>
  <c r="P52" i="19"/>
  <c r="AA16" i="1"/>
  <c r="AB23" i="1"/>
  <c r="AA23" i="1" s="1"/>
  <c r="AB12" i="1" l="1"/>
  <c r="AA12" i="1" s="1"/>
  <c r="AA11" i="1"/>
  <c r="AI41" i="19"/>
  <c r="AC11" i="19"/>
  <c r="AI11" i="19"/>
  <c r="W51" i="19"/>
  <c r="K51" i="19"/>
  <c r="K11" i="19"/>
  <c r="Q11" i="19"/>
  <c r="W21" i="19"/>
  <c r="K31" i="19"/>
  <c r="AI21" i="19"/>
  <c r="W11" i="19"/>
  <c r="AI51" i="19"/>
  <c r="AC41" i="19"/>
  <c r="Q21" i="19"/>
  <c r="K21" i="19"/>
  <c r="AC31" i="19"/>
  <c r="AC41" i="1"/>
  <c r="W31" i="19"/>
  <c r="Q51" i="19"/>
  <c r="W41" i="19"/>
  <c r="AC21" i="19"/>
  <c r="Q31" i="19"/>
  <c r="AI31" i="19"/>
  <c r="AC51" i="19"/>
  <c r="K41" i="19"/>
  <c r="Q41" i="19"/>
  <c r="P16" i="19"/>
  <c r="V26" i="19"/>
  <c r="P6" i="19"/>
  <c r="AH36" i="19"/>
  <c r="AH6" i="19"/>
  <c r="P26" i="19"/>
  <c r="AH16" i="19"/>
  <c r="AH26" i="19"/>
  <c r="J46" i="19"/>
  <c r="V46" i="19"/>
  <c r="V16" i="19"/>
  <c r="AH46" i="19"/>
  <c r="V36" i="19"/>
  <c r="AB46" i="19"/>
  <c r="AC10" i="1"/>
  <c r="J26" i="19"/>
  <c r="J16" i="19"/>
  <c r="AB36" i="19"/>
  <c r="J6" i="19"/>
  <c r="AB6" i="19"/>
  <c r="P46" i="19"/>
  <c r="P36" i="19"/>
  <c r="AB26" i="19"/>
  <c r="J36" i="19"/>
  <c r="AB16" i="19"/>
  <c r="V6" i="19"/>
  <c r="AC18" i="19"/>
  <c r="AC8" i="19"/>
  <c r="W18" i="19"/>
  <c r="AI8" i="19"/>
  <c r="Q48" i="19"/>
  <c r="AC38" i="19"/>
  <c r="Q28" i="19"/>
  <c r="AC23" i="1"/>
  <c r="W38" i="19"/>
  <c r="K38" i="19"/>
  <c r="Q38" i="19"/>
  <c r="AI38" i="19"/>
  <c r="Q18" i="19"/>
  <c r="W28" i="19"/>
  <c r="AI48" i="19"/>
  <c r="W8" i="19"/>
  <c r="Q8" i="19"/>
  <c r="K48" i="19"/>
  <c r="AC48" i="19"/>
  <c r="AI28" i="19"/>
  <c r="W48" i="19"/>
  <c r="K18" i="19"/>
  <c r="AC28" i="19"/>
  <c r="K28" i="19"/>
  <c r="K8" i="19"/>
  <c r="AI1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J30" i="19"/>
  <c r="AB50" i="19"/>
  <c r="V50" i="19"/>
  <c r="AH40" i="19"/>
  <c r="AC34" i="1"/>
  <c r="P40" i="19"/>
  <c r="J40" i="19"/>
  <c r="V20" i="19"/>
  <c r="J50" i="19"/>
  <c r="P50" i="19"/>
  <c r="J10" i="19"/>
  <c r="V10" i="19"/>
  <c r="V40" i="19"/>
  <c r="AH20" i="19"/>
  <c r="P30" i="19"/>
  <c r="AH30" i="19"/>
  <c r="AH50" i="19"/>
  <c r="J20" i="19"/>
  <c r="V30" i="19"/>
  <c r="AH10" i="19"/>
  <c r="AB40" i="19"/>
  <c r="AB10" i="19"/>
  <c r="AB20" i="19"/>
  <c r="P20" i="19"/>
  <c r="AB30" i="19"/>
  <c r="P10" i="19"/>
  <c r="AC11" i="1" l="1"/>
  <c r="W36" i="19"/>
  <c r="Q6" i="19"/>
  <c r="AC36" i="19"/>
  <c r="K6" i="19"/>
  <c r="K16" i="19"/>
  <c r="Q16" i="19"/>
  <c r="AI6" i="19"/>
  <c r="K46" i="19"/>
  <c r="AI16" i="19"/>
  <c r="AI46" i="19"/>
  <c r="Q36" i="19"/>
  <c r="AC46" i="19"/>
  <c r="W6" i="19"/>
  <c r="AI26" i="19"/>
  <c r="W26" i="19"/>
  <c r="Q46" i="19"/>
  <c r="K26" i="19"/>
  <c r="AC26" i="19"/>
  <c r="W46" i="19"/>
  <c r="AC16" i="19"/>
  <c r="AI36" i="19"/>
  <c r="W16" i="19"/>
  <c r="K36" i="19"/>
  <c r="AC6" i="19"/>
  <c r="Q26" i="19"/>
  <c r="AJ46" i="19"/>
  <c r="AJ26" i="19"/>
  <c r="X36" i="19"/>
  <c r="R46" i="19"/>
  <c r="AC12" i="1"/>
  <c r="R26" i="19"/>
  <c r="R16" i="19"/>
  <c r="X16" i="19"/>
  <c r="R36" i="19"/>
  <c r="AD36" i="19"/>
  <c r="AD16" i="19"/>
  <c r="AJ36" i="19"/>
  <c r="L26" i="19"/>
  <c r="AD46" i="19"/>
  <c r="L46" i="19"/>
  <c r="R6" i="19"/>
  <c r="AD26" i="19"/>
  <c r="X46" i="19"/>
  <c r="AD6" i="19"/>
  <c r="AJ16" i="19"/>
  <c r="L36" i="19"/>
  <c r="X6" i="19"/>
  <c r="AJ6" i="19"/>
  <c r="L16" i="19"/>
  <c r="X26" i="19"/>
  <c r="L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<sst xmlns="http://schemas.openxmlformats.org/spreadsheetml/2006/main" count="515" uniqueCount="301">
  <si>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</si>
  <si>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</si>
  <si>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</si>
  <si>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</si>
  <si>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</si>
  <si>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</si>
  <si>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</si>
  <si>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</si>
  <si>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</si>
  <si>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</si>
  <si>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</si>
  <si>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</si>
  <si>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</si>
  <si>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</si>
  <si>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</si>
  <si>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</si>
  <si>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</si>
  <si>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</si>
  <si>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</si>
  <si>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</si>
  <si>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</si>
  <si>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</si>
  <si>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</si>
  <si>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</si>
  <si>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</si>
  <si>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</si>
  <si>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</si>
  <si>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</si>
  <si>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</si>
  <si>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</si>
  <si>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</si>
  <si>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</si>
  <si>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</si>
  <si>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</si>
  <si>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</si>
  <si>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</si>
  <si>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</si>
  <si>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</si>
  <si>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</si>
  <si>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</si>
  <si>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</si>
  <si>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</si>
  <si>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</si>
  <si>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</si>
  <si>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</si>
  <si>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</si>
  <si>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</si>
  <si>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</si>
  <si>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</si>
  <si>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</si>
  <si>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</si>
  <si>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</si>
  <si>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</si>
  <si>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</si>
  <si>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</si>
  <si>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</si>
  <si>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</si>
  <si>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</si>
  <si>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</si>
  <si>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</si>
  <si>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</si>
  <si>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</si>
  <si>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</si>
  <si>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</si>
  <si>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</si>
  <si>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</si>
  <si>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</si>
  <si>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</si>
  <si>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</si>
  <si>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</si>
  <si>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</si>
  <si>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</si>
  <si>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</si>
  <si>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</si>
  <si>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</si>
  <si>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</si>
  <si>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</si>
  <si>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</si>
  <si>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</si>
  <si>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</si>
  <si>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</si>
  <si>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</si>
  <si>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</si>
  <si>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</si>
  <si>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</si>
  <si>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</si>
  <si>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</si>
  <si>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</si>
  <si>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</si>
  <si>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</si>
  <si>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</si>
  <si>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</si>
  <si>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</si>
  <si>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</si>
  <si>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</si>
  <si>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</si>
  <si>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</si>
  <si>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</si>
  <si>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</si>
  <si>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</si>
  <si>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</si>
  <si>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</si>
  <si>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</si>
  <si>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</si>
  <si>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</si>
  <si>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</si>
  <si>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</si>
  <si>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</si>
  <si>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</si>
  <si>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</si>
  <si>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</si>
  <si>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</si>
  <si>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</si>
  <si>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</si>
  <si>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</si>
  <si>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</si>
  <si>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</si>
  <si>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</si>
  <si>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</si>
  <si>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</si>
  <si>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</si>
  <si>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</si>
  <si>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</si>
  <si>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</si>
  <si>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</si>
  <si>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</si>
  <si>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</si>
  <si>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</si>
  <si>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</si>
  <si>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</si>
  <si>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</si>
  <si>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</si>
  <si>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</si>
  <si>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</si>
  <si>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</si>
  <si>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</si>
  <si>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</si>
  <si>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</si>
  <si>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</si>
  <si>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</si>
  <si>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</si>
  <si>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</si>
  <si>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</si>
  <si>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</si>
  <si>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</si>
  <si>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</si>
  <si>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</si>
  <si>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</si>
  <si>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</si>
  <si>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</si>
  <si>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</si>
  <si>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</si>
  <si>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</si>
  <si>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</si>
  <si>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</si>
  <si>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</si>
  <si>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</si>
  <si>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</si>
  <si>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</si>
  <si>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</si>
  <si>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</si>
  <si>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</si>
  <si>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</si>
  <si>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</si>
  <si>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</si>
  <si>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</si>
  <si>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</si>
  <si>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</si>
  <si>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</si>
  <si>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</si>
  <si>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</si>
  <si>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</si>
  <si>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</si>
  <si>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</si>
  <si>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</si>
  <si>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</si>
  <si>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</si>
  <si>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</si>
  <si>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</si>
  <si>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</si>
  <si>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</si>
  <si>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</si>
  <si>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</si>
  <si>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</si>
  <si>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</si>
  <si>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</si>
  <si>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</si>
  <si>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</si>
  <si>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</si>
  <si>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</si>
  <si>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</si>
  <si>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</si>
  <si>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</si>
  <si>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</si>
  <si>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</si>
  <si>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</si>
  <si>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</si>
  <si>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</si>
  <si>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</si>
  <si>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</si>
  <si>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</si>
  <si>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</si>
  <si>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</si>
  <si>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</si>
  <si>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</si>
  <si>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</si>
  <si>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</si>
  <si>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</si>
  <si>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</si>
  <si>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</si>
  <si>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</si>
  <si>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</si>
  <si>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</si>
  <si>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</si>
  <si>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</si>
  <si>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</si>
  <si>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</si>
  <si>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</si>
  <si>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</si>
  <si>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</si>
  <si>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</si>
  <si>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</si>
  <si>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</si>
  <si>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</si>
  <si>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</si>
  <si>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</si>
  <si>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</si>
  <si>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</si>
  <si>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</si>
  <si>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</si>
  <si>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</si>
  <si>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</si>
  <si>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</si>
  <si>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</si>
  <si>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</si>
  <si>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</si>
  <si>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</si>
  <si>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</si>
  <si>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</si>
  <si>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</si>
  <si>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</si>
  <si>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</si>
  <si>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</si>
  <si>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</si>
  <si>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</si>
  <si>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</si>
  <si>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</si>
  <si>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</si>
  <si>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</si>
  <si>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</si>
  <si>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</si>
  <si>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</si>
  <si>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</si>
  <si>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</si>
  <si>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</si>
  <si>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</si>
  <si>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SERVICIO FARMACEUTICO</t>
  </si>
  <si>
    <t>1.  Errores de formulación
2.  Errores en la transcripción de las fórmulas médicas
3. Errores en los cálculos de las unidosis
4. Errores humanos en la preparación</t>
  </si>
  <si>
    <t xml:space="preserve">Contaminación microbiana de preparados esteriles
</t>
  </si>
  <si>
    <t>Mantener controles que se vienen trabajando</t>
  </si>
  <si>
    <t>Director tecnico de servicio farmaceutico</t>
  </si>
  <si>
    <t>Gestionar contratacion de maquila con central de mezclas certificada vigente y garantizar prorrogas de contratos</t>
  </si>
  <si>
    <t xml:space="preserve">Suspensión del suministro de gases medicinales
</t>
  </si>
  <si>
    <t xml:space="preserve">1. Selección inadecuada de proveedores
2. No realización de inspección técnica de los productos recibidos
</t>
  </si>
  <si>
    <t>Vencimiento de productos farmacéuticos</t>
  </si>
  <si>
    <t>Errores en la dispensación</t>
  </si>
  <si>
    <t xml:space="preserve">1. Daños de infraestructura
2. Daños de equipo
3. Falta de personal
4. Ausencia de contratos de mantenimiento
5. Falta de validación y verificación de equipos, sistemas de aire y equipos de producción. </t>
  </si>
  <si>
    <t xml:space="preserve">1. Fallas en los equipos de suministro de aire
2. Reserva insuficiente para cubrir el tiempo de respuesta.
3. Suspensión del fluido eléctrico.
4. Taponamiento de las vías de acceso
5. Aumento de demanda por incremento temporal de camas de UCI por epidemias o pandemias </t>
  </si>
  <si>
    <t>Recepcionar productos farmacéuticos fraudulentos o adulterados</t>
  </si>
  <si>
    <t xml:space="preserve">Deficiencia en la preparación de medicamentos en central de mezclas
</t>
  </si>
  <si>
    <t>Cierre parcial o total de central de mezclas parenterales y/o central de gases  medicinales</t>
  </si>
  <si>
    <t xml:space="preserve">Indisponibilidad de medicamentos y dispositivos médicos
</t>
  </si>
  <si>
    <t xml:space="preserve">1. Incumplimiento de normas de bioseguridad para ingreso en área estéril 
2. Contaminación cruzada
3. No Realización de limpieza y desinfección de áreas y equipos en la CMP
4. No llevar a cabo controles microbiológicos por falta de contratos vigentes con laboratorios 
5. Incumplimiento a cronograma de mantenimientos preventivos
</t>
  </si>
  <si>
    <t xml:space="preserve">1.  Productos con baja rotación
2.  Reporte inoportuno a proveedor.
3.  Producto que se reciben con fecha de vencimiento corta 
4. En el almacenamiento no se tenga en cuenta FIFO - FEFO 
5. No se realicen semaforización próximos a vencer
6. Deficiencia en control de inventarios
</t>
  </si>
  <si>
    <t xml:space="preserve">1. Ausencia de contratación. 
2. Productos nuevos no incluidos en el listado básico.
3. Retrasos en el despacho.
4. Productos desabastecidos o descontinuados.
5. Bloqueos de despacho por cartera.
6. Indisponibilidad en la farmacia satélite.
</t>
  </si>
  <si>
    <t xml:space="preserve">1. Confusión y no semaforización en medicamentos LASA y alto riesgo.
2. Duplicidad u omisión de medicamentos
3. Desconocimiento de medicamentos por parte del personal
4. Doble formulación
5. Falla en la calidad de doble chequeo
6. Deficiencia en la aplicación de los 5 correctos
7. Confusión en el alistamiento y almacenamiento de productos
</t>
  </si>
  <si>
    <t>Posibilidad de pérdida Económica y Reputacional por deficiencia en la preparación de medicamentos de central de mezclas, debido a: errores de formulación, errores en la transcripción de las fórmulas médicas, errores en los cálculos de las unidosis, errores humanos en la preparación.</t>
  </si>
  <si>
    <t>Posibilidad de pérdida Económica y Reputacional por contaminación microbiana de preparados estériles, debido a incumplimiento de normas de bioseguridad para ingreso de área estéril, contaminación cruzada, no realización de limpieza y desinfección de áreas y equipos en la CMP, no llevar a cabo controles microbiológicos por falta de contratos vigentes con laboratorios, incumplimiento a cronograma de mantenimientos preventivos</t>
  </si>
  <si>
    <t>Posibilidad de pérdida Económica y Reputacional por suspensión del suministro de gases medicinales, debido a fallas en los equipos de suministro de aire, reserva insuficiente para cubrir el tiempo de respuesta, suspensión del fluido eléctrico, taponamiento de las vías de acceso, aumento de demanda por incremento temporal de camas de UCI por epidemias o pandemias</t>
  </si>
  <si>
    <t>Posibilidad de pérdida Económica y Reputacional por recepcionar productos farmacéuticos fraudulentos o adulterados, debido a la selección inadecuada de proveedores y la no realización de inspección técnica de los productos recibidos</t>
  </si>
  <si>
    <t>Posibilidad de pérdida Económica y Reputacional por vencimiento de productos farmacéuticos, debido a productos con baja rotación (por cierre de servicios, cumplimiento de normatividad y presentaciones comerciales), reporte inoportuno a proveedor, Producto que se reciben con fecha de vencimiento corta y no se hace la novedad oportunamente, que no se tenga en cuenta FIFO - FEFO en el almacenamiento, no realización de semaforización de próximos a vencer y deficiencia en control de inventarios.</t>
  </si>
  <si>
    <t>Posibilidad de pérdida Económica y Reputacional por indisponibilidad de medicamentos y dispositivos médicos, debido a la ausencia de contratación, productos nuevos no incluidos en el listado básico, retrasos en el despacho, productos desabastecidos o descontinuados, bloqueos de despacho por cartera, Indisponibilidad en la farmacia satélite.</t>
  </si>
  <si>
    <t>Posibilidad de pérdida Económica y Reputacional por errores en la dispensación, debido a confusión y no semaforización en medicamentos LASA y alto riesgo, duplicidad u omisión de medicamentos, desconocimiento de medicamentos por parte del personal, doble formulación, falla en la calidad de doble chequeo, deficiencia en la aplicación de los 5 correctos, confusión en el alistamiento y almacenamiento de productos.</t>
  </si>
  <si>
    <t>Jefe de producción, verifica todos los días, las 24 horas del día, también se tiene en funcionamiento un sistema de alarmas y un personal que las monitoriza constantemente, lo cual garantiza que la presión del aire medicinal y del oxígeno medicinal, permanezca dentro del intervalo definido asegurando el continuo suministro de gases medicinales, lo cual puede ser evidenciado mediante Reserva de repuestos - reserva de suministros - Control de Stock - Contratos vigentes - contrato de mantenimiento</t>
  </si>
  <si>
    <t>Director técnico y químico farmacéutico, realizan evaluación técnica de requisitos habilitantes, evaluación antes de contratar y auditoria a proveedores críticos, por otra parte regente de farmacia con verificación de químico farmacéutico realizan  inspección  administrativa y técnica de los productos recibidos.</t>
  </si>
  <si>
    <t>Auxiliares de farmacia, reportan todos los días al coordinador del servicio farmacéutico y personal de apoyo aquellos productos próximos a agotarse,  en procura de que se gestione su compra o préstamo de manera oportuna, lo cual permite dar continuidad a la farmacoterapia según los requerimientos que el personal médico.</t>
  </si>
  <si>
    <t>Auxiliares de farmacia, antes de surtir los medicamentos, emplean técnica de codificación de colores, lo cual permite de manera visible alertar sobre productos LASA, y medicamentos de alto riesgo, disminuyendo la probabilidad de errores de dispensación, lo cual se evidencia mediante el registro de calidad de "suministros sin confirmar".</t>
  </si>
  <si>
    <t>Suministrar medicamentos y dispositivos médicos, entregando la información necesaria a los usuarios y al personal asistencial sobre su uso adecuado, contribuyendo así al cumplimiento de la farmacoterapia;  promoviendo y propiciando estilos de vida saludable y previniendo factores de riesgo derivados de su uso, brindando atención farmacéutica a los pacientes y realizando con el equipo de salud, todas las intervenciones relacionadas con los medicamentos y dispositivos médicos necesarias para el cumplimiento de su finalidad.</t>
  </si>
  <si>
    <t xml:space="preserve">Inicia con la identificación de las necesidades de productos farmacéuticos de los usuarios que se atienden en el HUDN y finaliza con la dispensación adecuada de servicios farmacéuticos y el seguimiento a la farmacoterapia, uso adecuado e intervenciones farmacéuticas. </t>
  </si>
  <si>
    <t>Dar cumplimiento mensualmente a controles y validaciones microbiológicas de las unidosis</t>
  </si>
  <si>
    <t>Verificar continuamente antes de surtir productos LASA y medicamentos de alto riesgo para evitar errores.</t>
  </si>
  <si>
    <t xml:space="preserve">Contratista especializado, realiza mensualmente, controles y validaciones microbiológicas de las unidosis elaboradas en la central de mezclas así como a los ambientes y al personal, lo cual permite verificar que se estén empleando las técnicas de asepsia y antisepsia que garanticen la esterilidad y apirogenicidad de los preparados.
</t>
  </si>
  <si>
    <t>Cumplir con la evaluación técnica de requisitos habilitantes, evaluación antes de contratar y auditoria a proveedores críticos (ultima año 2022)</t>
  </si>
  <si>
    <t>Posibilidad de  pérdida Económica y Reputacional por cierre parcial o total de central de mezclas parenterales y central de gases  medicinales, debido a daños de infraestructura, daños de equipo, falta de personal, ausencia de contratos de mantenimiento, falta de validación y verificación de equipos, sistemas de aire y equipos de producción.</t>
  </si>
  <si>
    <t xml:space="preserve">Jefe de producción, realiza validación de orden médica, con el fin de incrementar la seguridad del paciente mediante la prevención de errores de medicación.
</t>
  </si>
  <si>
    <t xml:space="preserve">Jefe de producción, Químico preparador y Jefe de calidad, encargados de realizar los controles de calidad antes, durante y después de la preparación, asi: 
Antes - Jefe de producción
Durante - químico preparador
Después - jefe de calidad
</t>
  </si>
  <si>
    <t xml:space="preserve">Regente de farmacia y jefe de servicio, realiza doble chequeo en dispensación y recepción, con el fin de detectar errores para administrar medicamentos.
</t>
  </si>
  <si>
    <t xml:space="preserve">Director técnico de servicio farmacéutico, realiza Plan Anual de Adquisiciones y gestiona con junta directiva  presupuesto
</t>
  </si>
  <si>
    <t xml:space="preserve">Jefe de control de calidad, realiza ECO y cronograma de mantenimientos
</t>
  </si>
  <si>
    <t xml:space="preserve">Director técnico de servicio farmacéutico, realiza reporte mensual de gestión de fechas de vencimiento, lo cual arroja productos próximos   a vencer, vencidos, mayor rotación y ayuda a reclasificarlos.
</t>
  </si>
  <si>
    <t xml:space="preserve">Auxiliar de servicio farmacéutico, realiza semaforización de próximos a vencer, logística inversa y control de inventarios.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</si>
</sst>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255</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209</v>
      </c>
      <c r="F17" s="141"/>
      <c r="G17" s="112"/>
      <c r="H17" s="113"/>
    </row>
    <row r="18" spans="2:8" ht="27.75" customHeight="1" x14ac:dyDescent="0.25">
      <c r="B18" s="109"/>
      <c r="C18" s="148" t="s">
        <v>3</v>
      </c>
      <c r="D18" s="149"/>
      <c r="E18" s="140" t="s">
        <v>210</v>
      </c>
      <c r="F18" s="141"/>
      <c r="G18" s="112"/>
      <c r="H18" s="113"/>
    </row>
    <row r="19" spans="2:8" ht="28.5" customHeight="1" x14ac:dyDescent="0.25">
      <c r="B19" s="109"/>
      <c r="C19" s="148" t="s">
        <v>42</v>
      </c>
      <c r="D19" s="149"/>
      <c r="E19" s="140" t="s">
        <v>211</v>
      </c>
      <c r="F19" s="141"/>
      <c r="G19" s="112"/>
      <c r="H19" s="113"/>
    </row>
    <row r="20" spans="2:8" ht="72.75" customHeight="1" x14ac:dyDescent="0.25">
      <c r="B20" s="109"/>
      <c r="C20" s="148" t="s">
        <v>1</v>
      </c>
      <c r="D20" s="149"/>
      <c r="E20" s="140" t="s">
        <v>212</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110" zoomScaleNormal="110" workbookViewId="0">
      <selection activeCell="H10" sqref="H10:H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256</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287</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288</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269</v>
      </c>
      <c r="D10" s="204" t="s">
        <v>257</v>
      </c>
      <c r="E10" s="207" t="s">
        <v>276</v>
      </c>
      <c r="F10" s="204" t="s">
        <v>123</v>
      </c>
      <c r="G10" s="210">
        <v>60</v>
      </c>
      <c r="H10" s="213" t="str">
        <f>IF(G10&lt;=0,"",IF(G10&lt;=2,"Muy Baja",IF(G10&lt;=24,"Baja",IF(G10&lt;=500,"Media",IF(G10&lt;=5000,"Alta","Muy Alta")))))</f>
        <v>Media</v>
      </c>
      <c r="I10" s="195">
        <f>IF(H10="","",IF(H10="Muy Baja",0.2,IF(H10="Baja",0.4,IF(H10="Media",0.6,IF(H10="Alta",0.8,IF(H10="Muy Alta",1,))))))</f>
        <v>0.6</v>
      </c>
      <c r="J10" s="216" t="s">
        <v>149</v>
      </c>
      <c r="K10" s="195" t="str">
        <f ca="1">IF(NOT(ISERROR(MATCH(J10,'Tabla Impacto'!$B$221:$B$223,0))),'Tabla Impacto'!$F$223&amp;"Por favor no seleccionar los criterios de impacto(Afectación Económica o presupuestal y Pérdida Reputacional)",J10)</f>
        <v xml:space="preserve">     Entre 50 y 100 SMLMV </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3">
        <v>2</v>
      </c>
      <c r="P11" s="124" t="s">
        <v>295</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ca="1">IFERROR(IF(AB11="","",IF(AB11&lt;=0.2,"Leve",IF(AB11&lt;=0.4,"Menor",IF(AB11&lt;=0.6,"Moderado",IF(AB11&lt;=0.8,"Mayor","Catastrófico"))))),"")</f>
        <v>Moderado</v>
      </c>
      <c r="AB11" s="130">
        <f ca="1">IFERROR(IF(AND(Q10="Impacto",Q11="Impacto"),(AB10-(+AB10*T11)),IF(Q11="Impacto",($M$10-(+$M$10*T11)),IF(Q11="Probabilidad",AB10,""))),"")</f>
        <v>0.6</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259</v>
      </c>
      <c r="AF11" s="134" t="s">
        <v>260</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3">
        <v>3</v>
      </c>
      <c r="P12" s="139" t="s">
        <v>296</v>
      </c>
      <c r="Q12" s="125" t="str">
        <f>IF(OR(R12="Preventivo",R12="Detectivo"),"Probabilidad",IF(R12="Correctivo","Impacto",""))</f>
        <v>Probabilidad</v>
      </c>
      <c r="R12" s="126" t="s">
        <v>14</v>
      </c>
      <c r="S12" s="126" t="s">
        <v>9</v>
      </c>
      <c r="T12" s="127" t="str">
        <f t="shared" si="0"/>
        <v>40%</v>
      </c>
      <c r="U12" s="126" t="s">
        <v>19</v>
      </c>
      <c r="V12" s="126" t="s">
        <v>22</v>
      </c>
      <c r="W12" s="126" t="s">
        <v>119</v>
      </c>
      <c r="X12" s="128">
        <f>IFERROR(IF(AND(Q11="Probabilidad",Q12="Probabilidad"),(Z11-(+Z11*T12)),IF(AND(Q11="Impacto",Q12="Probabilidad"),(Z10-(+Z10*T12)),IF(Q12="Impacto",Z11,""))),"")</f>
        <v>0.12959999999999999</v>
      </c>
      <c r="Y12" s="129" t="str">
        <f t="shared" si="1"/>
        <v>Muy Baja</v>
      </c>
      <c r="Z12" s="130">
        <f t="shared" si="2"/>
        <v>0.12959999999999999</v>
      </c>
      <c r="AA12" s="129" t="str">
        <f ca="1">IFERROR(IF(AB12="","",IF(AB12&lt;=0.2,"Leve",IF(AB12&lt;=0.4,"Menor",IF(AB12&lt;=0.6,"Moderado",IF(AB12&lt;=0.8,"Mayor","Catastrófico"))))),"")</f>
        <v>Moderado</v>
      </c>
      <c r="AB12" s="130">
        <f ca="1">IFERROR(IF(AND(Q11="Impacto",Q12="Impacto"),(AB11-(+AB11*T12)),IF(AND(Q11="Probabilidad",Q12="Impacto"),(AB10-(+AB10*T12)),IF(Q12="Probabilidad",AB11,""))),"")</f>
        <v>0.6</v>
      </c>
      <c r="AC12" s="131"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2" t="s">
        <v>31</v>
      </c>
      <c r="AE12" s="133" t="s">
        <v>259</v>
      </c>
      <c r="AF12" s="134" t="s">
        <v>260</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3">
        <v>4</v>
      </c>
      <c r="P13" s="124"/>
      <c r="Q13" s="125" t="str">
        <f t="shared" ref="Q13:Q15" si="3">IF(OR(R13="Preventivo",R13="Detectivo"),"Probabilidad",IF(R13="Correctivo","Impacto",""))</f>
        <v/>
      </c>
      <c r="R13" s="126"/>
      <c r="S13" s="126"/>
      <c r="T13" s="127" t="str">
        <f t="shared" si="0"/>
        <v/>
      </c>
      <c r="U13" s="126"/>
      <c r="V13" s="126"/>
      <c r="W13" s="126"/>
      <c r="X13" s="128" t="str">
        <f t="shared" ref="X13:X15" si="4">IFERROR(IF(AND(Q12="Probabilidad",Q13="Probabilidad"),(Z12-(+Z12*T13)),IF(AND(Q12="Impacto",Q13="Probabilidad"),(Z11-(+Z11*T13)),IF(Q13="Impacto",Z12,""))),"")</f>
        <v/>
      </c>
      <c r="Y13" s="129" t="str">
        <f t="shared" si="1"/>
        <v/>
      </c>
      <c r="Z13" s="130" t="str">
        <f t="shared" si="2"/>
        <v/>
      </c>
      <c r="AA13" s="129" t="str">
        <f t="shared" ref="AA11:AA69" si="5">IFERROR(IF(AB13="","",IF(AB13&lt;=0.2,"Leve",IF(AB13&lt;=0.4,"Menor",IF(AB13&lt;=0.6,"Moderado",IF(AB13&lt;=0.8,"Mayor","Catastrófico"))))),"")</f>
        <v/>
      </c>
      <c r="AB13" s="130" t="str">
        <f t="shared" ref="AB13:AB15" si="6">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3">
        <v>5</v>
      </c>
      <c r="P14" s="124"/>
      <c r="Q14" s="125" t="str">
        <f t="shared" si="3"/>
        <v/>
      </c>
      <c r="R14" s="126"/>
      <c r="S14" s="126"/>
      <c r="T14" s="127" t="str">
        <f t="shared" si="0"/>
        <v/>
      </c>
      <c r="U14" s="126"/>
      <c r="V14" s="126"/>
      <c r="W14" s="126"/>
      <c r="X14" s="128" t="str">
        <f t="shared" si="4"/>
        <v/>
      </c>
      <c r="Y14" s="129" t="str">
        <f t="shared" si="1"/>
        <v/>
      </c>
      <c r="Z14" s="130" t="str">
        <f t="shared" si="2"/>
        <v/>
      </c>
      <c r="AA14" s="129" t="str">
        <f t="shared" si="5"/>
        <v/>
      </c>
      <c r="AB14" s="130" t="str">
        <f t="shared" si="6"/>
        <v/>
      </c>
      <c r="AC14" s="131" t="str">
        <f t="shared" ref="AC11:AC15" si="7">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3">
        <v>6</v>
      </c>
      <c r="P15" s="124"/>
      <c r="Q15" s="125" t="str">
        <f t="shared" si="3"/>
        <v/>
      </c>
      <c r="R15" s="126"/>
      <c r="S15" s="126"/>
      <c r="T15" s="127" t="str">
        <f t="shared" si="0"/>
        <v/>
      </c>
      <c r="U15" s="126"/>
      <c r="V15" s="126"/>
      <c r="W15" s="126"/>
      <c r="X15" s="128" t="str">
        <f t="shared" si="4"/>
        <v/>
      </c>
      <c r="Y15" s="129" t="str">
        <f t="shared" si="1"/>
        <v/>
      </c>
      <c r="Z15" s="130" t="str">
        <f t="shared" si="2"/>
        <v/>
      </c>
      <c r="AA15" s="129" t="str">
        <f t="shared" si="5"/>
        <v/>
      </c>
      <c r="AB15" s="130" t="str">
        <f t="shared" si="6"/>
        <v/>
      </c>
      <c r="AC15" s="131" t="str">
        <f t="shared" si="7"/>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134</v>
      </c>
      <c r="C16" s="204" t="s">
        <v>258</v>
      </c>
      <c r="D16" s="204" t="s">
        <v>272</v>
      </c>
      <c r="E16" s="207" t="s">
        <v>277</v>
      </c>
      <c r="F16" s="204" t="s">
        <v>123</v>
      </c>
      <c r="G16" s="210">
        <v>60</v>
      </c>
      <c r="H16" s="213" t="str">
        <f>IF(G16&lt;=0,"",IF(G16&lt;=2,"Muy Baja",IF(G16&lt;=24,"Baja",IF(G16&lt;=500,"Media",IF(G16&lt;=5000,"Alta","Muy Alta")))))</f>
        <v>Media</v>
      </c>
      <c r="I16" s="195">
        <f>IF(H16="","",IF(H16="Muy Baja",0.2,IF(H16="Baja",0.4,IF(H16="Media",0.6,IF(H16="Alta",0.8,IF(H16="Muy Alta",1,))))))</f>
        <v>0.6</v>
      </c>
      <c r="J16" s="216" t="s">
        <v>151</v>
      </c>
      <c r="K16" s="195" t="str">
        <f ca="1">IF(NOT(ISERROR(MATCH(J16,'Tabla Impacto'!$B$221:$B$223,0))),'Tabla Impacto'!$F$223&amp;"Por favor no seleccionar los criterios de impacto(Afectación Económica o presupuestal y Pérdida Reputacional)",J16)</f>
        <v xml:space="preserve">     Entre 100 y 500 SMLMV </v>
      </c>
      <c r="L16" s="213" t="str">
        <f ca="1">IF(OR(K16='Tabla Impacto'!$C$11,K16='Tabla Impacto'!$D$11),"Leve",IF(OR(K16='Tabla Impacto'!$C$12,K16='Tabla Impacto'!$D$12),"Menor",IF(OR(K16='Tabla Impacto'!$C$13,K16='Tabla Impacto'!$D$13),"Moderado",IF(OR(K16='Tabla Impacto'!$C$14,K16='Tabla Impacto'!$D$14),"Mayor",IF(OR(K16='Tabla Impacto'!$C$15,K16='Tabla Impacto'!$D$15),"Catastrófico","")))))</f>
        <v>Mayor</v>
      </c>
      <c r="M16" s="195">
        <f ca="1">IF(L16="","",IF(L16="Leve",0.2,IF(L16="Menor",0.4,IF(L16="Moderado",0.6,IF(L16="Mayor",0.8,IF(L16="Catastrófico",1,))))))</f>
        <v>0.8</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291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289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5"/>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5"/>
        <v/>
      </c>
      <c r="AB18" s="130" t="str">
        <f>IFERROR(IF(AND(Q17="Impacto",Q18="Impacto"),(AB17-(+AB17*T18)),IF(AND(Q17="Probabilidad",Q18="Impacto"),(AB16-(+AB16*T18)),IF(Q18="Probabilidad",AB17,""))),"")</f>
        <v/>
      </c>
      <c r="AC18" s="131" t="str">
        <f t="shared" si="10"/>
        <v/>
      </c>
      <c r="AD18" s="132"/>
      <c r="AE18" s="138"/>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5"/>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5"/>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5"/>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134</v>
      </c>
      <c r="C22" s="204" t="s">
        <v>270</v>
      </c>
      <c r="D22" s="204" t="s">
        <v>266</v>
      </c>
      <c r="E22" s="207" t="s">
        <v>293</v>
      </c>
      <c r="F22" s="204" t="s">
        <v>123</v>
      </c>
      <c r="G22" s="210">
        <v>20</v>
      </c>
      <c r="H22" s="213" t="str">
        <f>IF(G22&lt;=0,"",IF(G22&lt;=2,"Muy Baja",IF(G22&lt;=24,"Baja",IF(G22&lt;=500,"Media",IF(G22&lt;=5000,"Alta","Muy Alta")))))</f>
        <v>Baja</v>
      </c>
      <c r="I22" s="195">
        <f>IF(H22="","",IF(H22="Muy Baja",0.2,IF(H22="Baja",0.4,IF(H22="Media",0.6,IF(H22="Alta",0.8,IF(H22="Muy Alta",1,))))))</f>
        <v>0.4</v>
      </c>
      <c r="J22" s="216" t="s">
        <v>152</v>
      </c>
      <c r="K22" s="195" t="str">
        <f ca="1">IF(NOT(ISERROR(MATCH(J22,'Tabla Impacto'!$B$221:$B$223,0))),'Tabla Impacto'!$F$223&amp;"Por favor no seleccionar los criterios de impacto(Afectación Económica o presupuestal y Pérdida Reputacional)",J22)</f>
        <v xml:space="preserve">     Mayor a 500 SMLMV </v>
      </c>
      <c r="L22" s="213" t="str">
        <f ca="1">IF(OR(K22='Tabla Impacto'!$C$11,K22='Tabla Impacto'!$D$11),"Leve",IF(OR(K22='Tabla Impacto'!$C$12,K22='Tabla Impacto'!$D$12),"Menor",IF(OR(K22='Tabla Impacto'!$C$13,K22='Tabla Impacto'!$D$13),"Moderado",IF(OR(K22='Tabla Impacto'!$C$14,K22='Tabla Impacto'!$D$14),"Mayor",IF(OR(K22='Tabla Impacto'!$C$15,K22='Tabla Impacto'!$D$15),"Catastrófico","")))))</f>
        <v>Catastrófico</v>
      </c>
      <c r="M22" s="195">
        <f ca="1">IF(L22="","",IF(L22="Leve",0.2,IF(L22="Menor",0.4,IF(L22="Moderado",0.6,IF(L22="Mayor",0.8,IF(L22="Catastrófico",1,))))))</f>
        <v>1</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Extremo</v>
      </c>
      <c r="O22" s="123">
        <v>1</v>
      </c>
      <c r="P22" s="124" t="s">
        <v>297</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Catastrófico</v>
      </c>
      <c r="AB22" s="130">
        <f ca="1">IFERROR(IF(Q22="Impacto",(M22-(+M22*T22)),IF(Q22="Probabilidad",M22,"")),"")</f>
        <v>1</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Extremo</v>
      </c>
      <c r="AD22" s="132" t="s">
        <v>136</v>
      </c>
      <c r="AE22" s="133" t="s">
        <v>261</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ca="1">IF(NOT(ISERROR(MATCH(J23,_xlfn.ANCHORARRAY(E34),0))),I36&amp;"Por favor no seleccionar los criterios de impacto",J23)</f>
        <v>0</v>
      </c>
      <c r="L23" s="214"/>
      <c r="M23" s="196"/>
      <c r="N23" s="199"/>
      <c r="O23" s="123">
        <v>2</v>
      </c>
      <c r="P23" s="124" t="s">
        <v>298</v>
      </c>
      <c r="Q23" s="125" t="str">
        <f>IF(OR(R23="Preventivo",R23="Detectivo"),"Probabilidad",IF(R23="Correctivo","Impacto",""))</f>
        <v>Probabilidad</v>
      </c>
      <c r="R23" s="126" t="s">
        <v>14</v>
      </c>
      <c r="S23" s="126" t="s">
        <v>9</v>
      </c>
      <c r="T23" s="127" t="str">
        <f t="shared" ref="T23:T27" si="15">IF(AND(R23="Preventivo",S23="Automático"),"50%",IF(AND(R23="Preventivo",S23="Manual"),"40%",IF(AND(R23="Detectivo",S23="Automático"),"40%",IF(AND(R23="Detectivo",S23="Manual"),"30%",IF(AND(R23="Correctivo",S23="Automático"),"35%",IF(AND(R23="Correctivo",S23="Manual"),"25%",""))))))</f>
        <v>40%</v>
      </c>
      <c r="U23" s="126" t="s">
        <v>19</v>
      </c>
      <c r="V23" s="126" t="s">
        <v>22</v>
      </c>
      <c r="W23" s="126" t="s">
        <v>119</v>
      </c>
      <c r="X23" s="137">
        <f>IFERROR(IF(AND(Q22="Probabilidad",Q23="Probabilidad"),(Z22-(+Z22*T23)),IF(Q23="Probabilidad",(I22-(+I22*T23)),IF(Q23="Impacto",Z22,""))),"")</f>
        <v>0.14399999999999999</v>
      </c>
      <c r="Y23" s="129" t="str">
        <f t="shared" si="1"/>
        <v>Muy Baja</v>
      </c>
      <c r="Z23" s="130">
        <f t="shared" ref="Z23:Z27" si="16">+X23</f>
        <v>0.14399999999999999</v>
      </c>
      <c r="AA23" s="129" t="str">
        <f ca="1">IFERROR(IF(AB23="","",IF(AB23&lt;=0.2,"Leve",IF(AB23&lt;=0.4,"Menor",IF(AB23&lt;=0.6,"Moderado",IF(AB23&lt;=0.8,"Mayor","Catastrófico"))))),"")</f>
        <v>Mayor</v>
      </c>
      <c r="AB23" s="130">
        <f ca="1">IFERROR(IF(AND(Q22="Impacto",Q23="Impacto"),(AB16-(+AB16*T23)),IF(Q23="Impacto",($M$22-(+$M$22*T23)),IF(Q23="Probabilidad",AB16,""))),"")</f>
        <v>0.8</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Alto</v>
      </c>
      <c r="AD23" s="132" t="s">
        <v>136</v>
      </c>
      <c r="AE23" s="133" t="s">
        <v>261</v>
      </c>
      <c r="AF23" s="134" t="s">
        <v>260</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ca="1">IF(NOT(ISERROR(MATCH(J24,_xlfn.ANCHORARRAY(E35),0))),I37&amp;"Por favor no seleccionar los criterios de impacto",J24)</f>
        <v>0</v>
      </c>
      <c r="L24" s="214"/>
      <c r="M24" s="196"/>
      <c r="N24" s="199"/>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5"/>
        <v/>
      </c>
      <c r="AB24" s="130" t="str">
        <f>IFERROR(IF(AND(Q23="Impacto",Q24="Impacto"),(AB23-(+AB23*T24)),IF(AND(Q23="Probabilidad",Q24="Impacto"),(AB22-(+AB22*T24)),IF(Q24="Probabilidad",AB23,""))),"")</f>
        <v/>
      </c>
      <c r="AC24" s="131" t="str">
        <f t="shared" ref="AC23: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8"/>
      <c r="AF24" s="138"/>
      <c r="AG24" s="138"/>
      <c r="AH24" s="138"/>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ca="1">IF(NOT(ISERROR(MATCH(J25,_xlfn.ANCHORARRAY(E36),0))),I38&amp;"Por favor no seleccionar los criterios de impacto",J25)</f>
        <v>0</v>
      </c>
      <c r="L25" s="214"/>
      <c r="M25" s="196"/>
      <c r="N25" s="199"/>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5"/>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ca="1">IF(NOT(ISERROR(MATCH(J26,_xlfn.ANCHORARRAY(E37),0))),I39&amp;"Por favor no seleccionar los criterios de impacto",J26)</f>
        <v>0</v>
      </c>
      <c r="L26" s="214"/>
      <c r="M26" s="196"/>
      <c r="N26" s="199"/>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5"/>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ca="1">IF(NOT(ISERROR(MATCH(J27,_xlfn.ANCHORARRAY(E38),0))),I40&amp;"Por favor no seleccionar los criterios de impacto",J27)</f>
        <v>0</v>
      </c>
      <c r="L27" s="215"/>
      <c r="M27" s="197"/>
      <c r="N27" s="200"/>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5"/>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134</v>
      </c>
      <c r="C28" s="204" t="s">
        <v>262</v>
      </c>
      <c r="D28" s="204" t="s">
        <v>267</v>
      </c>
      <c r="E28" s="207" t="s">
        <v>278</v>
      </c>
      <c r="F28" s="204" t="s">
        <v>123</v>
      </c>
      <c r="G28" s="210">
        <v>60</v>
      </c>
      <c r="H28" s="213" t="str">
        <f>IF(G28&lt;=0,"",IF(G28&lt;=2,"Muy Baja",IF(G28&lt;=24,"Baja",IF(G28&lt;=500,"Media",IF(G28&lt;=5000,"Alta","Muy Alta")))))</f>
        <v>Media</v>
      </c>
      <c r="I28" s="195">
        <f>IF(H28="","",IF(H28="Muy Baja",0.2,IF(H28="Baja",0.4,IF(H28="Media",0.6,IF(H28="Alta",0.8,IF(H28="Muy Alta",1,))))))</f>
        <v>0.6</v>
      </c>
      <c r="J28" s="216" t="s">
        <v>149</v>
      </c>
      <c r="K28" s="195" t="str">
        <f ca="1">IF(NOT(ISERROR(MATCH(J28,'Tabla Impacto'!$B$221:$B$223,0))),'Tabla Impacto'!$F$223&amp;"Por favor no seleccionar los criterios de impacto(Afectación Económica o presupuestal y Pérdida Reputacional)",J28)</f>
        <v xml:space="preserve">     Entre 50 y 100 SMLMV </v>
      </c>
      <c r="L28" s="213"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5">
        <f ca="1">IF(L28="","",IF(L28="Leve",0.2,IF(L28="Menor",0.4,IF(L28="Moderado",0.6,IF(L28="Mayor",0.8,IF(L28="Catastrófico",1,))))))</f>
        <v>0.6</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283</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3"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ca="1">IF(NOT(ISERROR(MATCH(J29,_xlfn.ANCHORARRAY(E40),0))),I42&amp;"Por favor no seleccionar los criterios de impacto",J29)</f>
        <v>0</v>
      </c>
      <c r="L29" s="214"/>
      <c r="M29" s="196"/>
      <c r="N29" s="199"/>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5"/>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ca="1">IF(NOT(ISERROR(MATCH(J30,_xlfn.ANCHORARRAY(E41),0))),I43&amp;"Por favor no seleccionar los criterios de impacto",J30)</f>
        <v>0</v>
      </c>
      <c r="L30" s="214"/>
      <c r="M30" s="196"/>
      <c r="N30" s="199"/>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5"/>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ca="1">IF(NOT(ISERROR(MATCH(J31,_xlfn.ANCHORARRAY(E42),0))),I44&amp;"Por favor no seleccionar los criterios de impacto",J31)</f>
        <v>0</v>
      </c>
      <c r="L31" s="214"/>
      <c r="M31" s="196"/>
      <c r="N31" s="199"/>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5"/>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ca="1">IF(NOT(ISERROR(MATCH(J32,_xlfn.ANCHORARRAY(E43),0))),I45&amp;"Por favor no seleccionar los criterios de impacto",J32)</f>
        <v>0</v>
      </c>
      <c r="L32" s="214"/>
      <c r="M32" s="196"/>
      <c r="N32" s="199"/>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5"/>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ca="1">IF(NOT(ISERROR(MATCH(J33,_xlfn.ANCHORARRAY(E44),0))),I46&amp;"Por favor no seleccionar los criterios de impacto",J33)</f>
        <v>0</v>
      </c>
      <c r="L33" s="215"/>
      <c r="M33" s="197"/>
      <c r="N33" s="200"/>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5"/>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134</v>
      </c>
      <c r="C34" s="204" t="s">
        <v>268</v>
      </c>
      <c r="D34" s="204" t="s">
        <v>263</v>
      </c>
      <c r="E34" s="207" t="s">
        <v>279</v>
      </c>
      <c r="F34" s="204" t="s">
        <v>123</v>
      </c>
      <c r="G34" s="210">
        <v>60</v>
      </c>
      <c r="H34" s="213" t="str">
        <f>IF(G34&lt;=0,"",IF(G34&lt;=2,"Muy Baja",IF(G34&lt;=24,"Baja",IF(G34&lt;=500,"Media",IF(G34&lt;=5000,"Alta","Muy Alta")))))</f>
        <v>Media</v>
      </c>
      <c r="I34" s="195">
        <f>IF(H34="","",IF(H34="Muy Baja",0.2,IF(H34="Baja",0.4,IF(H34="Media",0.6,IF(H34="Alta",0.8,IF(H34="Muy Alta",1,))))))</f>
        <v>0.6</v>
      </c>
      <c r="J34" s="216" t="s">
        <v>151</v>
      </c>
      <c r="K34" s="195" t="str">
        <f ca="1">IF(NOT(ISERROR(MATCH(J34,'Tabla Impacto'!$B$221:$B$223,0))),'Tabla Impacto'!$F$223&amp;"Por favor no seleccionar los criterios de impacto(Afectación Económica o presupuestal y Pérdida Reputacional)",J34)</f>
        <v xml:space="preserve">     Entre 100 y 500 SMLMV </v>
      </c>
      <c r="L34" s="213" t="str">
        <f ca="1">IF(OR(K34='Tabla Impacto'!$C$11,K34='Tabla Impacto'!$D$11),"Leve",IF(OR(K34='Tabla Impacto'!$C$12,K34='Tabla Impacto'!$D$12),"Menor",IF(OR(K34='Tabla Impacto'!$C$13,K34='Tabla Impacto'!$D$13),"Moderado",IF(OR(K34='Tabla Impacto'!$C$14,K34='Tabla Impacto'!$D$14),"Mayor",IF(OR(K34='Tabla Impacto'!$C$15,K34='Tabla Impacto'!$D$15),"Catastrófico","")))))</f>
        <v>Mayor</v>
      </c>
      <c r="M34" s="195">
        <f ca="1">IF(L34="","",IF(L34="Leve",0.2,IF(L34="Menor",0.4,IF(L34="Moderado",0.6,IF(L34="Mayor",0.8,IF(L34="Catastrófico",1,))))))</f>
        <v>0.8</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284</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292</v>
      </c>
      <c r="AF34" s="133" t="s">
        <v>260</v>
      </c>
      <c r="AG34" s="135">
        <v>44927</v>
      </c>
      <c r="AH34" s="135">
        <v>45291</v>
      </c>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ca="1">IF(NOT(ISERROR(MATCH(J35,_xlfn.ANCHORARRAY(E46),0))),I48&amp;"Por favor no seleccionar los criterios de impacto",J35)</f>
        <v>0</v>
      </c>
      <c r="L35" s="214"/>
      <c r="M35" s="196"/>
      <c r="N35" s="199"/>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5"/>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8"/>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ca="1">IF(NOT(ISERROR(MATCH(J36,_xlfn.ANCHORARRAY(E47),0))),I49&amp;"Por favor no seleccionar los criterios de impacto",J36)</f>
        <v>0</v>
      </c>
      <c r="L36" s="214"/>
      <c r="M36" s="196"/>
      <c r="N36" s="199"/>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5"/>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ca="1">IF(NOT(ISERROR(MATCH(J37,_xlfn.ANCHORARRAY(E48),0))),I50&amp;"Por favor no seleccionar los criterios de impacto",J37)</f>
        <v>0</v>
      </c>
      <c r="L37" s="214"/>
      <c r="M37" s="196"/>
      <c r="N37" s="199"/>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5"/>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ca="1">IF(NOT(ISERROR(MATCH(J38,_xlfn.ANCHORARRAY(E49),0))),I51&amp;"Por favor no seleccionar los criterios de impacto",J38)</f>
        <v>0</v>
      </c>
      <c r="L38" s="214"/>
      <c r="M38" s="196"/>
      <c r="N38" s="199"/>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5"/>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ca="1">IF(NOT(ISERROR(MATCH(J39,_xlfn.ANCHORARRAY(E50),0))),I52&amp;"Por favor no seleccionar los criterios de impacto",J39)</f>
        <v>0</v>
      </c>
      <c r="L39" s="215"/>
      <c r="M39" s="197"/>
      <c r="N39" s="200"/>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5"/>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t="s">
        <v>133</v>
      </c>
      <c r="C40" s="204" t="s">
        <v>264</v>
      </c>
      <c r="D40" s="204" t="s">
        <v>273</v>
      </c>
      <c r="E40" s="207" t="s">
        <v>280</v>
      </c>
      <c r="F40" s="204" t="s">
        <v>123</v>
      </c>
      <c r="G40" s="210">
        <v>60</v>
      </c>
      <c r="H40" s="213" t="str">
        <f>IF(G40&lt;=0,"",IF(G40&lt;=2,"Muy Baja",IF(G40&lt;=24,"Baja",IF(G40&lt;=500,"Media",IF(G40&lt;=5000,"Alta","Muy Alta")))))</f>
        <v>Media</v>
      </c>
      <c r="I40" s="195">
        <f>IF(H40="","",IF(H40="Muy Baja",0.2,IF(H40="Baja",0.4,IF(H40="Media",0.6,IF(H40="Alta",0.8,IF(H40="Muy Alta",1,))))))</f>
        <v>0.6</v>
      </c>
      <c r="J40" s="216" t="s">
        <v>149</v>
      </c>
      <c r="K40" s="195" t="str">
        <f ca="1">IF(NOT(ISERROR(MATCH(J40,'Tabla Impacto'!$B$221:$B$223,0))),'Tabla Impacto'!$F$223&amp;"Por favor no seleccionar los criterios de impacto(Afectación Económica o presupuestal y Pérdida Reputacional)",J40)</f>
        <v xml:space="preserve">     Entre 50 y 100 SMLMV </v>
      </c>
      <c r="L40" s="213"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5">
        <f ca="1">IF(L40="","",IF(L40="Leve",0.2,IF(L40="Menor",0.4,IF(L40="Moderado",0.6,IF(L40="Mayor",0.8,IF(L40="Catastrófico",1,))))))</f>
        <v>0.6</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259</v>
      </c>
      <c r="AF40" s="134" t="s">
        <v>260</v>
      </c>
      <c r="AG40" s="135">
        <v>44927</v>
      </c>
      <c r="AH40" s="135">
        <v>45291</v>
      </c>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ca="1">IF(NOT(ISERROR(MATCH(J41,_xlfn.ANCHORARRAY(E52),0))),I54&amp;"Por favor no seleccionar los criterios de impacto",J41)</f>
        <v>0</v>
      </c>
      <c r="L41" s="214"/>
      <c r="M41" s="196"/>
      <c r="N41" s="199"/>
      <c r="O41" s="123">
        <v>2</v>
      </c>
      <c r="P41" s="124" t="s">
        <v>300</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Mayor</v>
      </c>
      <c r="AB41" s="130">
        <f ca="1">IFERROR(IF(AND(Q40="Impacto",Q41="Impacto"),(AB34-(+AB34*T41)),IF(Q41="Impacto",($M$40-(+$M$40*T41)),IF(Q41="Probabilidad",AB34,""))),"")</f>
        <v>0.8</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Alto</v>
      </c>
      <c r="AD41" s="132" t="s">
        <v>136</v>
      </c>
      <c r="AE41" s="133" t="s">
        <v>259</v>
      </c>
      <c r="AF41" s="134" t="s">
        <v>260</v>
      </c>
      <c r="AG41" s="135">
        <v>44927</v>
      </c>
      <c r="AH41" s="135">
        <v>45291</v>
      </c>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ca="1">IF(NOT(ISERROR(MATCH(J42,_xlfn.ANCHORARRAY(E53),0))),I55&amp;"Por favor no seleccionar los criterios de impacto",J42)</f>
        <v>0</v>
      </c>
      <c r="L42" s="214"/>
      <c r="M42" s="196"/>
      <c r="N42" s="199"/>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5"/>
        <v/>
      </c>
      <c r="AB42" s="130" t="str">
        <f>IFERROR(IF(AND(Q41="Impacto",Q42="Impacto"),(AB41-(+AB41*T42)),IF(AND(Q41="Probabilidad",Q42="Impacto"),(AB40-(+AB40*T42)),IF(Q42="Probabilidad",AB41,""))),"")</f>
        <v/>
      </c>
      <c r="AC42" s="131" t="str">
        <f t="shared" ref="AC41: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ca="1">IF(NOT(ISERROR(MATCH(J43,_xlfn.ANCHORARRAY(E54),0))),I56&amp;"Por favor no seleccionar los criterios de impacto",J43)</f>
        <v>0</v>
      </c>
      <c r="L43" s="214"/>
      <c r="M43" s="196"/>
      <c r="N43" s="199"/>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5"/>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ca="1">IF(NOT(ISERROR(MATCH(J44,_xlfn.ANCHORARRAY(E55),0))),I57&amp;"Por favor no seleccionar los criterios de impacto",J44)</f>
        <v>0</v>
      </c>
      <c r="L44" s="214"/>
      <c r="M44" s="196"/>
      <c r="N44" s="199"/>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5"/>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ca="1">IF(NOT(ISERROR(MATCH(J45,_xlfn.ANCHORARRAY(E56),0))),I58&amp;"Por favor no seleccionar los criterios de impacto",J45)</f>
        <v>0</v>
      </c>
      <c r="L45" s="215"/>
      <c r="M45" s="197"/>
      <c r="N45" s="200"/>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t="s">
        <v>134</v>
      </c>
      <c r="C46" s="204" t="s">
        <v>271</v>
      </c>
      <c r="D46" s="204" t="s">
        <v>274</v>
      </c>
      <c r="E46" s="207" t="s">
        <v>281</v>
      </c>
      <c r="F46" s="204" t="s">
        <v>123</v>
      </c>
      <c r="G46" s="210">
        <v>60</v>
      </c>
      <c r="H46" s="213" t="str">
        <f>IF(G46&lt;=0,"",IF(G46&lt;=2,"Muy Baja",IF(G46&lt;=24,"Baja",IF(G46&lt;=500,"Media",IF(G46&lt;=5000,"Alta","Muy Alta")))))</f>
        <v>Media</v>
      </c>
      <c r="I46" s="195">
        <f>IF(H46="","",IF(H46="Muy Baja",0.2,IF(H46="Baja",0.4,IF(H46="Media",0.6,IF(H46="Alta",0.8,IF(H46="Muy Alta",1,))))))</f>
        <v>0.6</v>
      </c>
      <c r="J46" s="216" t="s">
        <v>149</v>
      </c>
      <c r="K46" s="195" t="str">
        <f ca="1">IF(NOT(ISERROR(MATCH(J46,'Tabla Impacto'!$B$221:$B$223,0))),'Tabla Impacto'!$F$223&amp;"Por favor no seleccionar los criterios de impacto(Afectación Económica o presupuestal y Pérdida Reputacional)",J46)</f>
        <v xml:space="preserve">     Entre 50 y 100 SMLMV </v>
      </c>
      <c r="L46" s="213"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5">
        <f ca="1">IF(L46="","",IF(L46="Leve",0.2,IF(L46="Menor",0.4,IF(L46="Moderado",0.6,IF(L46="Mayor",0.8,IF(L46="Catastrófico",1,))))))</f>
        <v>0.6</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285</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0.36</v>
      </c>
      <c r="Y46" s="129" t="str">
        <f>IFERROR(IF(X46="","",IF(X46&lt;=0.2,"Muy Baja",IF(X46&lt;=0.4,"Baja",IF(X46&lt;=0.6,"Media",IF(X46&lt;=0.8,"Alta","Muy Alta"))))),"")</f>
        <v>Baja</v>
      </c>
      <c r="Z46" s="130">
        <f>+X46</f>
        <v>0.36</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259</v>
      </c>
      <c r="AF46" s="134" t="s">
        <v>260</v>
      </c>
      <c r="AG46" s="135">
        <v>44927</v>
      </c>
      <c r="AH46" s="135">
        <v>45291</v>
      </c>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ca="1">IF(NOT(ISERROR(MATCH(J47,_xlfn.ANCHORARRAY(E58),0))),I60&amp;"Por favor no seleccionar los criterios de impacto",J47)</f>
        <v>0</v>
      </c>
      <c r="L47" s="214"/>
      <c r="M47" s="196"/>
      <c r="N47" s="199"/>
      <c r="O47" s="123">
        <v>2</v>
      </c>
      <c r="P47" s="138"/>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5"/>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ca="1">IF(NOT(ISERROR(MATCH(J48,_xlfn.ANCHORARRAY(E59),0))),I61&amp;"Por favor no seleccionar los criterios de impacto",J48)</f>
        <v>0</v>
      </c>
      <c r="L48" s="214"/>
      <c r="M48" s="196"/>
      <c r="N48" s="199"/>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5"/>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ca="1">IF(NOT(ISERROR(MATCH(J49,_xlfn.ANCHORARRAY(E60),0))),I62&amp;"Por favor no seleccionar los criterios de impacto",J49)</f>
        <v>0</v>
      </c>
      <c r="L49" s="214"/>
      <c r="M49" s="196"/>
      <c r="N49" s="199"/>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5"/>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ca="1">IF(NOT(ISERROR(MATCH(J50,_xlfn.ANCHORARRAY(E61),0))),I63&amp;"Por favor no seleccionar los criterios de impacto",J50)</f>
        <v>0</v>
      </c>
      <c r="L50" s="214"/>
      <c r="M50" s="196"/>
      <c r="N50" s="199"/>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5"/>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ca="1">IF(NOT(ISERROR(MATCH(J51,_xlfn.ANCHORARRAY(E62),0))),I64&amp;"Por favor no seleccionar los criterios de impacto",J51)</f>
        <v>0</v>
      </c>
      <c r="L51" s="215"/>
      <c r="M51" s="197"/>
      <c r="N51" s="200"/>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5"/>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t="s">
        <v>134</v>
      </c>
      <c r="C52" s="204" t="s">
        <v>265</v>
      </c>
      <c r="D52" s="204" t="s">
        <v>275</v>
      </c>
      <c r="E52" s="207" t="s">
        <v>282</v>
      </c>
      <c r="F52" s="204" t="s">
        <v>123</v>
      </c>
      <c r="G52" s="210">
        <v>60</v>
      </c>
      <c r="H52" s="213" t="str">
        <f>IF(G52&lt;=0,"",IF(G52&lt;=2,"Muy Baja",IF(G52&lt;=24,"Baja",IF(G52&lt;=500,"Media",IF(G52&lt;=5000,"Alta","Muy Alta")))))</f>
        <v>Media</v>
      </c>
      <c r="I52" s="195">
        <f>IF(H52="","",IF(H52="Muy Baja",0.2,IF(H52="Baja",0.4,IF(H52="Media",0.6,IF(H52="Alta",0.8,IF(H52="Muy Alta",1,))))))</f>
        <v>0.6</v>
      </c>
      <c r="J52" s="216" t="s">
        <v>151</v>
      </c>
      <c r="K52" s="195" t="str">
        <f ca="1">IF(NOT(ISERROR(MATCH(J52,'Tabla Impacto'!$B$221:$B$223,0))),'Tabla Impacto'!$F$223&amp;"Por favor no seleccionar los criterios de impacto(Afectación Económica o presupuestal y Pérdida Reputacional)",J52)</f>
        <v xml:space="preserve">     Entre 100 y 500 SMLMV </v>
      </c>
      <c r="L52" s="213" t="str">
        <f ca="1">IF(OR(K52='Tabla Impacto'!$C$11,K52='Tabla Impacto'!$D$11),"Leve",IF(OR(K52='Tabla Impacto'!$C$12,K52='Tabla Impacto'!$D$12),"Menor",IF(OR(K52='Tabla Impacto'!$C$13,K52='Tabla Impacto'!$D$13),"Moderado",IF(OR(K52='Tabla Impacto'!$C$14,K52='Tabla Impacto'!$D$14),"Mayor",IF(OR(K52='Tabla Impacto'!$C$15,K52='Tabla Impacto'!$D$15),"Catastrófico","")))))</f>
        <v>Mayor</v>
      </c>
      <c r="M52" s="195">
        <f ca="1">IF(L52="","",IF(L52="Leve",0.2,IF(L52="Menor",0.4,IF(L52="Moderado",0.6,IF(L52="Mayor",0.8,IF(L52="Catastrófico",1,))))))</f>
        <v>0.8</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123">
        <v>1</v>
      </c>
      <c r="P52" s="124" t="s">
        <v>286</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Mayor</v>
      </c>
      <c r="AB52" s="130">
        <f ca="1">IFERROR(IF(Q52="Impacto",(M52-(+M52*T52)),IF(Q52="Probabilidad",M52,"")),"")</f>
        <v>0.8</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Alto</v>
      </c>
      <c r="AD52" s="132" t="s">
        <v>136</v>
      </c>
      <c r="AE52" s="133" t="s">
        <v>290</v>
      </c>
      <c r="AF52" s="134" t="s">
        <v>260</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5"/>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5"/>
        <v/>
      </c>
      <c r="AB54" s="130" t="str">
        <f>IFERROR(IF(AND(Q53="Impacto",Q54="Impacto"),(AB53-(+AB53*T54)),IF(AND(Q53="Probabilidad",Q54="Impacto"),(AB52-(+AB52*T54)),IF(Q54="Probabilidad",AB53,""))),"")</f>
        <v/>
      </c>
      <c r="AC54" s="131" t="str">
        <f t="shared" si="52"/>
        <v/>
      </c>
      <c r="AD54" s="132"/>
      <c r="AE54" s="138"/>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5"/>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5"/>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5"/>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5"/>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5"/>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5"/>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5"/>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5"/>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5"/>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5"/>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5"/>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5"/>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5"/>
        <v/>
      </c>
      <c r="AB69" s="130" t="str">
        <f t="shared" si="69"/>
        <v/>
      </c>
      <c r="AC69" s="131" t="str">
        <f t="shared" si="70"/>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AE19:AE22 AE10:AE15 AE17 AE25:AE33 AE36:AE51 AE53 AE55:AE69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AF10:AF22 AF25:AF69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AG10:AG22 AG25:AG69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AH10:AH22 AH25:AH69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IF(OR(AD24='Opciones Tratamiento'!$B$2,AD24='Opciones Tratamiento'!$B$3,AD24='Opciones Tratamiento'!$B$4),ISBLANK(AD24),ISTEXT(AD24))</xm:f>
          </x14:formula1>
          <xm:sqref>AE23 AE34</xm:sqref>
        </x14:dataValidation>
        <x14:dataValidation type="custom" allowBlank="1" showInputMessage="1" showErrorMessage="1" error="Recuerde que las acciones se generan bajo la medida de mitigar el riesgo" xr:uid="{00000000-0002-0000-0100-000010000000}">
          <x14:formula1>
            <xm:f>IF(OR(AD24='Opciones Tratamiento'!$B$2,AD24='Opciones Tratamiento'!$B$3,AD24='Opciones Tratamiento'!$B$4),ISBLANK(AD24),ISTEXT(AD24))</xm:f>
          </x14:formula1>
          <xm:sqref>AF23</xm:sqref>
        </x14:dataValidation>
        <x14:dataValidation type="custom" allowBlank="1" showInputMessage="1" showErrorMessage="1" error="Recuerde que las acciones se generan bajo la medida de mitigar el riesgo" xr:uid="{00000000-0002-0000-0100-000011000000}">
          <x14:formula1>
            <xm:f>IF(OR(AD24='Opciones Tratamiento'!$B$2,AD24='Opciones Tratamiento'!$B$3,AD24='Opciones Tratamiento'!$B$4),ISBLANK(AD24),ISTEXT(AD24))</xm:f>
          </x14:formula1>
          <xm:sqref>AG23</xm:sqref>
        </x14:dataValidation>
        <x14:dataValidation type="custom" allowBlank="1" showInputMessage="1" showErrorMessage="1" error="Recuerde que las acciones se generan bajo la medida de mitigar el riesgo" xr:uid="{00000000-0002-0000-0100-000012000000}">
          <x14:formula1>
            <xm:f>IF(OR(AD24='Opciones Tratamiento'!$B$2,AD24='Opciones Tratamiento'!$B$3,AD24='Opciones Tratamiento'!$B$4),ISBLANK(AD24),ISTEXT(AD24))</xm:f>
          </x14:formula1>
          <xm:sqref>AH23</xm:sqref>
        </x14:dataValidation>
        <x14:dataValidation type="custom" allowBlank="1" showInputMessage="1" showErrorMessage="1" error="Recuerde que las acciones se generan bajo la medida de mitigar el riesgo" xr:uid="{00000000-0002-0000-0100-000013000000}">
          <x14:formula1>
            <xm:f>IF(OR(AD18='Opciones Tratamiento'!$B$2,AD18='Opciones Tratamiento'!$B$3,AD18='Opciones Tratamiento'!$B$4),ISBLANK(AD18),ISTEXT(AD18))</xm:f>
          </x14:formula1>
          <xm:sqref>AE16 AE52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3" t="s">
        <v>161</v>
      </c>
      <c r="C2" s="323"/>
      <c r="D2" s="323"/>
      <c r="E2" s="323"/>
      <c r="F2" s="323"/>
      <c r="G2" s="323"/>
      <c r="H2" s="323"/>
      <c r="I2" s="323"/>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3"/>
      <c r="C3" s="323"/>
      <c r="D3" s="323"/>
      <c r="E3" s="323"/>
      <c r="F3" s="323"/>
      <c r="G3" s="323"/>
      <c r="H3" s="323"/>
      <c r="I3" s="323"/>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3"/>
      <c r="C4" s="323"/>
      <c r="D4" s="323"/>
      <c r="E4" s="323"/>
      <c r="F4" s="323"/>
      <c r="G4" s="323"/>
      <c r="H4" s="323"/>
      <c r="I4" s="323"/>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8" t="s">
        <v>4</v>
      </c>
      <c r="C6" s="238"/>
      <c r="D6" s="239"/>
      <c r="E6" s="276" t="s">
        <v>116</v>
      </c>
      <c r="F6" s="277"/>
      <c r="G6" s="277"/>
      <c r="H6" s="277"/>
      <c r="I6" s="278"/>
      <c r="J6" s="287" t="str">
        <f ca="1">IF(AND('Mapa final'!$H$10="Muy Alta",'Mapa final'!$L$10="Leve"),CONCATENATE("R",'Mapa final'!$A$10),"")</f>
        <v/>
      </c>
      <c r="K6" s="288"/>
      <c r="L6" s="288" t="str">
        <f ca="1">IF(AND('Mapa final'!$H$16="Muy Alta",'Mapa final'!$L$16="Leve"),CONCATENATE("R",'Mapa final'!$A$16),"")</f>
        <v/>
      </c>
      <c r="M6" s="288"/>
      <c r="N6" s="288" t="str">
        <f ca="1">IF(AND('Mapa final'!$H$22="Muy Alta",'Mapa final'!$L$22="Leve"),CONCATENATE("R",'Mapa final'!$A$22),"")</f>
        <v/>
      </c>
      <c r="O6" s="290"/>
      <c r="P6" s="287" t="str">
        <f ca="1">IF(AND('Mapa final'!$H$10="Muy Alta",'Mapa final'!$L$10="Menor"),CONCATENATE("R",'Mapa final'!$A$10),"")</f>
        <v/>
      </c>
      <c r="Q6" s="288"/>
      <c r="R6" s="288" t="str">
        <f ca="1">IF(AND('Mapa final'!$H$16="Muy Alta",'Mapa final'!$L$16="Menor"),CONCATENATE("R",'Mapa final'!$A$16),"")</f>
        <v/>
      </c>
      <c r="S6" s="288"/>
      <c r="T6" s="288" t="str">
        <f ca="1">IF(AND('Mapa final'!$H$22="Muy Alta",'Mapa final'!$L$22="Menor"),CONCATENATE("R",'Mapa final'!$A$22),"")</f>
        <v/>
      </c>
      <c r="U6" s="290"/>
      <c r="V6" s="287" t="str">
        <f ca="1">IF(AND('Mapa final'!$H$10="Muy Alta",'Mapa final'!$L$10="Moderado"),CONCATENATE("R",'Mapa final'!$A$10),"")</f>
        <v/>
      </c>
      <c r="W6" s="288"/>
      <c r="X6" s="288" t="str">
        <f ca="1">IF(AND('Mapa final'!$H$16="Muy Alta",'Mapa final'!$L$16="Moderado"),CONCATENATE("R",'Mapa final'!$A$16),"")</f>
        <v/>
      </c>
      <c r="Y6" s="288"/>
      <c r="Z6" s="288" t="str">
        <f ca="1">IF(AND('Mapa final'!$H$22="Muy Alta",'Mapa final'!$L$22="Moderado"),CONCATENATE("R",'Mapa final'!$A$22),"")</f>
        <v/>
      </c>
      <c r="AA6" s="290"/>
      <c r="AB6" s="287" t="str">
        <f ca="1">IF(AND('Mapa final'!$H$10="Muy Alta",'Mapa final'!$L$10="Mayor"),CONCATENATE("R",'Mapa final'!$A$10),"")</f>
        <v/>
      </c>
      <c r="AC6" s="288"/>
      <c r="AD6" s="288" t="str">
        <f ca="1">IF(AND('Mapa final'!$H$16="Muy Alta",'Mapa final'!$L$16="Mayor"),CONCATENATE("R",'Mapa final'!$A$16),"")</f>
        <v/>
      </c>
      <c r="AE6" s="288"/>
      <c r="AF6" s="288" t="str">
        <f ca="1">IF(AND('Mapa final'!$H$22="Muy Alta",'Mapa final'!$L$22="Mayor"),CONCATENATE("R",'Mapa final'!$A$22),"")</f>
        <v/>
      </c>
      <c r="AG6" s="290"/>
      <c r="AH6" s="302" t="str">
        <f ca="1">IF(AND('Mapa final'!$H$10="Muy Alta",'Mapa final'!$L$10="Catastrófico"),CONCATENATE("R",'Mapa final'!$A$10),"")</f>
        <v/>
      </c>
      <c r="AI6" s="303"/>
      <c r="AJ6" s="303" t="str">
        <f ca="1">IF(AND('Mapa final'!$H$16="Muy Alta",'Mapa final'!$L$16="Catastrófico"),CONCATENATE("R",'Mapa final'!$A$16),"")</f>
        <v/>
      </c>
      <c r="AK6" s="303"/>
      <c r="AL6" s="303" t="str">
        <f ca="1">IF(AND('Mapa final'!$H$22="Muy Alta",'Mapa final'!$L$22="Catastrófico"),CONCATENATE("R",'Mapa final'!$A$22),"")</f>
        <v/>
      </c>
      <c r="AM6" s="304"/>
      <c r="AO6" s="240" t="s">
        <v>79</v>
      </c>
      <c r="AP6" s="241"/>
      <c r="AQ6" s="241"/>
      <c r="AR6" s="241"/>
      <c r="AS6" s="241"/>
      <c r="AT6" s="2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8"/>
      <c r="C7" s="238"/>
      <c r="D7" s="239"/>
      <c r="E7" s="279"/>
      <c r="F7" s="280"/>
      <c r="G7" s="280"/>
      <c r="H7" s="280"/>
      <c r="I7" s="281"/>
      <c r="J7" s="289"/>
      <c r="K7" s="285"/>
      <c r="L7" s="285"/>
      <c r="M7" s="285"/>
      <c r="N7" s="285"/>
      <c r="O7" s="286"/>
      <c r="P7" s="289"/>
      <c r="Q7" s="285"/>
      <c r="R7" s="285"/>
      <c r="S7" s="285"/>
      <c r="T7" s="285"/>
      <c r="U7" s="286"/>
      <c r="V7" s="289"/>
      <c r="W7" s="285"/>
      <c r="X7" s="285"/>
      <c r="Y7" s="285"/>
      <c r="Z7" s="285"/>
      <c r="AA7" s="286"/>
      <c r="AB7" s="289"/>
      <c r="AC7" s="285"/>
      <c r="AD7" s="285"/>
      <c r="AE7" s="285"/>
      <c r="AF7" s="285"/>
      <c r="AG7" s="286"/>
      <c r="AH7" s="296"/>
      <c r="AI7" s="297"/>
      <c r="AJ7" s="297"/>
      <c r="AK7" s="297"/>
      <c r="AL7" s="297"/>
      <c r="AM7" s="298"/>
      <c r="AN7" s="83"/>
      <c r="AO7" s="243"/>
      <c r="AP7" s="244"/>
      <c r="AQ7" s="244"/>
      <c r="AR7" s="244"/>
      <c r="AS7" s="244"/>
      <c r="AT7" s="2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8"/>
      <c r="C8" s="238"/>
      <c r="D8" s="239"/>
      <c r="E8" s="279"/>
      <c r="F8" s="280"/>
      <c r="G8" s="280"/>
      <c r="H8" s="280"/>
      <c r="I8" s="281"/>
      <c r="J8" s="289" t="str">
        <f ca="1">IF(AND('Mapa final'!$H$28="Muy Alta",'Mapa final'!$L$28="Leve"),CONCATENATE("R",'Mapa final'!$A$28),"")</f>
        <v/>
      </c>
      <c r="K8" s="285"/>
      <c r="L8" s="285" t="str">
        <f ca="1">IF(AND('Mapa final'!$H$34="Muy Alta",'Mapa final'!$L$34="Leve"),CONCATENATE("R",'Mapa final'!$A$34),"")</f>
        <v/>
      </c>
      <c r="M8" s="285"/>
      <c r="N8" s="285" t="str">
        <f ca="1">IF(AND('Mapa final'!$H$40="Muy Alta",'Mapa final'!$L$40="Leve"),CONCATENATE("R",'Mapa final'!$A$40),"")</f>
        <v/>
      </c>
      <c r="O8" s="286"/>
      <c r="P8" s="289" t="str">
        <f ca="1">IF(AND('Mapa final'!$H$28="Muy Alta",'Mapa final'!$L$28="Menor"),CONCATENATE("R",'Mapa final'!$A$28),"")</f>
        <v/>
      </c>
      <c r="Q8" s="285"/>
      <c r="R8" s="285" t="str">
        <f ca="1">IF(AND('Mapa final'!$H$34="Muy Alta",'Mapa final'!$L$34="Menor"),CONCATENATE("R",'Mapa final'!$A$34),"")</f>
        <v/>
      </c>
      <c r="S8" s="285"/>
      <c r="T8" s="285" t="str">
        <f ca="1">IF(AND('Mapa final'!$H$40="Muy Alta",'Mapa final'!$L$40="Menor"),CONCATENATE("R",'Mapa final'!$A$40),"")</f>
        <v/>
      </c>
      <c r="U8" s="286"/>
      <c r="V8" s="289" t="str">
        <f ca="1">IF(AND('Mapa final'!$H$28="Muy Alta",'Mapa final'!$L$28="Moderado"),CONCATENATE("R",'Mapa final'!$A$28),"")</f>
        <v/>
      </c>
      <c r="W8" s="285"/>
      <c r="X8" s="285" t="str">
        <f ca="1">IF(AND('Mapa final'!$H$34="Muy Alta",'Mapa final'!$L$34="Moderado"),CONCATENATE("R",'Mapa final'!$A$34),"")</f>
        <v/>
      </c>
      <c r="Y8" s="285"/>
      <c r="Z8" s="285" t="str">
        <f ca="1">IF(AND('Mapa final'!$H$40="Muy Alta",'Mapa final'!$L$40="Moderado"),CONCATENATE("R",'Mapa final'!$A$40),"")</f>
        <v/>
      </c>
      <c r="AA8" s="286"/>
      <c r="AB8" s="289" t="str">
        <f ca="1">IF(AND('Mapa final'!$H$28="Muy Alta",'Mapa final'!$L$28="Mayor"),CONCATENATE("R",'Mapa final'!$A$28),"")</f>
        <v/>
      </c>
      <c r="AC8" s="285"/>
      <c r="AD8" s="285" t="str">
        <f ca="1">IF(AND('Mapa final'!$H$34="Muy Alta",'Mapa final'!$L$34="Mayor"),CONCATENATE("R",'Mapa final'!$A$34),"")</f>
        <v/>
      </c>
      <c r="AE8" s="285"/>
      <c r="AF8" s="285" t="str">
        <f ca="1">IF(AND('Mapa final'!$H$40="Muy Alta",'Mapa final'!$L$40="Mayor"),CONCATENATE("R",'Mapa final'!$A$40),"")</f>
        <v/>
      </c>
      <c r="AG8" s="286"/>
      <c r="AH8" s="296" t="str">
        <f ca="1">IF(AND('Mapa final'!$H$28="Muy Alta",'Mapa final'!$L$28="Catastrófico"),CONCATENATE("R",'Mapa final'!$A$28),"")</f>
        <v/>
      </c>
      <c r="AI8" s="297"/>
      <c r="AJ8" s="297" t="str">
        <f ca="1">IF(AND('Mapa final'!$H$34="Muy Alta",'Mapa final'!$L$34="Catastrófico"),CONCATENATE("R",'Mapa final'!$A$34),"")</f>
        <v/>
      </c>
      <c r="AK8" s="297"/>
      <c r="AL8" s="297" t="str">
        <f ca="1">IF(AND('Mapa final'!$H$40="Muy Alta",'Mapa final'!$L$40="Catastrófico"),CONCATENATE("R",'Mapa final'!$A$40),"")</f>
        <v/>
      </c>
      <c r="AM8" s="298"/>
      <c r="AN8" s="83"/>
      <c r="AO8" s="243"/>
      <c r="AP8" s="244"/>
      <c r="AQ8" s="244"/>
      <c r="AR8" s="244"/>
      <c r="AS8" s="244"/>
      <c r="AT8" s="2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8"/>
      <c r="C9" s="238"/>
      <c r="D9" s="239"/>
      <c r="E9" s="279"/>
      <c r="F9" s="280"/>
      <c r="G9" s="280"/>
      <c r="H9" s="280"/>
      <c r="I9" s="281"/>
      <c r="J9" s="289"/>
      <c r="K9" s="285"/>
      <c r="L9" s="285"/>
      <c r="M9" s="285"/>
      <c r="N9" s="285"/>
      <c r="O9" s="286"/>
      <c r="P9" s="289"/>
      <c r="Q9" s="285"/>
      <c r="R9" s="285"/>
      <c r="S9" s="285"/>
      <c r="T9" s="285"/>
      <c r="U9" s="286"/>
      <c r="V9" s="289"/>
      <c r="W9" s="285"/>
      <c r="X9" s="285"/>
      <c r="Y9" s="285"/>
      <c r="Z9" s="285"/>
      <c r="AA9" s="286"/>
      <c r="AB9" s="289"/>
      <c r="AC9" s="285"/>
      <c r="AD9" s="285"/>
      <c r="AE9" s="285"/>
      <c r="AF9" s="285"/>
      <c r="AG9" s="286"/>
      <c r="AH9" s="296"/>
      <c r="AI9" s="297"/>
      <c r="AJ9" s="297"/>
      <c r="AK9" s="297"/>
      <c r="AL9" s="297"/>
      <c r="AM9" s="298"/>
      <c r="AN9" s="83"/>
      <c r="AO9" s="243"/>
      <c r="AP9" s="244"/>
      <c r="AQ9" s="244"/>
      <c r="AR9" s="244"/>
      <c r="AS9" s="244"/>
      <c r="AT9" s="2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8"/>
      <c r="C10" s="238"/>
      <c r="D10" s="239"/>
      <c r="E10" s="279"/>
      <c r="F10" s="280"/>
      <c r="G10" s="280"/>
      <c r="H10" s="280"/>
      <c r="I10" s="281"/>
      <c r="J10" s="289" t="str">
        <f ca="1">IF(AND('Mapa final'!$H$46="Muy Alta",'Mapa final'!$L$46="Leve"),CONCATENATE("R",'Mapa final'!$A$46),"")</f>
        <v/>
      </c>
      <c r="K10" s="285"/>
      <c r="L10" s="285" t="str">
        <f ca="1">IF(AND('Mapa final'!$H$52="Muy Alta",'Mapa final'!$L$52="Leve"),CONCATENATE("R",'Mapa final'!$A$52),"")</f>
        <v/>
      </c>
      <c r="M10" s="285"/>
      <c r="N10" s="285" t="str">
        <f ca="1">IF(AND('Mapa final'!$H$58="Muy Alta",'Mapa final'!$L$58="Leve"),CONCATENATE("R",'Mapa final'!$A$58),"")</f>
        <v/>
      </c>
      <c r="O10" s="286"/>
      <c r="P10" s="289" t="str">
        <f ca="1">IF(AND('Mapa final'!$H$46="Muy Alta",'Mapa final'!$L$46="Menor"),CONCATENATE("R",'Mapa final'!$A$46),"")</f>
        <v/>
      </c>
      <c r="Q10" s="285"/>
      <c r="R10" s="285" t="str">
        <f ca="1">IF(AND('Mapa final'!$H$52="Muy Alta",'Mapa final'!$L$52="Menor"),CONCATENATE("R",'Mapa final'!$A$52),"")</f>
        <v/>
      </c>
      <c r="S10" s="285"/>
      <c r="T10" s="285" t="str">
        <f ca="1">IF(AND('Mapa final'!$H$58="Muy Alta",'Mapa final'!$L$58="Menor"),CONCATENATE("R",'Mapa final'!$A$58),"")</f>
        <v/>
      </c>
      <c r="U10" s="286"/>
      <c r="V10" s="289" t="str">
        <f ca="1">IF(AND('Mapa final'!$H$46="Muy Alta",'Mapa final'!$L$46="Moderado"),CONCATENATE("R",'Mapa final'!$A$46),"")</f>
        <v/>
      </c>
      <c r="W10" s="285"/>
      <c r="X10" s="285" t="str">
        <f ca="1">IF(AND('Mapa final'!$H$52="Muy Alta",'Mapa final'!$L$52="Moderado"),CONCATENATE("R",'Mapa final'!$A$52),"")</f>
        <v/>
      </c>
      <c r="Y10" s="285"/>
      <c r="Z10" s="285" t="str">
        <f ca="1">IF(AND('Mapa final'!$H$58="Muy Alta",'Mapa final'!$L$58="Moderado"),CONCATENATE("R",'Mapa final'!$A$58),"")</f>
        <v/>
      </c>
      <c r="AA10" s="286"/>
      <c r="AB10" s="289" t="str">
        <f ca="1">IF(AND('Mapa final'!$H$46="Muy Alta",'Mapa final'!$L$46="Mayor"),CONCATENATE("R",'Mapa final'!$A$46),"")</f>
        <v/>
      </c>
      <c r="AC10" s="285"/>
      <c r="AD10" s="285" t="str">
        <f ca="1">IF(AND('Mapa final'!$H$52="Muy Alta",'Mapa final'!$L$52="Mayor"),CONCATENATE("R",'Mapa final'!$A$52),"")</f>
        <v/>
      </c>
      <c r="AE10" s="285"/>
      <c r="AF10" s="285" t="str">
        <f ca="1">IF(AND('Mapa final'!$H$58="Muy Alta",'Mapa final'!$L$58="Mayor"),CONCATENATE("R",'Mapa final'!$A$58),"")</f>
        <v/>
      </c>
      <c r="AG10" s="286"/>
      <c r="AH10" s="296" t="str">
        <f ca="1">IF(AND('Mapa final'!$H$46="Muy Alta",'Mapa final'!$L$46="Catastrófico"),CONCATENATE("R",'Mapa final'!$A$46),"")</f>
        <v/>
      </c>
      <c r="AI10" s="297"/>
      <c r="AJ10" s="297" t="str">
        <f ca="1">IF(AND('Mapa final'!$H$52="Muy Alta",'Mapa final'!$L$52="Catastrófico"),CONCATENATE("R",'Mapa final'!$A$52),"")</f>
        <v/>
      </c>
      <c r="AK10" s="297"/>
      <c r="AL10" s="297" t="str">
        <f ca="1">IF(AND('Mapa final'!$H$58="Muy Alta",'Mapa final'!$L$58="Catastrófico"),CONCATENATE("R",'Mapa final'!$A$58),"")</f>
        <v/>
      </c>
      <c r="AM10" s="298"/>
      <c r="AN10" s="83"/>
      <c r="AO10" s="243"/>
      <c r="AP10" s="244"/>
      <c r="AQ10" s="244"/>
      <c r="AR10" s="244"/>
      <c r="AS10" s="244"/>
      <c r="AT10" s="2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8"/>
      <c r="C11" s="238"/>
      <c r="D11" s="239"/>
      <c r="E11" s="279"/>
      <c r="F11" s="280"/>
      <c r="G11" s="280"/>
      <c r="H11" s="280"/>
      <c r="I11" s="281"/>
      <c r="J11" s="289"/>
      <c r="K11" s="285"/>
      <c r="L11" s="285"/>
      <c r="M11" s="285"/>
      <c r="N11" s="285"/>
      <c r="O11" s="286"/>
      <c r="P11" s="289"/>
      <c r="Q11" s="285"/>
      <c r="R11" s="285"/>
      <c r="S11" s="285"/>
      <c r="T11" s="285"/>
      <c r="U11" s="286"/>
      <c r="V11" s="289"/>
      <c r="W11" s="285"/>
      <c r="X11" s="285"/>
      <c r="Y11" s="285"/>
      <c r="Z11" s="285"/>
      <c r="AA11" s="286"/>
      <c r="AB11" s="289"/>
      <c r="AC11" s="285"/>
      <c r="AD11" s="285"/>
      <c r="AE11" s="285"/>
      <c r="AF11" s="285"/>
      <c r="AG11" s="286"/>
      <c r="AH11" s="296"/>
      <c r="AI11" s="297"/>
      <c r="AJ11" s="297"/>
      <c r="AK11" s="297"/>
      <c r="AL11" s="297"/>
      <c r="AM11" s="298"/>
      <c r="AN11" s="83"/>
      <c r="AO11" s="243"/>
      <c r="AP11" s="244"/>
      <c r="AQ11" s="244"/>
      <c r="AR11" s="244"/>
      <c r="AS11" s="244"/>
      <c r="AT11" s="2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8"/>
      <c r="C12" s="238"/>
      <c r="D12" s="239"/>
      <c r="E12" s="279"/>
      <c r="F12" s="280"/>
      <c r="G12" s="280"/>
      <c r="H12" s="280"/>
      <c r="I12" s="281"/>
      <c r="J12" s="289" t="str">
        <f ca="1">IF(AND('Mapa final'!$H$64="Muy Alta",'Mapa final'!$L$64="Leve"),CONCATENATE("R",'Mapa final'!$A$64),"")</f>
        <v/>
      </c>
      <c r="K12" s="285"/>
      <c r="L12" s="285" t="str">
        <f>IF(AND('Mapa final'!$H$70="Muy Alta",'Mapa final'!$L$70="Leve"),CONCATENATE("R",'Mapa final'!$A$70),"")</f>
        <v/>
      </c>
      <c r="M12" s="285"/>
      <c r="N12" s="285" t="str">
        <f>IF(AND('Mapa final'!$H$76="Muy Alta",'Mapa final'!$L$76="Leve"),CONCATENATE("R",'Mapa final'!$A$76),"")</f>
        <v/>
      </c>
      <c r="O12" s="286"/>
      <c r="P12" s="289" t="str">
        <f ca="1">IF(AND('Mapa final'!$H$64="Muy Alta",'Mapa final'!$L$64="Menor"),CONCATENATE("R",'Mapa final'!$A$64),"")</f>
        <v/>
      </c>
      <c r="Q12" s="285"/>
      <c r="R12" s="285" t="str">
        <f>IF(AND('Mapa final'!$H$70="Muy Alta",'Mapa final'!$L$70="Menor"),CONCATENATE("R",'Mapa final'!$A$70),"")</f>
        <v/>
      </c>
      <c r="S12" s="285"/>
      <c r="T12" s="285" t="str">
        <f>IF(AND('Mapa final'!$H$76="Muy Alta",'Mapa final'!$L$76="Menor"),CONCATENATE("R",'Mapa final'!$A$76),"")</f>
        <v/>
      </c>
      <c r="U12" s="286"/>
      <c r="V12" s="289" t="str">
        <f ca="1">IF(AND('Mapa final'!$H$64="Muy Alta",'Mapa final'!$L$64="Moderado"),CONCATENATE("R",'Mapa final'!$A$64),"")</f>
        <v/>
      </c>
      <c r="W12" s="285"/>
      <c r="X12" s="285" t="str">
        <f>IF(AND('Mapa final'!$H$70="Muy Alta",'Mapa final'!$L$70="Moderado"),CONCATENATE("R",'Mapa final'!$A$70),"")</f>
        <v/>
      </c>
      <c r="Y12" s="285"/>
      <c r="Z12" s="285" t="str">
        <f>IF(AND('Mapa final'!$H$76="Muy Alta",'Mapa final'!$L$76="Moderado"),CONCATENATE("R",'Mapa final'!$A$76),"")</f>
        <v/>
      </c>
      <c r="AA12" s="286"/>
      <c r="AB12" s="289" t="str">
        <f ca="1">IF(AND('Mapa final'!$H$64="Muy Alta",'Mapa final'!$L$64="Mayor"),CONCATENATE("R",'Mapa final'!$A$64),"")</f>
        <v/>
      </c>
      <c r="AC12" s="285"/>
      <c r="AD12" s="285" t="str">
        <f>IF(AND('Mapa final'!$H$70="Muy Alta",'Mapa final'!$L$70="Mayor"),CONCATENATE("R",'Mapa final'!$A$70),"")</f>
        <v/>
      </c>
      <c r="AE12" s="285"/>
      <c r="AF12" s="285" t="str">
        <f>IF(AND('Mapa final'!$H$76="Muy Alta",'Mapa final'!$L$76="Mayor"),CONCATENATE("R",'Mapa final'!$A$76),"")</f>
        <v/>
      </c>
      <c r="AG12" s="286"/>
      <c r="AH12" s="296" t="str">
        <f ca="1">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3"/>
      <c r="AO12" s="243"/>
      <c r="AP12" s="244"/>
      <c r="AQ12" s="244"/>
      <c r="AR12" s="244"/>
      <c r="AS12" s="244"/>
      <c r="AT12" s="2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8"/>
      <c r="C13" s="238"/>
      <c r="D13" s="239"/>
      <c r="E13" s="282"/>
      <c r="F13" s="283"/>
      <c r="G13" s="283"/>
      <c r="H13" s="283"/>
      <c r="I13" s="284"/>
      <c r="J13" s="289"/>
      <c r="K13" s="285"/>
      <c r="L13" s="285"/>
      <c r="M13" s="285"/>
      <c r="N13" s="285"/>
      <c r="O13" s="286"/>
      <c r="P13" s="289"/>
      <c r="Q13" s="285"/>
      <c r="R13" s="285"/>
      <c r="S13" s="285"/>
      <c r="T13" s="285"/>
      <c r="U13" s="286"/>
      <c r="V13" s="289"/>
      <c r="W13" s="285"/>
      <c r="X13" s="285"/>
      <c r="Y13" s="285"/>
      <c r="Z13" s="285"/>
      <c r="AA13" s="286"/>
      <c r="AB13" s="289"/>
      <c r="AC13" s="285"/>
      <c r="AD13" s="285"/>
      <c r="AE13" s="285"/>
      <c r="AF13" s="285"/>
      <c r="AG13" s="286"/>
      <c r="AH13" s="299"/>
      <c r="AI13" s="300"/>
      <c r="AJ13" s="300"/>
      <c r="AK13" s="300"/>
      <c r="AL13" s="300"/>
      <c r="AM13" s="301"/>
      <c r="AN13" s="83"/>
      <c r="AO13" s="246"/>
      <c r="AP13" s="247"/>
      <c r="AQ13" s="247"/>
      <c r="AR13" s="247"/>
      <c r="AS13" s="247"/>
      <c r="AT13" s="2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8"/>
      <c r="C14" s="238"/>
      <c r="D14" s="239"/>
      <c r="E14" s="276" t="s">
        <v>115</v>
      </c>
      <c r="F14" s="277"/>
      <c r="G14" s="277"/>
      <c r="H14" s="277"/>
      <c r="I14" s="277"/>
      <c r="J14" s="311" t="str">
        <f ca="1">IF(AND('Mapa final'!$H$10="Alta",'Mapa final'!$L$10="Leve"),CONCATENATE("R",'Mapa final'!$A$10),"")</f>
        <v/>
      </c>
      <c r="K14" s="312"/>
      <c r="L14" s="312" t="str">
        <f ca="1">IF(AND('Mapa final'!$H$16="Alta",'Mapa final'!$L$16="Leve"),CONCATENATE("R",'Mapa final'!$A$16),"")</f>
        <v/>
      </c>
      <c r="M14" s="312"/>
      <c r="N14" s="312" t="str">
        <f ca="1">IF(AND('Mapa final'!$H$22="Alta",'Mapa final'!$L$22="Leve"),CONCATENATE("R",'Mapa final'!$A$22),"")</f>
        <v/>
      </c>
      <c r="O14" s="313"/>
      <c r="P14" s="311" t="str">
        <f ca="1">IF(AND('Mapa final'!$H$10="Alta",'Mapa final'!$L$10="Menor"),CONCATENATE("R",'Mapa final'!$A$10),"")</f>
        <v/>
      </c>
      <c r="Q14" s="312"/>
      <c r="R14" s="312" t="str">
        <f ca="1">IF(AND('Mapa final'!$H$16="Alta",'Mapa final'!$L$16="Menor"),CONCATENATE("R",'Mapa final'!$A$16),"")</f>
        <v/>
      </c>
      <c r="S14" s="312"/>
      <c r="T14" s="312" t="str">
        <f ca="1">IF(AND('Mapa final'!$H$22="Alta",'Mapa final'!$L$22="Menor"),CONCATENATE("R",'Mapa final'!$A$22),"")</f>
        <v/>
      </c>
      <c r="U14" s="313"/>
      <c r="V14" s="287" t="str">
        <f ca="1">IF(AND('Mapa final'!$H$10="Alta",'Mapa final'!$L$10="Moderado"),CONCATENATE("R",'Mapa final'!$A$10),"")</f>
        <v/>
      </c>
      <c r="W14" s="288"/>
      <c r="X14" s="288" t="str">
        <f ca="1">IF(AND('Mapa final'!$H$16="Alta",'Mapa final'!$L$16="Moderado"),CONCATENATE("R",'Mapa final'!$A$16),"")</f>
        <v/>
      </c>
      <c r="Y14" s="288"/>
      <c r="Z14" s="288" t="str">
        <f ca="1">IF(AND('Mapa final'!$H$22="Alta",'Mapa final'!$L$22="Moderado"),CONCATENATE("R",'Mapa final'!$A$22),"")</f>
        <v/>
      </c>
      <c r="AA14" s="290"/>
      <c r="AB14" s="287" t="str">
        <f ca="1">IF(AND('Mapa final'!$H$10="Alta",'Mapa final'!$L$10="Mayor"),CONCATENATE("R",'Mapa final'!$A$10),"")</f>
        <v/>
      </c>
      <c r="AC14" s="288"/>
      <c r="AD14" s="288" t="str">
        <f ca="1">IF(AND('Mapa final'!$H$16="Alta",'Mapa final'!$L$16="Mayor"),CONCATENATE("R",'Mapa final'!$A$16),"")</f>
        <v/>
      </c>
      <c r="AE14" s="288"/>
      <c r="AF14" s="288" t="str">
        <f ca="1">IF(AND('Mapa final'!$H$22="Alta",'Mapa final'!$L$22="Mayor"),CONCATENATE("R",'Mapa final'!$A$22),"")</f>
        <v/>
      </c>
      <c r="AG14" s="290"/>
      <c r="AH14" s="302" t="str">
        <f ca="1">IF(AND('Mapa final'!$H$10="Alta",'Mapa final'!$L$10="Catastrófico"),CONCATENATE("R",'Mapa final'!$A$10),"")</f>
        <v/>
      </c>
      <c r="AI14" s="303"/>
      <c r="AJ14" s="303" t="str">
        <f ca="1">IF(AND('Mapa final'!$H$16="Alta",'Mapa final'!$L$16="Catastrófico"),CONCATENATE("R",'Mapa final'!$A$16),"")</f>
        <v/>
      </c>
      <c r="AK14" s="303"/>
      <c r="AL14" s="303" t="str">
        <f ca="1">IF(AND('Mapa final'!$H$22="Alta",'Mapa final'!$L$22="Catastrófico"),CONCATENATE("R",'Mapa final'!$A$22),"")</f>
        <v/>
      </c>
      <c r="AM14" s="304"/>
      <c r="AN14" s="83"/>
      <c r="AO14" s="249" t="s">
        <v>80</v>
      </c>
      <c r="AP14" s="250"/>
      <c r="AQ14" s="250"/>
      <c r="AR14" s="250"/>
      <c r="AS14" s="250"/>
      <c r="AT14" s="25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8"/>
      <c r="C15" s="238"/>
      <c r="D15" s="239"/>
      <c r="E15" s="279"/>
      <c r="F15" s="280"/>
      <c r="G15" s="280"/>
      <c r="H15" s="280"/>
      <c r="I15" s="280"/>
      <c r="J15" s="305"/>
      <c r="K15" s="306"/>
      <c r="L15" s="306"/>
      <c r="M15" s="306"/>
      <c r="N15" s="306"/>
      <c r="O15" s="307"/>
      <c r="P15" s="305"/>
      <c r="Q15" s="306"/>
      <c r="R15" s="306"/>
      <c r="S15" s="306"/>
      <c r="T15" s="306"/>
      <c r="U15" s="307"/>
      <c r="V15" s="289"/>
      <c r="W15" s="285"/>
      <c r="X15" s="285"/>
      <c r="Y15" s="285"/>
      <c r="Z15" s="285"/>
      <c r="AA15" s="286"/>
      <c r="AB15" s="289"/>
      <c r="AC15" s="285"/>
      <c r="AD15" s="285"/>
      <c r="AE15" s="285"/>
      <c r="AF15" s="285"/>
      <c r="AG15" s="286"/>
      <c r="AH15" s="296"/>
      <c r="AI15" s="297"/>
      <c r="AJ15" s="297"/>
      <c r="AK15" s="297"/>
      <c r="AL15" s="297"/>
      <c r="AM15" s="298"/>
      <c r="AN15" s="83"/>
      <c r="AO15" s="252"/>
      <c r="AP15" s="253"/>
      <c r="AQ15" s="253"/>
      <c r="AR15" s="253"/>
      <c r="AS15" s="253"/>
      <c r="AT15" s="25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8"/>
      <c r="C16" s="238"/>
      <c r="D16" s="239"/>
      <c r="E16" s="279"/>
      <c r="F16" s="280"/>
      <c r="G16" s="280"/>
      <c r="H16" s="280"/>
      <c r="I16" s="280"/>
      <c r="J16" s="305" t="str">
        <f ca="1">IF(AND('Mapa final'!$H$28="Alta",'Mapa final'!$L$28="Leve"),CONCATENATE("R",'Mapa final'!$A$28),"")</f>
        <v/>
      </c>
      <c r="K16" s="306"/>
      <c r="L16" s="306" t="str">
        <f ca="1">IF(AND('Mapa final'!$H$34="Alta",'Mapa final'!$L$34="Leve"),CONCATENATE("R",'Mapa final'!$A$34),"")</f>
        <v/>
      </c>
      <c r="M16" s="306"/>
      <c r="N16" s="306" t="str">
        <f ca="1">IF(AND('Mapa final'!$H$40="Alta",'Mapa final'!$L$40="Leve"),CONCATENATE("R",'Mapa final'!$A$40),"")</f>
        <v/>
      </c>
      <c r="O16" s="307"/>
      <c r="P16" s="305" t="str">
        <f ca="1">IF(AND('Mapa final'!$H$28="Alta",'Mapa final'!$L$28="Menor"),CONCATENATE("R",'Mapa final'!$A$28),"")</f>
        <v/>
      </c>
      <c r="Q16" s="306"/>
      <c r="R16" s="306" t="str">
        <f ca="1">IF(AND('Mapa final'!$H$34="Alta",'Mapa final'!$L$34="Menor"),CONCATENATE("R",'Mapa final'!$A$34),"")</f>
        <v/>
      </c>
      <c r="S16" s="306"/>
      <c r="T16" s="306" t="str">
        <f ca="1">IF(AND('Mapa final'!$H$40="Alta",'Mapa final'!$L$40="Menor"),CONCATENATE("R",'Mapa final'!$A$40),"")</f>
        <v/>
      </c>
      <c r="U16" s="307"/>
      <c r="V16" s="289" t="str">
        <f ca="1">IF(AND('Mapa final'!$H$28="Alta",'Mapa final'!$L$28="Moderado"),CONCATENATE("R",'Mapa final'!$A$28),"")</f>
        <v/>
      </c>
      <c r="W16" s="285"/>
      <c r="X16" s="285" t="str">
        <f ca="1">IF(AND('Mapa final'!$H$34="Alta",'Mapa final'!$L$34="Moderado"),CONCATENATE("R",'Mapa final'!$A$34),"")</f>
        <v/>
      </c>
      <c r="Y16" s="285"/>
      <c r="Z16" s="285" t="str">
        <f ca="1">IF(AND('Mapa final'!$H$40="Alta",'Mapa final'!$L$40="Moderado"),CONCATENATE("R",'Mapa final'!$A$40),"")</f>
        <v/>
      </c>
      <c r="AA16" s="286"/>
      <c r="AB16" s="289" t="str">
        <f ca="1">IF(AND('Mapa final'!$H$28="Alta",'Mapa final'!$L$28="Mayor"),CONCATENATE("R",'Mapa final'!$A$28),"")</f>
        <v/>
      </c>
      <c r="AC16" s="285"/>
      <c r="AD16" s="285" t="str">
        <f ca="1">IF(AND('Mapa final'!$H$34="Alta",'Mapa final'!$L$34="Mayor"),CONCATENATE("R",'Mapa final'!$A$34),"")</f>
        <v/>
      </c>
      <c r="AE16" s="285"/>
      <c r="AF16" s="285" t="str">
        <f ca="1">IF(AND('Mapa final'!$H$40="Alta",'Mapa final'!$L$40="Mayor"),CONCATENATE("R",'Mapa final'!$A$40),"")</f>
        <v/>
      </c>
      <c r="AG16" s="286"/>
      <c r="AH16" s="296" t="str">
        <f ca="1">IF(AND('Mapa final'!$H$28="Alta",'Mapa final'!$L$28="Catastrófico"),CONCATENATE("R",'Mapa final'!$A$28),"")</f>
        <v/>
      </c>
      <c r="AI16" s="297"/>
      <c r="AJ16" s="297" t="str">
        <f ca="1">IF(AND('Mapa final'!$H$34="Alta",'Mapa final'!$L$34="Catastrófico"),CONCATENATE("R",'Mapa final'!$A$34),"")</f>
        <v/>
      </c>
      <c r="AK16" s="297"/>
      <c r="AL16" s="297" t="str">
        <f ca="1">IF(AND('Mapa final'!$H$40="Alta",'Mapa final'!$L$40="Catastrófico"),CONCATENATE("R",'Mapa final'!$A$40),"")</f>
        <v/>
      </c>
      <c r="AM16" s="298"/>
      <c r="AN16" s="83"/>
      <c r="AO16" s="252"/>
      <c r="AP16" s="253"/>
      <c r="AQ16" s="253"/>
      <c r="AR16" s="253"/>
      <c r="AS16" s="253"/>
      <c r="AT16" s="2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8"/>
      <c r="C17" s="238"/>
      <c r="D17" s="239"/>
      <c r="E17" s="279"/>
      <c r="F17" s="280"/>
      <c r="G17" s="280"/>
      <c r="H17" s="280"/>
      <c r="I17" s="280"/>
      <c r="J17" s="305"/>
      <c r="K17" s="306"/>
      <c r="L17" s="306"/>
      <c r="M17" s="306"/>
      <c r="N17" s="306"/>
      <c r="O17" s="307"/>
      <c r="P17" s="305"/>
      <c r="Q17" s="306"/>
      <c r="R17" s="306"/>
      <c r="S17" s="306"/>
      <c r="T17" s="306"/>
      <c r="U17" s="307"/>
      <c r="V17" s="289"/>
      <c r="W17" s="285"/>
      <c r="X17" s="285"/>
      <c r="Y17" s="285"/>
      <c r="Z17" s="285"/>
      <c r="AA17" s="286"/>
      <c r="AB17" s="289"/>
      <c r="AC17" s="285"/>
      <c r="AD17" s="285"/>
      <c r="AE17" s="285"/>
      <c r="AF17" s="285"/>
      <c r="AG17" s="286"/>
      <c r="AH17" s="296"/>
      <c r="AI17" s="297"/>
      <c r="AJ17" s="297"/>
      <c r="AK17" s="297"/>
      <c r="AL17" s="297"/>
      <c r="AM17" s="298"/>
      <c r="AN17" s="83"/>
      <c r="AO17" s="252"/>
      <c r="AP17" s="253"/>
      <c r="AQ17" s="253"/>
      <c r="AR17" s="253"/>
      <c r="AS17" s="253"/>
      <c r="AT17" s="2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8"/>
      <c r="C18" s="238"/>
      <c r="D18" s="239"/>
      <c r="E18" s="279"/>
      <c r="F18" s="280"/>
      <c r="G18" s="280"/>
      <c r="H18" s="280"/>
      <c r="I18" s="280"/>
      <c r="J18" s="305" t="str">
        <f ca="1">IF(AND('Mapa final'!$H$46="Alta",'Mapa final'!$L$46="Leve"),CONCATENATE("R",'Mapa final'!$A$46),"")</f>
        <v/>
      </c>
      <c r="K18" s="306"/>
      <c r="L18" s="306" t="str">
        <f ca="1">IF(AND('Mapa final'!$H$52="Alta",'Mapa final'!$L$52="Leve"),CONCATENATE("R",'Mapa final'!$A$52),"")</f>
        <v/>
      </c>
      <c r="M18" s="306"/>
      <c r="N18" s="306" t="str">
        <f ca="1">IF(AND('Mapa final'!$H$58="Alta",'Mapa final'!$L$58="Leve"),CONCATENATE("R",'Mapa final'!$A$58),"")</f>
        <v/>
      </c>
      <c r="O18" s="307"/>
      <c r="P18" s="305" t="str">
        <f ca="1">IF(AND('Mapa final'!$H$46="Alta",'Mapa final'!$L$46="Menor"),CONCATENATE("R",'Mapa final'!$A$46),"")</f>
        <v/>
      </c>
      <c r="Q18" s="306"/>
      <c r="R18" s="306" t="str">
        <f ca="1">IF(AND('Mapa final'!$H$52="Alta",'Mapa final'!$L$52="Menor"),CONCATENATE("R",'Mapa final'!$A$52),"")</f>
        <v/>
      </c>
      <c r="S18" s="306"/>
      <c r="T18" s="306" t="str">
        <f ca="1">IF(AND('Mapa final'!$H$58="Alta",'Mapa final'!$L$58="Menor"),CONCATENATE("R",'Mapa final'!$A$58),"")</f>
        <v/>
      </c>
      <c r="U18" s="307"/>
      <c r="V18" s="289" t="str">
        <f ca="1">IF(AND('Mapa final'!$H$46="Alta",'Mapa final'!$L$46="Moderado"),CONCATENATE("R",'Mapa final'!$A$46),"")</f>
        <v/>
      </c>
      <c r="W18" s="285"/>
      <c r="X18" s="285" t="str">
        <f ca="1">IF(AND('Mapa final'!$H$52="Alta",'Mapa final'!$L$52="Moderado"),CONCATENATE("R",'Mapa final'!$A$52),"")</f>
        <v/>
      </c>
      <c r="Y18" s="285"/>
      <c r="Z18" s="285" t="str">
        <f ca="1">IF(AND('Mapa final'!$H$58="Alta",'Mapa final'!$L$58="Moderado"),CONCATENATE("R",'Mapa final'!$A$58),"")</f>
        <v/>
      </c>
      <c r="AA18" s="286"/>
      <c r="AB18" s="289" t="str">
        <f ca="1">IF(AND('Mapa final'!$H$46="Alta",'Mapa final'!$L$46="Mayor"),CONCATENATE("R",'Mapa final'!$A$46),"")</f>
        <v/>
      </c>
      <c r="AC18" s="285"/>
      <c r="AD18" s="285" t="str">
        <f ca="1">IF(AND('Mapa final'!$H$52="Alta",'Mapa final'!$L$52="Mayor"),CONCATENATE("R",'Mapa final'!$A$52),"")</f>
        <v/>
      </c>
      <c r="AE18" s="285"/>
      <c r="AF18" s="285" t="str">
        <f ca="1">IF(AND('Mapa final'!$H$58="Alta",'Mapa final'!$L$58="Mayor"),CONCATENATE("R",'Mapa final'!$A$58),"")</f>
        <v/>
      </c>
      <c r="AG18" s="286"/>
      <c r="AH18" s="296" t="str">
        <f ca="1">IF(AND('Mapa final'!$H$46="Alta",'Mapa final'!$L$46="Catastrófico"),CONCATENATE("R",'Mapa final'!$A$46),"")</f>
        <v/>
      </c>
      <c r="AI18" s="297"/>
      <c r="AJ18" s="297" t="str">
        <f ca="1">IF(AND('Mapa final'!$H$52="Alta",'Mapa final'!$L$52="Catastrófico"),CONCATENATE("R",'Mapa final'!$A$52),"")</f>
        <v/>
      </c>
      <c r="AK18" s="297"/>
      <c r="AL18" s="297" t="str">
        <f ca="1">IF(AND('Mapa final'!$H$58="Alta",'Mapa final'!$L$58="Catastrófico"),CONCATENATE("R",'Mapa final'!$A$58),"")</f>
        <v/>
      </c>
      <c r="AM18" s="298"/>
      <c r="AN18" s="83"/>
      <c r="AO18" s="252"/>
      <c r="AP18" s="253"/>
      <c r="AQ18" s="253"/>
      <c r="AR18" s="253"/>
      <c r="AS18" s="253"/>
      <c r="AT18" s="2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8"/>
      <c r="C19" s="238"/>
      <c r="D19" s="239"/>
      <c r="E19" s="279"/>
      <c r="F19" s="280"/>
      <c r="G19" s="280"/>
      <c r="H19" s="280"/>
      <c r="I19" s="280"/>
      <c r="J19" s="305"/>
      <c r="K19" s="306"/>
      <c r="L19" s="306"/>
      <c r="M19" s="306"/>
      <c r="N19" s="306"/>
      <c r="O19" s="307"/>
      <c r="P19" s="305"/>
      <c r="Q19" s="306"/>
      <c r="R19" s="306"/>
      <c r="S19" s="306"/>
      <c r="T19" s="306"/>
      <c r="U19" s="307"/>
      <c r="V19" s="289"/>
      <c r="W19" s="285"/>
      <c r="X19" s="285"/>
      <c r="Y19" s="285"/>
      <c r="Z19" s="285"/>
      <c r="AA19" s="286"/>
      <c r="AB19" s="289"/>
      <c r="AC19" s="285"/>
      <c r="AD19" s="285"/>
      <c r="AE19" s="285"/>
      <c r="AF19" s="285"/>
      <c r="AG19" s="286"/>
      <c r="AH19" s="296"/>
      <c r="AI19" s="297"/>
      <c r="AJ19" s="297"/>
      <c r="AK19" s="297"/>
      <c r="AL19" s="297"/>
      <c r="AM19" s="298"/>
      <c r="AN19" s="83"/>
      <c r="AO19" s="252"/>
      <c r="AP19" s="253"/>
      <c r="AQ19" s="253"/>
      <c r="AR19" s="253"/>
      <c r="AS19" s="253"/>
      <c r="AT19" s="2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8"/>
      <c r="C20" s="238"/>
      <c r="D20" s="239"/>
      <c r="E20" s="279"/>
      <c r="F20" s="280"/>
      <c r="G20" s="280"/>
      <c r="H20" s="280"/>
      <c r="I20" s="280"/>
      <c r="J20" s="305" t="str">
        <f ca="1">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 ca="1">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289" t="str">
        <f ca="1">IF(AND('Mapa final'!$H$64="Alta",'Mapa final'!$L$64="Moderado"),CONCATENATE("R",'Mapa final'!$A$64),"")</f>
        <v/>
      </c>
      <c r="W20" s="285"/>
      <c r="X20" s="285" t="str">
        <f>IF(AND('Mapa final'!$H$70="Alta",'Mapa final'!$L$70="Moderado"),CONCATENATE("R",'Mapa final'!$A$70),"")</f>
        <v/>
      </c>
      <c r="Y20" s="285"/>
      <c r="Z20" s="285" t="str">
        <f>IF(AND('Mapa final'!$H$76="Alta",'Mapa final'!$L$76="Moderado"),CONCATENATE("R",'Mapa final'!$A$76),"")</f>
        <v/>
      </c>
      <c r="AA20" s="286"/>
      <c r="AB20" s="289" t="str">
        <f ca="1">IF(AND('Mapa final'!$H$64="Alta",'Mapa final'!$L$64="Mayor"),CONCATENATE("R",'Mapa final'!$A$64),"")</f>
        <v/>
      </c>
      <c r="AC20" s="285"/>
      <c r="AD20" s="285" t="str">
        <f>IF(AND('Mapa final'!$H$70="Alta",'Mapa final'!$L$70="Mayor"),CONCATENATE("R",'Mapa final'!$A$70),"")</f>
        <v/>
      </c>
      <c r="AE20" s="285"/>
      <c r="AF20" s="285" t="str">
        <f>IF(AND('Mapa final'!$H$76="Alta",'Mapa final'!$L$76="Mayor"),CONCATENATE("R",'Mapa final'!$A$76),"")</f>
        <v/>
      </c>
      <c r="AG20" s="286"/>
      <c r="AH20" s="296" t="str">
        <f ca="1">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3"/>
      <c r="AO20" s="252"/>
      <c r="AP20" s="253"/>
      <c r="AQ20" s="253"/>
      <c r="AR20" s="253"/>
      <c r="AS20" s="253"/>
      <c r="AT20" s="2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8"/>
      <c r="C21" s="238"/>
      <c r="D21" s="239"/>
      <c r="E21" s="282"/>
      <c r="F21" s="283"/>
      <c r="G21" s="283"/>
      <c r="H21" s="283"/>
      <c r="I21" s="283"/>
      <c r="J21" s="308"/>
      <c r="K21" s="309"/>
      <c r="L21" s="309"/>
      <c r="M21" s="309"/>
      <c r="N21" s="309"/>
      <c r="O21" s="310"/>
      <c r="P21" s="308"/>
      <c r="Q21" s="309"/>
      <c r="R21" s="309"/>
      <c r="S21" s="309"/>
      <c r="T21" s="309"/>
      <c r="U21" s="310"/>
      <c r="V21" s="293"/>
      <c r="W21" s="294"/>
      <c r="X21" s="294"/>
      <c r="Y21" s="294"/>
      <c r="Z21" s="294"/>
      <c r="AA21" s="295"/>
      <c r="AB21" s="293"/>
      <c r="AC21" s="294"/>
      <c r="AD21" s="294"/>
      <c r="AE21" s="294"/>
      <c r="AF21" s="294"/>
      <c r="AG21" s="295"/>
      <c r="AH21" s="299"/>
      <c r="AI21" s="300"/>
      <c r="AJ21" s="300"/>
      <c r="AK21" s="300"/>
      <c r="AL21" s="300"/>
      <c r="AM21" s="301"/>
      <c r="AN21" s="83"/>
      <c r="AO21" s="255"/>
      <c r="AP21" s="256"/>
      <c r="AQ21" s="256"/>
      <c r="AR21" s="256"/>
      <c r="AS21" s="256"/>
      <c r="AT21" s="2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8"/>
      <c r="C22" s="238"/>
      <c r="D22" s="239"/>
      <c r="E22" s="276" t="s">
        <v>117</v>
      </c>
      <c r="F22" s="277"/>
      <c r="G22" s="277"/>
      <c r="H22" s="277"/>
      <c r="I22" s="278"/>
      <c r="J22" s="311" t="str">
        <f ca="1">IF(AND('Mapa final'!$H$10="Media",'Mapa final'!$L$10="Leve"),CONCATENATE("R",'Mapa final'!$A$10),"")</f>
        <v/>
      </c>
      <c r="K22" s="312"/>
      <c r="L22" s="312" t="str">
        <f ca="1">IF(AND('Mapa final'!$H$16="Media",'Mapa final'!$L$16="Leve"),CONCATENATE("R",'Mapa final'!$A$16),"")</f>
        <v/>
      </c>
      <c r="M22" s="312"/>
      <c r="N22" s="312" t="str">
        <f ca="1">IF(AND('Mapa final'!$H$22="Media",'Mapa final'!$L$22="Leve"),CONCATENATE("R",'Mapa final'!$A$22),"")</f>
        <v/>
      </c>
      <c r="O22" s="313"/>
      <c r="P22" s="311" t="str">
        <f ca="1">IF(AND('Mapa final'!$H$10="Media",'Mapa final'!$L$10="Menor"),CONCATENATE("R",'Mapa final'!$A$10),"")</f>
        <v/>
      </c>
      <c r="Q22" s="312"/>
      <c r="R22" s="312" t="str">
        <f ca="1">IF(AND('Mapa final'!$H$16="Media",'Mapa final'!$L$16="Menor"),CONCATENATE("R",'Mapa final'!$A$16),"")</f>
        <v/>
      </c>
      <c r="S22" s="312"/>
      <c r="T22" s="312" t="str">
        <f ca="1">IF(AND('Mapa final'!$H$22="Media",'Mapa final'!$L$22="Menor"),CONCATENATE("R",'Mapa final'!$A$22),"")</f>
        <v/>
      </c>
      <c r="U22" s="313"/>
      <c r="V22" s="311" t="str">
        <f ca="1">IF(AND('Mapa final'!$H$10="Media",'Mapa final'!$L$10="Moderado"),CONCATENATE("R",'Mapa final'!$A$10),"")</f>
        <v>R1</v>
      </c>
      <c r="W22" s="312"/>
      <c r="X22" s="312" t="str">
        <f ca="1">IF(AND('Mapa final'!$H$16="Media",'Mapa final'!$L$16="Moderado"),CONCATENATE("R",'Mapa final'!$A$16),"")</f>
        <v/>
      </c>
      <c r="Y22" s="312"/>
      <c r="Z22" s="312" t="str">
        <f ca="1">IF(AND('Mapa final'!$H$22="Media",'Mapa final'!$L$22="Moderado"),CONCATENATE("R",'Mapa final'!$A$22),"")</f>
        <v/>
      </c>
      <c r="AA22" s="313"/>
      <c r="AB22" s="287" t="str">
        <f ca="1">IF(AND('Mapa final'!$H$10="Media",'Mapa final'!$L$10="Mayor"),CONCATENATE("R",'Mapa final'!$A$10),"")</f>
        <v/>
      </c>
      <c r="AC22" s="288"/>
      <c r="AD22" s="288" t="str">
        <f ca="1">IF(AND('Mapa final'!$H$16="Media",'Mapa final'!$L$16="Mayor"),CONCATENATE("R",'Mapa final'!$A$16),"")</f>
        <v>R2</v>
      </c>
      <c r="AE22" s="288"/>
      <c r="AF22" s="288" t="str">
        <f ca="1">IF(AND('Mapa final'!$H$22="Media",'Mapa final'!$L$22="Mayor"),CONCATENATE("R",'Mapa final'!$A$22),"")</f>
        <v/>
      </c>
      <c r="AG22" s="290"/>
      <c r="AH22" s="302" t="str">
        <f ca="1">IF(AND('Mapa final'!$H$10="Media",'Mapa final'!$L$10="Catastrófico"),CONCATENATE("R",'Mapa final'!$A$10),"")</f>
        <v/>
      </c>
      <c r="AI22" s="303"/>
      <c r="AJ22" s="303" t="str">
        <f ca="1">IF(AND('Mapa final'!$H$16="Media",'Mapa final'!$L$16="Catastrófico"),CONCATENATE("R",'Mapa final'!$A$16),"")</f>
        <v/>
      </c>
      <c r="AK22" s="303"/>
      <c r="AL22" s="303" t="str">
        <f ca="1">IF(AND('Mapa final'!$H$22="Media",'Mapa final'!$L$22="Catastrófico"),CONCATENATE("R",'Mapa final'!$A$22),"")</f>
        <v/>
      </c>
      <c r="AM22" s="304"/>
      <c r="AN22" s="83"/>
      <c r="AO22" s="258" t="s">
        <v>81</v>
      </c>
      <c r="AP22" s="259"/>
      <c r="AQ22" s="259"/>
      <c r="AR22" s="259"/>
      <c r="AS22" s="259"/>
      <c r="AT22" s="26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8"/>
      <c r="C23" s="238"/>
      <c r="D23" s="239"/>
      <c r="E23" s="279"/>
      <c r="F23" s="280"/>
      <c r="G23" s="280"/>
      <c r="H23" s="280"/>
      <c r="I23" s="281"/>
      <c r="J23" s="305"/>
      <c r="K23" s="306"/>
      <c r="L23" s="306"/>
      <c r="M23" s="306"/>
      <c r="N23" s="306"/>
      <c r="O23" s="307"/>
      <c r="P23" s="305"/>
      <c r="Q23" s="306"/>
      <c r="R23" s="306"/>
      <c r="S23" s="306"/>
      <c r="T23" s="306"/>
      <c r="U23" s="307"/>
      <c r="V23" s="305"/>
      <c r="W23" s="306"/>
      <c r="X23" s="306"/>
      <c r="Y23" s="306"/>
      <c r="Z23" s="306"/>
      <c r="AA23" s="307"/>
      <c r="AB23" s="289"/>
      <c r="AC23" s="285"/>
      <c r="AD23" s="285"/>
      <c r="AE23" s="285"/>
      <c r="AF23" s="285"/>
      <c r="AG23" s="286"/>
      <c r="AH23" s="296"/>
      <c r="AI23" s="297"/>
      <c r="AJ23" s="297"/>
      <c r="AK23" s="297"/>
      <c r="AL23" s="297"/>
      <c r="AM23" s="298"/>
      <c r="AN23" s="83"/>
      <c r="AO23" s="261"/>
      <c r="AP23" s="262"/>
      <c r="AQ23" s="262"/>
      <c r="AR23" s="262"/>
      <c r="AS23" s="262"/>
      <c r="AT23" s="26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8"/>
      <c r="C24" s="238"/>
      <c r="D24" s="239"/>
      <c r="E24" s="279"/>
      <c r="F24" s="280"/>
      <c r="G24" s="280"/>
      <c r="H24" s="280"/>
      <c r="I24" s="281"/>
      <c r="J24" s="305" t="str">
        <f ca="1">IF(AND('Mapa final'!$H$28="Media",'Mapa final'!$L$28="Leve"),CONCATENATE("R",'Mapa final'!$A$28),"")</f>
        <v/>
      </c>
      <c r="K24" s="306"/>
      <c r="L24" s="306" t="str">
        <f ca="1">IF(AND('Mapa final'!$H$34="Media",'Mapa final'!$L$34="Leve"),CONCATENATE("R",'Mapa final'!$A$34),"")</f>
        <v/>
      </c>
      <c r="M24" s="306"/>
      <c r="N24" s="306" t="str">
        <f ca="1">IF(AND('Mapa final'!$H$40="Media",'Mapa final'!$L$40="Leve"),CONCATENATE("R",'Mapa final'!$A$40),"")</f>
        <v/>
      </c>
      <c r="O24" s="307"/>
      <c r="P24" s="305" t="str">
        <f ca="1">IF(AND('Mapa final'!$H$28="Media",'Mapa final'!$L$28="Menor"),CONCATENATE("R",'Mapa final'!$A$28),"")</f>
        <v/>
      </c>
      <c r="Q24" s="306"/>
      <c r="R24" s="306" t="str">
        <f ca="1">IF(AND('Mapa final'!$H$34="Media",'Mapa final'!$L$34="Menor"),CONCATENATE("R",'Mapa final'!$A$34),"")</f>
        <v/>
      </c>
      <c r="S24" s="306"/>
      <c r="T24" s="306" t="str">
        <f ca="1">IF(AND('Mapa final'!$H$40="Media",'Mapa final'!$L$40="Menor"),CONCATENATE("R",'Mapa final'!$A$40),"")</f>
        <v/>
      </c>
      <c r="U24" s="307"/>
      <c r="V24" s="305" t="str">
        <f ca="1">IF(AND('Mapa final'!$H$28="Media",'Mapa final'!$L$28="Moderado"),CONCATENATE("R",'Mapa final'!$A$28),"")</f>
        <v>R4</v>
      </c>
      <c r="W24" s="306"/>
      <c r="X24" s="306" t="str">
        <f ca="1">IF(AND('Mapa final'!$H$34="Media",'Mapa final'!$L$34="Moderado"),CONCATENATE("R",'Mapa final'!$A$34),"")</f>
        <v/>
      </c>
      <c r="Y24" s="306"/>
      <c r="Z24" s="306" t="str">
        <f ca="1">IF(AND('Mapa final'!$H$40="Media",'Mapa final'!$L$40="Moderado"),CONCATENATE("R",'Mapa final'!$A$40),"")</f>
        <v>R6</v>
      </c>
      <c r="AA24" s="307"/>
      <c r="AB24" s="289" t="str">
        <f ca="1">IF(AND('Mapa final'!$H$28="Media",'Mapa final'!$L$28="Mayor"),CONCATENATE("R",'Mapa final'!$A$28),"")</f>
        <v/>
      </c>
      <c r="AC24" s="285"/>
      <c r="AD24" s="285" t="str">
        <f ca="1">IF(AND('Mapa final'!$H$34="Media",'Mapa final'!$L$34="Mayor"),CONCATENATE("R",'Mapa final'!$A$34),"")</f>
        <v>R5</v>
      </c>
      <c r="AE24" s="285"/>
      <c r="AF24" s="285" t="str">
        <f ca="1">IF(AND('Mapa final'!$H$40="Media",'Mapa final'!$L$40="Mayor"),CONCATENATE("R",'Mapa final'!$A$40),"")</f>
        <v/>
      </c>
      <c r="AG24" s="286"/>
      <c r="AH24" s="296" t="str">
        <f ca="1">IF(AND('Mapa final'!$H$28="Media",'Mapa final'!$L$28="Catastrófico"),CONCATENATE("R",'Mapa final'!$A$28),"")</f>
        <v/>
      </c>
      <c r="AI24" s="297"/>
      <c r="AJ24" s="297" t="str">
        <f ca="1">IF(AND('Mapa final'!$H$34="Media",'Mapa final'!$L$34="Catastrófico"),CONCATENATE("R",'Mapa final'!$A$34),"")</f>
        <v/>
      </c>
      <c r="AK24" s="297"/>
      <c r="AL24" s="297" t="str">
        <f ca="1">IF(AND('Mapa final'!$H$40="Media",'Mapa final'!$L$40="Catastrófico"),CONCATENATE("R",'Mapa final'!$A$40),"")</f>
        <v/>
      </c>
      <c r="AM24" s="298"/>
      <c r="AN24" s="83"/>
      <c r="AO24" s="261"/>
      <c r="AP24" s="262"/>
      <c r="AQ24" s="262"/>
      <c r="AR24" s="262"/>
      <c r="AS24" s="262"/>
      <c r="AT24" s="26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8"/>
      <c r="C25" s="238"/>
      <c r="D25" s="239"/>
      <c r="E25" s="279"/>
      <c r="F25" s="280"/>
      <c r="G25" s="280"/>
      <c r="H25" s="280"/>
      <c r="I25" s="281"/>
      <c r="J25" s="305"/>
      <c r="K25" s="306"/>
      <c r="L25" s="306"/>
      <c r="M25" s="306"/>
      <c r="N25" s="306"/>
      <c r="O25" s="307"/>
      <c r="P25" s="305"/>
      <c r="Q25" s="306"/>
      <c r="R25" s="306"/>
      <c r="S25" s="306"/>
      <c r="T25" s="306"/>
      <c r="U25" s="307"/>
      <c r="V25" s="305"/>
      <c r="W25" s="306"/>
      <c r="X25" s="306"/>
      <c r="Y25" s="306"/>
      <c r="Z25" s="306"/>
      <c r="AA25" s="307"/>
      <c r="AB25" s="289"/>
      <c r="AC25" s="285"/>
      <c r="AD25" s="285"/>
      <c r="AE25" s="285"/>
      <c r="AF25" s="285"/>
      <c r="AG25" s="286"/>
      <c r="AH25" s="296"/>
      <c r="AI25" s="297"/>
      <c r="AJ25" s="297"/>
      <c r="AK25" s="297"/>
      <c r="AL25" s="297"/>
      <c r="AM25" s="298"/>
      <c r="AN25" s="83"/>
      <c r="AO25" s="261"/>
      <c r="AP25" s="262"/>
      <c r="AQ25" s="262"/>
      <c r="AR25" s="262"/>
      <c r="AS25" s="262"/>
      <c r="AT25" s="26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8"/>
      <c r="C26" s="238"/>
      <c r="D26" s="239"/>
      <c r="E26" s="279"/>
      <c r="F26" s="280"/>
      <c r="G26" s="280"/>
      <c r="H26" s="280"/>
      <c r="I26" s="281"/>
      <c r="J26" s="305" t="str">
        <f ca="1">IF(AND('Mapa final'!$H$46="Media",'Mapa final'!$L$46="Leve"),CONCATENATE("R",'Mapa final'!$A$46),"")</f>
        <v/>
      </c>
      <c r="K26" s="306"/>
      <c r="L26" s="306" t="str">
        <f ca="1">IF(AND('Mapa final'!$H$52="Media",'Mapa final'!$L$52="Leve"),CONCATENATE("R",'Mapa final'!$A$52),"")</f>
        <v/>
      </c>
      <c r="M26" s="306"/>
      <c r="N26" s="306" t="str">
        <f ca="1">IF(AND('Mapa final'!$H$58="Media",'Mapa final'!$L$58="Leve"),CONCATENATE("R",'Mapa final'!$A$58),"")</f>
        <v/>
      </c>
      <c r="O26" s="307"/>
      <c r="P26" s="305" t="str">
        <f ca="1">IF(AND('Mapa final'!$H$46="Media",'Mapa final'!$L$46="Menor"),CONCATENATE("R",'Mapa final'!$A$46),"")</f>
        <v/>
      </c>
      <c r="Q26" s="306"/>
      <c r="R26" s="306" t="str">
        <f ca="1">IF(AND('Mapa final'!$H$52="Media",'Mapa final'!$L$52="Menor"),CONCATENATE("R",'Mapa final'!$A$52),"")</f>
        <v/>
      </c>
      <c r="S26" s="306"/>
      <c r="T26" s="306" t="str">
        <f ca="1">IF(AND('Mapa final'!$H$58="Media",'Mapa final'!$L$58="Menor"),CONCATENATE("R",'Mapa final'!$A$58),"")</f>
        <v/>
      </c>
      <c r="U26" s="307"/>
      <c r="V26" s="305" t="str">
        <f ca="1">IF(AND('Mapa final'!$H$46="Media",'Mapa final'!$L$46="Moderado"),CONCATENATE("R",'Mapa final'!$A$46),"")</f>
        <v>R7</v>
      </c>
      <c r="W26" s="306"/>
      <c r="X26" s="306" t="str">
        <f ca="1">IF(AND('Mapa final'!$H$52="Media",'Mapa final'!$L$52="Moderado"),CONCATENATE("R",'Mapa final'!$A$52),"")</f>
        <v/>
      </c>
      <c r="Y26" s="306"/>
      <c r="Z26" s="306" t="str">
        <f ca="1">IF(AND('Mapa final'!$H$58="Media",'Mapa final'!$L$58="Moderado"),CONCATENATE("R",'Mapa final'!$A$58),"")</f>
        <v/>
      </c>
      <c r="AA26" s="307"/>
      <c r="AB26" s="289" t="str">
        <f ca="1">IF(AND('Mapa final'!$H$46="Media",'Mapa final'!$L$46="Mayor"),CONCATENATE("R",'Mapa final'!$A$46),"")</f>
        <v/>
      </c>
      <c r="AC26" s="285"/>
      <c r="AD26" s="285" t="str">
        <f ca="1">IF(AND('Mapa final'!$H$52="Media",'Mapa final'!$L$52="Mayor"),CONCATENATE("R",'Mapa final'!$A$52),"")</f>
        <v>R8</v>
      </c>
      <c r="AE26" s="285"/>
      <c r="AF26" s="285" t="str">
        <f ca="1">IF(AND('Mapa final'!$H$58="Media",'Mapa final'!$L$58="Mayor"),CONCATENATE("R",'Mapa final'!$A$58),"")</f>
        <v/>
      </c>
      <c r="AG26" s="286"/>
      <c r="AH26" s="296" t="str">
        <f ca="1">IF(AND('Mapa final'!$H$46="Media",'Mapa final'!$L$46="Catastrófico"),CONCATENATE("R",'Mapa final'!$A$46),"")</f>
        <v/>
      </c>
      <c r="AI26" s="297"/>
      <c r="AJ26" s="297" t="str">
        <f ca="1">IF(AND('Mapa final'!$H$52="Media",'Mapa final'!$L$52="Catastrófico"),CONCATENATE("R",'Mapa final'!$A$52),"")</f>
        <v/>
      </c>
      <c r="AK26" s="297"/>
      <c r="AL26" s="297" t="str">
        <f ca="1">IF(AND('Mapa final'!$H$58="Media",'Mapa final'!$L$58="Catastrófico"),CONCATENATE("R",'Mapa final'!$A$58),"")</f>
        <v/>
      </c>
      <c r="AM26" s="298"/>
      <c r="AN26" s="83"/>
      <c r="AO26" s="261"/>
      <c r="AP26" s="262"/>
      <c r="AQ26" s="262"/>
      <c r="AR26" s="262"/>
      <c r="AS26" s="262"/>
      <c r="AT26" s="2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8"/>
      <c r="C27" s="238"/>
      <c r="D27" s="239"/>
      <c r="E27" s="279"/>
      <c r="F27" s="280"/>
      <c r="G27" s="280"/>
      <c r="H27" s="280"/>
      <c r="I27" s="281"/>
      <c r="J27" s="305"/>
      <c r="K27" s="306"/>
      <c r="L27" s="306"/>
      <c r="M27" s="306"/>
      <c r="N27" s="306"/>
      <c r="O27" s="307"/>
      <c r="P27" s="305"/>
      <c r="Q27" s="306"/>
      <c r="R27" s="306"/>
      <c r="S27" s="306"/>
      <c r="T27" s="306"/>
      <c r="U27" s="307"/>
      <c r="V27" s="305"/>
      <c r="W27" s="306"/>
      <c r="X27" s="306"/>
      <c r="Y27" s="306"/>
      <c r="Z27" s="306"/>
      <c r="AA27" s="307"/>
      <c r="AB27" s="289"/>
      <c r="AC27" s="285"/>
      <c r="AD27" s="285"/>
      <c r="AE27" s="285"/>
      <c r="AF27" s="285"/>
      <c r="AG27" s="286"/>
      <c r="AH27" s="296"/>
      <c r="AI27" s="297"/>
      <c r="AJ27" s="297"/>
      <c r="AK27" s="297"/>
      <c r="AL27" s="297"/>
      <c r="AM27" s="298"/>
      <c r="AN27" s="83"/>
      <c r="AO27" s="261"/>
      <c r="AP27" s="262"/>
      <c r="AQ27" s="262"/>
      <c r="AR27" s="262"/>
      <c r="AS27" s="262"/>
      <c r="AT27" s="26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8"/>
      <c r="C28" s="238"/>
      <c r="D28" s="239"/>
      <c r="E28" s="279"/>
      <c r="F28" s="280"/>
      <c r="G28" s="280"/>
      <c r="H28" s="280"/>
      <c r="I28" s="281"/>
      <c r="J28" s="305" t="str">
        <f ca="1">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 ca="1">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 ca="1">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289" t="str">
        <f ca="1">IF(AND('Mapa final'!$H$64="Media",'Mapa final'!$L$64="Mayor"),CONCATENATE("R",'Mapa final'!$A$64),"")</f>
        <v/>
      </c>
      <c r="AC28" s="285"/>
      <c r="AD28" s="285" t="str">
        <f>IF(AND('Mapa final'!$H$70="Media",'Mapa final'!$L$70="Mayor"),CONCATENATE("R",'Mapa final'!$A$70),"")</f>
        <v/>
      </c>
      <c r="AE28" s="285"/>
      <c r="AF28" s="285" t="str">
        <f>IF(AND('Mapa final'!$H$76="Media",'Mapa final'!$L$76="Mayor"),CONCATENATE("R",'Mapa final'!$A$76),"")</f>
        <v/>
      </c>
      <c r="AG28" s="286"/>
      <c r="AH28" s="296" t="str">
        <f ca="1">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3"/>
      <c r="AO28" s="261"/>
      <c r="AP28" s="262"/>
      <c r="AQ28" s="262"/>
      <c r="AR28" s="262"/>
      <c r="AS28" s="262"/>
      <c r="AT28" s="26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8"/>
      <c r="C29" s="238"/>
      <c r="D29" s="239"/>
      <c r="E29" s="282"/>
      <c r="F29" s="283"/>
      <c r="G29" s="283"/>
      <c r="H29" s="283"/>
      <c r="I29" s="284"/>
      <c r="J29" s="305"/>
      <c r="K29" s="306"/>
      <c r="L29" s="306"/>
      <c r="M29" s="306"/>
      <c r="N29" s="306"/>
      <c r="O29" s="307"/>
      <c r="P29" s="308"/>
      <c r="Q29" s="309"/>
      <c r="R29" s="309"/>
      <c r="S29" s="309"/>
      <c r="T29" s="309"/>
      <c r="U29" s="310"/>
      <c r="V29" s="308"/>
      <c r="W29" s="309"/>
      <c r="X29" s="309"/>
      <c r="Y29" s="309"/>
      <c r="Z29" s="309"/>
      <c r="AA29" s="310"/>
      <c r="AB29" s="293"/>
      <c r="AC29" s="294"/>
      <c r="AD29" s="294"/>
      <c r="AE29" s="294"/>
      <c r="AF29" s="294"/>
      <c r="AG29" s="295"/>
      <c r="AH29" s="299"/>
      <c r="AI29" s="300"/>
      <c r="AJ29" s="300"/>
      <c r="AK29" s="300"/>
      <c r="AL29" s="300"/>
      <c r="AM29" s="301"/>
      <c r="AN29" s="83"/>
      <c r="AO29" s="264"/>
      <c r="AP29" s="265"/>
      <c r="AQ29" s="265"/>
      <c r="AR29" s="265"/>
      <c r="AS29" s="265"/>
      <c r="AT29" s="2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8"/>
      <c r="C30" s="238"/>
      <c r="D30" s="239"/>
      <c r="E30" s="276" t="s">
        <v>114</v>
      </c>
      <c r="F30" s="277"/>
      <c r="G30" s="277"/>
      <c r="H30" s="277"/>
      <c r="I30" s="277"/>
      <c r="J30" s="320" t="str">
        <f ca="1">IF(AND('Mapa final'!$H$10="Baja",'Mapa final'!$L$10="Leve"),CONCATENATE("R",'Mapa final'!$A$10),"")</f>
        <v/>
      </c>
      <c r="K30" s="321"/>
      <c r="L30" s="321" t="str">
        <f ca="1">IF(AND('Mapa final'!$H$16="Baja",'Mapa final'!$L$16="Leve"),CONCATENATE("R",'Mapa final'!$A$16),"")</f>
        <v/>
      </c>
      <c r="M30" s="321"/>
      <c r="N30" s="321" t="str">
        <f ca="1">IF(AND('Mapa final'!$H$22="Baja",'Mapa final'!$L$22="Leve"),CONCATENATE("R",'Mapa final'!$A$22),"")</f>
        <v/>
      </c>
      <c r="O30" s="322"/>
      <c r="P30" s="312" t="str">
        <f ca="1">IF(AND('Mapa final'!$H$10="Baja",'Mapa final'!$L$10="Menor"),CONCATENATE("R",'Mapa final'!$A$10),"")</f>
        <v/>
      </c>
      <c r="Q30" s="312"/>
      <c r="R30" s="312" t="str">
        <f ca="1">IF(AND('Mapa final'!$H$16="Baja",'Mapa final'!$L$16="Menor"),CONCATENATE("R",'Mapa final'!$A$16),"")</f>
        <v/>
      </c>
      <c r="S30" s="312"/>
      <c r="T30" s="312" t="str">
        <f ca="1">IF(AND('Mapa final'!$H$22="Baja",'Mapa final'!$L$22="Menor"),CONCATENATE("R",'Mapa final'!$A$22),"")</f>
        <v/>
      </c>
      <c r="U30" s="313"/>
      <c r="V30" s="311" t="str">
        <f ca="1">IF(AND('Mapa final'!$H$10="Baja",'Mapa final'!$L$10="Moderado"),CONCATENATE("R",'Mapa final'!$A$10),"")</f>
        <v/>
      </c>
      <c r="W30" s="312"/>
      <c r="X30" s="312" t="str">
        <f ca="1">IF(AND('Mapa final'!$H$16="Baja",'Mapa final'!$L$16="Moderado"),CONCATENATE("R",'Mapa final'!$A$16),"")</f>
        <v/>
      </c>
      <c r="Y30" s="312"/>
      <c r="Z30" s="312" t="str">
        <f ca="1">IF(AND('Mapa final'!$H$22="Baja",'Mapa final'!$L$22="Moderado"),CONCATENATE("R",'Mapa final'!$A$22),"")</f>
        <v/>
      </c>
      <c r="AA30" s="313"/>
      <c r="AB30" s="287" t="str">
        <f ca="1">IF(AND('Mapa final'!$H$10="Baja",'Mapa final'!$L$10="Mayor"),CONCATENATE("R",'Mapa final'!$A$10),"")</f>
        <v/>
      </c>
      <c r="AC30" s="288"/>
      <c r="AD30" s="288" t="str">
        <f ca="1">IF(AND('Mapa final'!$H$16="Baja",'Mapa final'!$L$16="Mayor"),CONCATENATE("R",'Mapa final'!$A$16),"")</f>
        <v/>
      </c>
      <c r="AE30" s="288"/>
      <c r="AF30" s="288" t="str">
        <f ca="1">IF(AND('Mapa final'!$H$22="Baja",'Mapa final'!$L$22="Mayor"),CONCATENATE("R",'Mapa final'!$A$22),"")</f>
        <v/>
      </c>
      <c r="AG30" s="290"/>
      <c r="AH30" s="302" t="str">
        <f ca="1">IF(AND('Mapa final'!$H$10="Baja",'Mapa final'!$L$10="Catastrófico"),CONCATENATE("R",'Mapa final'!$A$10),"")</f>
        <v/>
      </c>
      <c r="AI30" s="303"/>
      <c r="AJ30" s="303" t="str">
        <f ca="1">IF(AND('Mapa final'!$H$16="Baja",'Mapa final'!$L$16="Catastrófico"),CONCATENATE("R",'Mapa final'!$A$16),"")</f>
        <v/>
      </c>
      <c r="AK30" s="303"/>
      <c r="AL30" s="303" t="str">
        <f ca="1">IF(AND('Mapa final'!$H$22="Baja",'Mapa final'!$L$22="Catastrófico"),CONCATENATE("R",'Mapa final'!$A$22),"")</f>
        <v>R3</v>
      </c>
      <c r="AM30" s="304"/>
      <c r="AN30" s="83"/>
      <c r="AO30" s="267" t="s">
        <v>82</v>
      </c>
      <c r="AP30" s="268"/>
      <c r="AQ30" s="268"/>
      <c r="AR30" s="268"/>
      <c r="AS30" s="268"/>
      <c r="AT30" s="2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8"/>
      <c r="C31" s="238"/>
      <c r="D31" s="239"/>
      <c r="E31" s="279"/>
      <c r="F31" s="280"/>
      <c r="G31" s="280"/>
      <c r="H31" s="280"/>
      <c r="I31" s="280"/>
      <c r="J31" s="316"/>
      <c r="K31" s="314"/>
      <c r="L31" s="314"/>
      <c r="M31" s="314"/>
      <c r="N31" s="314"/>
      <c r="O31" s="315"/>
      <c r="P31" s="306"/>
      <c r="Q31" s="306"/>
      <c r="R31" s="306"/>
      <c r="S31" s="306"/>
      <c r="T31" s="306"/>
      <c r="U31" s="307"/>
      <c r="V31" s="305"/>
      <c r="W31" s="306"/>
      <c r="X31" s="306"/>
      <c r="Y31" s="306"/>
      <c r="Z31" s="306"/>
      <c r="AA31" s="307"/>
      <c r="AB31" s="289"/>
      <c r="AC31" s="285"/>
      <c r="AD31" s="285"/>
      <c r="AE31" s="285"/>
      <c r="AF31" s="285"/>
      <c r="AG31" s="286"/>
      <c r="AH31" s="296"/>
      <c r="AI31" s="297"/>
      <c r="AJ31" s="297"/>
      <c r="AK31" s="297"/>
      <c r="AL31" s="297"/>
      <c r="AM31" s="298"/>
      <c r="AN31" s="83"/>
      <c r="AO31" s="270"/>
      <c r="AP31" s="271"/>
      <c r="AQ31" s="271"/>
      <c r="AR31" s="271"/>
      <c r="AS31" s="271"/>
      <c r="AT31" s="2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8"/>
      <c r="C32" s="238"/>
      <c r="D32" s="239"/>
      <c r="E32" s="279"/>
      <c r="F32" s="280"/>
      <c r="G32" s="280"/>
      <c r="H32" s="280"/>
      <c r="I32" s="280"/>
      <c r="J32" s="316" t="str">
        <f ca="1">IF(AND('Mapa final'!$H$28="Baja",'Mapa final'!$L$28="Leve"),CONCATENATE("R",'Mapa final'!$A$28),"")</f>
        <v/>
      </c>
      <c r="K32" s="314"/>
      <c r="L32" s="314" t="str">
        <f ca="1">IF(AND('Mapa final'!$H$34="Baja",'Mapa final'!$L$34="Leve"),CONCATENATE("R",'Mapa final'!$A$34),"")</f>
        <v/>
      </c>
      <c r="M32" s="314"/>
      <c r="N32" s="314" t="str">
        <f ca="1">IF(AND('Mapa final'!$H$40="Baja",'Mapa final'!$L$40="Leve"),CONCATENATE("R",'Mapa final'!$A$40),"")</f>
        <v/>
      </c>
      <c r="O32" s="315"/>
      <c r="P32" s="306" t="str">
        <f ca="1">IF(AND('Mapa final'!$H$28="Baja",'Mapa final'!$L$28="Menor"),CONCATENATE("R",'Mapa final'!$A$28),"")</f>
        <v/>
      </c>
      <c r="Q32" s="306"/>
      <c r="R32" s="306" t="str">
        <f ca="1">IF(AND('Mapa final'!$H$34="Baja",'Mapa final'!$L$34="Menor"),CONCATENATE("R",'Mapa final'!$A$34),"")</f>
        <v/>
      </c>
      <c r="S32" s="306"/>
      <c r="T32" s="306" t="str">
        <f ca="1">IF(AND('Mapa final'!$H$40="Baja",'Mapa final'!$L$40="Menor"),CONCATENATE("R",'Mapa final'!$A$40),"")</f>
        <v/>
      </c>
      <c r="U32" s="307"/>
      <c r="V32" s="305" t="str">
        <f ca="1">IF(AND('Mapa final'!$H$28="Baja",'Mapa final'!$L$28="Moderado"),CONCATENATE("R",'Mapa final'!$A$28),"")</f>
        <v/>
      </c>
      <c r="W32" s="306"/>
      <c r="X32" s="306" t="str">
        <f ca="1">IF(AND('Mapa final'!$H$34="Baja",'Mapa final'!$L$34="Moderado"),CONCATENATE("R",'Mapa final'!$A$34),"")</f>
        <v/>
      </c>
      <c r="Y32" s="306"/>
      <c r="Z32" s="306" t="str">
        <f ca="1">IF(AND('Mapa final'!$H$40="Baja",'Mapa final'!$L$40="Moderado"),CONCATENATE("R",'Mapa final'!$A$40),"")</f>
        <v/>
      </c>
      <c r="AA32" s="307"/>
      <c r="AB32" s="289" t="str">
        <f ca="1">IF(AND('Mapa final'!$H$28="Baja",'Mapa final'!$L$28="Mayor"),CONCATENATE("R",'Mapa final'!$A$28),"")</f>
        <v/>
      </c>
      <c r="AC32" s="285"/>
      <c r="AD32" s="285" t="str">
        <f ca="1">IF(AND('Mapa final'!$H$34="Baja",'Mapa final'!$L$34="Mayor"),CONCATENATE("R",'Mapa final'!$A$34),"")</f>
        <v/>
      </c>
      <c r="AE32" s="285"/>
      <c r="AF32" s="285" t="str">
        <f ca="1">IF(AND('Mapa final'!$H$40="Baja",'Mapa final'!$L$40="Mayor"),CONCATENATE("R",'Mapa final'!$A$40),"")</f>
        <v/>
      </c>
      <c r="AG32" s="286"/>
      <c r="AH32" s="296" t="str">
        <f ca="1">IF(AND('Mapa final'!$H$28="Baja",'Mapa final'!$L$28="Catastrófico"),CONCATENATE("R",'Mapa final'!$A$28),"")</f>
        <v/>
      </c>
      <c r="AI32" s="297"/>
      <c r="AJ32" s="297" t="str">
        <f ca="1">IF(AND('Mapa final'!$H$34="Baja",'Mapa final'!$L$34="Catastrófico"),CONCATENATE("R",'Mapa final'!$A$34),"")</f>
        <v/>
      </c>
      <c r="AK32" s="297"/>
      <c r="AL32" s="297" t="str">
        <f ca="1">IF(AND('Mapa final'!$H$40="Baja",'Mapa final'!$L$40="Catastrófico"),CONCATENATE("R",'Mapa final'!$A$40),"")</f>
        <v/>
      </c>
      <c r="AM32" s="298"/>
      <c r="AN32" s="83"/>
      <c r="AO32" s="270"/>
      <c r="AP32" s="271"/>
      <c r="AQ32" s="271"/>
      <c r="AR32" s="271"/>
      <c r="AS32" s="271"/>
      <c r="AT32" s="2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8"/>
      <c r="C33" s="238"/>
      <c r="D33" s="239"/>
      <c r="E33" s="279"/>
      <c r="F33" s="280"/>
      <c r="G33" s="280"/>
      <c r="H33" s="280"/>
      <c r="I33" s="280"/>
      <c r="J33" s="316"/>
      <c r="K33" s="314"/>
      <c r="L33" s="314"/>
      <c r="M33" s="314"/>
      <c r="N33" s="314"/>
      <c r="O33" s="315"/>
      <c r="P33" s="306"/>
      <c r="Q33" s="306"/>
      <c r="R33" s="306"/>
      <c r="S33" s="306"/>
      <c r="T33" s="306"/>
      <c r="U33" s="307"/>
      <c r="V33" s="305"/>
      <c r="W33" s="306"/>
      <c r="X33" s="306"/>
      <c r="Y33" s="306"/>
      <c r="Z33" s="306"/>
      <c r="AA33" s="307"/>
      <c r="AB33" s="289"/>
      <c r="AC33" s="285"/>
      <c r="AD33" s="285"/>
      <c r="AE33" s="285"/>
      <c r="AF33" s="285"/>
      <c r="AG33" s="286"/>
      <c r="AH33" s="296"/>
      <c r="AI33" s="297"/>
      <c r="AJ33" s="297"/>
      <c r="AK33" s="297"/>
      <c r="AL33" s="297"/>
      <c r="AM33" s="298"/>
      <c r="AN33" s="83"/>
      <c r="AO33" s="270"/>
      <c r="AP33" s="271"/>
      <c r="AQ33" s="271"/>
      <c r="AR33" s="271"/>
      <c r="AS33" s="271"/>
      <c r="AT33" s="2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8"/>
      <c r="C34" s="238"/>
      <c r="D34" s="239"/>
      <c r="E34" s="279"/>
      <c r="F34" s="280"/>
      <c r="G34" s="280"/>
      <c r="H34" s="280"/>
      <c r="I34" s="280"/>
      <c r="J34" s="316" t="str">
        <f ca="1">IF(AND('Mapa final'!$H$46="Baja",'Mapa final'!$L$46="Leve"),CONCATENATE("R",'Mapa final'!$A$46),"")</f>
        <v/>
      </c>
      <c r="K34" s="314"/>
      <c r="L34" s="314" t="str">
        <f ca="1">IF(AND('Mapa final'!$H$52="Baja",'Mapa final'!$L$52="Leve"),CONCATENATE("R",'Mapa final'!$A$52),"")</f>
        <v/>
      </c>
      <c r="M34" s="314"/>
      <c r="N34" s="314" t="str">
        <f ca="1">IF(AND('Mapa final'!$H$58="Baja",'Mapa final'!$L$58="Leve"),CONCATENATE("R",'Mapa final'!$A$58),"")</f>
        <v/>
      </c>
      <c r="O34" s="315"/>
      <c r="P34" s="306" t="str">
        <f ca="1">IF(AND('Mapa final'!$H$46="Baja",'Mapa final'!$L$46="Menor"),CONCATENATE("R",'Mapa final'!$A$46),"")</f>
        <v/>
      </c>
      <c r="Q34" s="306"/>
      <c r="R34" s="306" t="str">
        <f ca="1">IF(AND('Mapa final'!$H$52="Baja",'Mapa final'!$L$52="Menor"),CONCATENATE("R",'Mapa final'!$A$52),"")</f>
        <v/>
      </c>
      <c r="S34" s="306"/>
      <c r="T34" s="306" t="str">
        <f ca="1">IF(AND('Mapa final'!$H$58="Baja",'Mapa final'!$L$58="Menor"),CONCATENATE("R",'Mapa final'!$A$58),"")</f>
        <v/>
      </c>
      <c r="U34" s="307"/>
      <c r="V34" s="305" t="str">
        <f ca="1">IF(AND('Mapa final'!$H$46="Baja",'Mapa final'!$L$46="Moderado"),CONCATENATE("R",'Mapa final'!$A$46),"")</f>
        <v/>
      </c>
      <c r="W34" s="306"/>
      <c r="X34" s="306" t="str">
        <f ca="1">IF(AND('Mapa final'!$H$52="Baja",'Mapa final'!$L$52="Moderado"),CONCATENATE("R",'Mapa final'!$A$52),"")</f>
        <v/>
      </c>
      <c r="Y34" s="306"/>
      <c r="Z34" s="306" t="str">
        <f ca="1">IF(AND('Mapa final'!$H$58="Baja",'Mapa final'!$L$58="Moderado"),CONCATENATE("R",'Mapa final'!$A$58),"")</f>
        <v/>
      </c>
      <c r="AA34" s="307"/>
      <c r="AB34" s="289" t="str">
        <f ca="1">IF(AND('Mapa final'!$H$46="Baja",'Mapa final'!$L$46="Mayor"),CONCATENATE("R",'Mapa final'!$A$46),"")</f>
        <v/>
      </c>
      <c r="AC34" s="285"/>
      <c r="AD34" s="285" t="str">
        <f ca="1">IF(AND('Mapa final'!$H$52="Baja",'Mapa final'!$L$52="Mayor"),CONCATENATE("R",'Mapa final'!$A$52),"")</f>
        <v/>
      </c>
      <c r="AE34" s="285"/>
      <c r="AF34" s="285" t="str">
        <f ca="1">IF(AND('Mapa final'!$H$58="Baja",'Mapa final'!$L$58="Mayor"),CONCATENATE("R",'Mapa final'!$A$58),"")</f>
        <v/>
      </c>
      <c r="AG34" s="286"/>
      <c r="AH34" s="296" t="str">
        <f ca="1">IF(AND('Mapa final'!$H$46="Baja",'Mapa final'!$L$46="Catastrófico"),CONCATENATE("R",'Mapa final'!$A$46),"")</f>
        <v/>
      </c>
      <c r="AI34" s="297"/>
      <c r="AJ34" s="297" t="str">
        <f ca="1">IF(AND('Mapa final'!$H$52="Baja",'Mapa final'!$L$52="Catastrófico"),CONCATENATE("R",'Mapa final'!$A$52),"")</f>
        <v/>
      </c>
      <c r="AK34" s="297"/>
      <c r="AL34" s="297" t="str">
        <f ca="1">IF(AND('Mapa final'!$H$58="Baja",'Mapa final'!$L$58="Catastrófico"),CONCATENATE("R",'Mapa final'!$A$58),"")</f>
        <v/>
      </c>
      <c r="AM34" s="298"/>
      <c r="AN34" s="83"/>
      <c r="AO34" s="270"/>
      <c r="AP34" s="271"/>
      <c r="AQ34" s="271"/>
      <c r="AR34" s="271"/>
      <c r="AS34" s="271"/>
      <c r="AT34" s="2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8"/>
      <c r="C35" s="238"/>
      <c r="D35" s="239"/>
      <c r="E35" s="279"/>
      <c r="F35" s="280"/>
      <c r="G35" s="280"/>
      <c r="H35" s="280"/>
      <c r="I35" s="280"/>
      <c r="J35" s="316"/>
      <c r="K35" s="314"/>
      <c r="L35" s="314"/>
      <c r="M35" s="314"/>
      <c r="N35" s="314"/>
      <c r="O35" s="315"/>
      <c r="P35" s="306"/>
      <c r="Q35" s="306"/>
      <c r="R35" s="306"/>
      <c r="S35" s="306"/>
      <c r="T35" s="306"/>
      <c r="U35" s="307"/>
      <c r="V35" s="305"/>
      <c r="W35" s="306"/>
      <c r="X35" s="306"/>
      <c r="Y35" s="306"/>
      <c r="Z35" s="306"/>
      <c r="AA35" s="307"/>
      <c r="AB35" s="289"/>
      <c r="AC35" s="285"/>
      <c r="AD35" s="285"/>
      <c r="AE35" s="285"/>
      <c r="AF35" s="285"/>
      <c r="AG35" s="286"/>
      <c r="AH35" s="296"/>
      <c r="AI35" s="297"/>
      <c r="AJ35" s="297"/>
      <c r="AK35" s="297"/>
      <c r="AL35" s="297"/>
      <c r="AM35" s="298"/>
      <c r="AN35" s="83"/>
      <c r="AO35" s="270"/>
      <c r="AP35" s="271"/>
      <c r="AQ35" s="271"/>
      <c r="AR35" s="271"/>
      <c r="AS35" s="271"/>
      <c r="AT35" s="2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8"/>
      <c r="C36" s="238"/>
      <c r="D36" s="239"/>
      <c r="E36" s="279"/>
      <c r="F36" s="280"/>
      <c r="G36" s="280"/>
      <c r="H36" s="280"/>
      <c r="I36" s="280"/>
      <c r="J36" s="316" t="str">
        <f ca="1">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06" t="str">
        <f ca="1">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 ca="1">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289" t="str">
        <f ca="1">IF(AND('Mapa final'!$H$64="Baja",'Mapa final'!$L$64="Mayor"),CONCATENATE("R",'Mapa final'!$A$64),"")</f>
        <v/>
      </c>
      <c r="AC36" s="285"/>
      <c r="AD36" s="285" t="str">
        <f>IF(AND('Mapa final'!$H$70="Baja",'Mapa final'!$L$70="Mayor"),CONCATENATE("R",'Mapa final'!$A$70),"")</f>
        <v/>
      </c>
      <c r="AE36" s="285"/>
      <c r="AF36" s="285" t="str">
        <f>IF(AND('Mapa final'!$H$76="Baja",'Mapa final'!$L$76="Mayor"),CONCATENATE("R",'Mapa final'!$A$76),"")</f>
        <v/>
      </c>
      <c r="AG36" s="286"/>
      <c r="AH36" s="296" t="str">
        <f ca="1">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3"/>
      <c r="AO36" s="270"/>
      <c r="AP36" s="271"/>
      <c r="AQ36" s="271"/>
      <c r="AR36" s="271"/>
      <c r="AS36" s="271"/>
      <c r="AT36" s="2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8"/>
      <c r="C37" s="238"/>
      <c r="D37" s="239"/>
      <c r="E37" s="282"/>
      <c r="F37" s="283"/>
      <c r="G37" s="283"/>
      <c r="H37" s="283"/>
      <c r="I37" s="283"/>
      <c r="J37" s="317"/>
      <c r="K37" s="318"/>
      <c r="L37" s="318"/>
      <c r="M37" s="318"/>
      <c r="N37" s="318"/>
      <c r="O37" s="319"/>
      <c r="P37" s="309"/>
      <c r="Q37" s="309"/>
      <c r="R37" s="309"/>
      <c r="S37" s="309"/>
      <c r="T37" s="309"/>
      <c r="U37" s="310"/>
      <c r="V37" s="308"/>
      <c r="W37" s="309"/>
      <c r="X37" s="309"/>
      <c r="Y37" s="309"/>
      <c r="Z37" s="309"/>
      <c r="AA37" s="310"/>
      <c r="AB37" s="293"/>
      <c r="AC37" s="294"/>
      <c r="AD37" s="294"/>
      <c r="AE37" s="294"/>
      <c r="AF37" s="294"/>
      <c r="AG37" s="295"/>
      <c r="AH37" s="299"/>
      <c r="AI37" s="300"/>
      <c r="AJ37" s="300"/>
      <c r="AK37" s="300"/>
      <c r="AL37" s="300"/>
      <c r="AM37" s="301"/>
      <c r="AN37" s="83"/>
      <c r="AO37" s="273"/>
      <c r="AP37" s="274"/>
      <c r="AQ37" s="274"/>
      <c r="AR37" s="274"/>
      <c r="AS37" s="274"/>
      <c r="AT37" s="2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8"/>
      <c r="C38" s="238"/>
      <c r="D38" s="239"/>
      <c r="E38" s="276" t="s">
        <v>113</v>
      </c>
      <c r="F38" s="277"/>
      <c r="G38" s="277"/>
      <c r="H38" s="277"/>
      <c r="I38" s="278"/>
      <c r="J38" s="320" t="str">
        <f ca="1">IF(AND('Mapa final'!$H$10="Muy Baja",'Mapa final'!$L$10="Leve"),CONCATENATE("R",'Mapa final'!$A$10),"")</f>
        <v/>
      </c>
      <c r="K38" s="321"/>
      <c r="L38" s="321" t="str">
        <f ca="1">IF(AND('Mapa final'!$H$16="Muy Baja",'Mapa final'!$L$16="Leve"),CONCATENATE("R",'Mapa final'!$A$16),"")</f>
        <v/>
      </c>
      <c r="M38" s="321"/>
      <c r="N38" s="321" t="str">
        <f ca="1">IF(AND('Mapa final'!$H$22="Muy Baja",'Mapa final'!$L$22="Leve"),CONCATENATE("R",'Mapa final'!$A$22),"")</f>
        <v/>
      </c>
      <c r="O38" s="322"/>
      <c r="P38" s="320" t="str">
        <f ca="1">IF(AND('Mapa final'!$H$10="Muy Baja",'Mapa final'!$L$10="Menor"),CONCATENATE("R",'Mapa final'!$A$10),"")</f>
        <v/>
      </c>
      <c r="Q38" s="321"/>
      <c r="R38" s="321" t="str">
        <f ca="1">IF(AND('Mapa final'!$H$16="Muy Baja",'Mapa final'!$L$16="Menor"),CONCATENATE("R",'Mapa final'!$A$16),"")</f>
        <v/>
      </c>
      <c r="S38" s="321"/>
      <c r="T38" s="321" t="str">
        <f ca="1">IF(AND('Mapa final'!$H$22="Muy Baja",'Mapa final'!$L$22="Menor"),CONCATENATE("R",'Mapa final'!$A$22),"")</f>
        <v/>
      </c>
      <c r="U38" s="322"/>
      <c r="V38" s="311" t="str">
        <f ca="1">IF(AND('Mapa final'!$H$10="Muy Baja",'Mapa final'!$L$10="Moderado"),CONCATENATE("R",'Mapa final'!$A$10),"")</f>
        <v/>
      </c>
      <c r="W38" s="312"/>
      <c r="X38" s="312" t="str">
        <f ca="1">IF(AND('Mapa final'!$H$16="Muy Baja",'Mapa final'!$L$16="Moderado"),CONCATENATE("R",'Mapa final'!$A$16),"")</f>
        <v/>
      </c>
      <c r="Y38" s="312"/>
      <c r="Z38" s="312" t="str">
        <f ca="1">IF(AND('Mapa final'!$H$22="Muy Baja",'Mapa final'!$L$22="Moderado"),CONCATENATE("R",'Mapa final'!$A$22),"")</f>
        <v/>
      </c>
      <c r="AA38" s="313"/>
      <c r="AB38" s="287" t="str">
        <f ca="1">IF(AND('Mapa final'!$H$10="Muy Baja",'Mapa final'!$L$10="Mayor"),CONCATENATE("R",'Mapa final'!$A$10),"")</f>
        <v/>
      </c>
      <c r="AC38" s="288"/>
      <c r="AD38" s="288" t="str">
        <f ca="1">IF(AND('Mapa final'!$H$16="Muy Baja",'Mapa final'!$L$16="Mayor"),CONCATENATE("R",'Mapa final'!$A$16),"")</f>
        <v/>
      </c>
      <c r="AE38" s="288"/>
      <c r="AF38" s="288" t="str">
        <f ca="1">IF(AND('Mapa final'!$H$22="Muy Baja",'Mapa final'!$L$22="Mayor"),CONCATENATE("R",'Mapa final'!$A$22),"")</f>
        <v/>
      </c>
      <c r="AG38" s="290"/>
      <c r="AH38" s="302" t="str">
        <f ca="1">IF(AND('Mapa final'!$H$10="Muy Baja",'Mapa final'!$L$10="Catastrófico"),CONCATENATE("R",'Mapa final'!$A$10),"")</f>
        <v/>
      </c>
      <c r="AI38" s="303"/>
      <c r="AJ38" s="303" t="str">
        <f ca="1">IF(AND('Mapa final'!$H$16="Muy Baja",'Mapa final'!$L$16="Catastrófico"),CONCATENATE("R",'Mapa final'!$A$16),"")</f>
        <v/>
      </c>
      <c r="AK38" s="303"/>
      <c r="AL38" s="303" t="str">
        <f ca="1">IF(AND('Mapa final'!$H$22="Muy Baja",'Mapa final'!$L$22="Catastrófico"),CONCATENATE("R",'Mapa final'!$A$22),"")</f>
        <v/>
      </c>
      <c r="AM38" s="30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8"/>
      <c r="C39" s="238"/>
      <c r="D39" s="239"/>
      <c r="E39" s="279"/>
      <c r="F39" s="280"/>
      <c r="G39" s="280"/>
      <c r="H39" s="280"/>
      <c r="I39" s="281"/>
      <c r="J39" s="316"/>
      <c r="K39" s="314"/>
      <c r="L39" s="314"/>
      <c r="M39" s="314"/>
      <c r="N39" s="314"/>
      <c r="O39" s="315"/>
      <c r="P39" s="316"/>
      <c r="Q39" s="314"/>
      <c r="R39" s="314"/>
      <c r="S39" s="314"/>
      <c r="T39" s="314"/>
      <c r="U39" s="315"/>
      <c r="V39" s="305"/>
      <c r="W39" s="306"/>
      <c r="X39" s="306"/>
      <c r="Y39" s="306"/>
      <c r="Z39" s="306"/>
      <c r="AA39" s="307"/>
      <c r="AB39" s="289"/>
      <c r="AC39" s="285"/>
      <c r="AD39" s="285"/>
      <c r="AE39" s="285"/>
      <c r="AF39" s="285"/>
      <c r="AG39" s="286"/>
      <c r="AH39" s="296"/>
      <c r="AI39" s="297"/>
      <c r="AJ39" s="297"/>
      <c r="AK39" s="297"/>
      <c r="AL39" s="297"/>
      <c r="AM39" s="29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8"/>
      <c r="C40" s="238"/>
      <c r="D40" s="239"/>
      <c r="E40" s="279"/>
      <c r="F40" s="280"/>
      <c r="G40" s="280"/>
      <c r="H40" s="280"/>
      <c r="I40" s="281"/>
      <c r="J40" s="316" t="str">
        <f ca="1">IF(AND('Mapa final'!$H$28="Muy Baja",'Mapa final'!$L$28="Leve"),CONCATENATE("R",'Mapa final'!$A$28),"")</f>
        <v/>
      </c>
      <c r="K40" s="314"/>
      <c r="L40" s="314" t="str">
        <f ca="1">IF(AND('Mapa final'!$H$34="Muy Baja",'Mapa final'!$L$34="Leve"),CONCATENATE("R",'Mapa final'!$A$34),"")</f>
        <v/>
      </c>
      <c r="M40" s="314"/>
      <c r="N40" s="314" t="str">
        <f ca="1">IF(AND('Mapa final'!$H$40="Muy Baja",'Mapa final'!$L$40="Leve"),CONCATENATE("R",'Mapa final'!$A$40),"")</f>
        <v/>
      </c>
      <c r="O40" s="315"/>
      <c r="P40" s="316" t="str">
        <f ca="1">IF(AND('Mapa final'!$H$28="Muy Baja",'Mapa final'!$L$28="Menor"),CONCATENATE("R",'Mapa final'!$A$28),"")</f>
        <v/>
      </c>
      <c r="Q40" s="314"/>
      <c r="R40" s="314" t="str">
        <f ca="1">IF(AND('Mapa final'!$H$34="Muy Baja",'Mapa final'!$L$34="Menor"),CONCATENATE("R",'Mapa final'!$A$34),"")</f>
        <v/>
      </c>
      <c r="S40" s="314"/>
      <c r="T40" s="314" t="str">
        <f ca="1">IF(AND('Mapa final'!$H$40="Muy Baja",'Mapa final'!$L$40="Menor"),CONCATENATE("R",'Mapa final'!$A$40),"")</f>
        <v/>
      </c>
      <c r="U40" s="315"/>
      <c r="V40" s="305" t="str">
        <f ca="1">IF(AND('Mapa final'!$H$28="Muy Baja",'Mapa final'!$L$28="Moderado"),CONCATENATE("R",'Mapa final'!$A$28),"")</f>
        <v/>
      </c>
      <c r="W40" s="306"/>
      <c r="X40" s="306" t="str">
        <f ca="1">IF(AND('Mapa final'!$H$34="Muy Baja",'Mapa final'!$L$34="Moderado"),CONCATENATE("R",'Mapa final'!$A$34),"")</f>
        <v/>
      </c>
      <c r="Y40" s="306"/>
      <c r="Z40" s="306" t="str">
        <f ca="1">IF(AND('Mapa final'!$H$40="Muy Baja",'Mapa final'!$L$40="Moderado"),CONCATENATE("R",'Mapa final'!$A$40),"")</f>
        <v/>
      </c>
      <c r="AA40" s="307"/>
      <c r="AB40" s="289" t="str">
        <f ca="1">IF(AND('Mapa final'!$H$28="Muy Baja",'Mapa final'!$L$28="Mayor"),CONCATENATE("R",'Mapa final'!$A$28),"")</f>
        <v/>
      </c>
      <c r="AC40" s="285"/>
      <c r="AD40" s="285" t="str">
        <f ca="1">IF(AND('Mapa final'!$H$34="Muy Baja",'Mapa final'!$L$34="Mayor"),CONCATENATE("R",'Mapa final'!$A$34),"")</f>
        <v/>
      </c>
      <c r="AE40" s="285"/>
      <c r="AF40" s="285" t="str">
        <f ca="1">IF(AND('Mapa final'!$H$40="Muy Baja",'Mapa final'!$L$40="Mayor"),CONCATENATE("R",'Mapa final'!$A$40),"")</f>
        <v/>
      </c>
      <c r="AG40" s="286"/>
      <c r="AH40" s="296" t="str">
        <f ca="1">IF(AND('Mapa final'!$H$28="Muy Baja",'Mapa final'!$L$28="Catastrófico"),CONCATENATE("R",'Mapa final'!$A$28),"")</f>
        <v/>
      </c>
      <c r="AI40" s="297"/>
      <c r="AJ40" s="297" t="str">
        <f ca="1">IF(AND('Mapa final'!$H$34="Muy Baja",'Mapa final'!$L$34="Catastrófico"),CONCATENATE("R",'Mapa final'!$A$34),"")</f>
        <v/>
      </c>
      <c r="AK40" s="297"/>
      <c r="AL40" s="297" t="str">
        <f ca="1">IF(AND('Mapa final'!$H$40="Muy Baja",'Mapa final'!$L$40="Catastrófico"),CONCATENATE("R",'Mapa final'!$A$40),"")</f>
        <v/>
      </c>
      <c r="AM40" s="29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8"/>
      <c r="C41" s="238"/>
      <c r="D41" s="239"/>
      <c r="E41" s="279"/>
      <c r="F41" s="280"/>
      <c r="G41" s="280"/>
      <c r="H41" s="280"/>
      <c r="I41" s="281"/>
      <c r="J41" s="316"/>
      <c r="K41" s="314"/>
      <c r="L41" s="314"/>
      <c r="M41" s="314"/>
      <c r="N41" s="314"/>
      <c r="O41" s="315"/>
      <c r="P41" s="316"/>
      <c r="Q41" s="314"/>
      <c r="R41" s="314"/>
      <c r="S41" s="314"/>
      <c r="T41" s="314"/>
      <c r="U41" s="315"/>
      <c r="V41" s="305"/>
      <c r="W41" s="306"/>
      <c r="X41" s="306"/>
      <c r="Y41" s="306"/>
      <c r="Z41" s="306"/>
      <c r="AA41" s="307"/>
      <c r="AB41" s="289"/>
      <c r="AC41" s="285"/>
      <c r="AD41" s="285"/>
      <c r="AE41" s="285"/>
      <c r="AF41" s="285"/>
      <c r="AG41" s="286"/>
      <c r="AH41" s="296"/>
      <c r="AI41" s="297"/>
      <c r="AJ41" s="297"/>
      <c r="AK41" s="297"/>
      <c r="AL41" s="297"/>
      <c r="AM41" s="29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8"/>
      <c r="C42" s="238"/>
      <c r="D42" s="239"/>
      <c r="E42" s="279"/>
      <c r="F42" s="280"/>
      <c r="G42" s="280"/>
      <c r="H42" s="280"/>
      <c r="I42" s="281"/>
      <c r="J42" s="316" t="str">
        <f ca="1">IF(AND('Mapa final'!$H$46="Muy Baja",'Mapa final'!$L$46="Leve"),CONCATENATE("R",'Mapa final'!$A$46),"")</f>
        <v/>
      </c>
      <c r="K42" s="314"/>
      <c r="L42" s="314" t="str">
        <f ca="1">IF(AND('Mapa final'!$H$52="Muy Baja",'Mapa final'!$L$52="Leve"),CONCATENATE("R",'Mapa final'!$A$52),"")</f>
        <v/>
      </c>
      <c r="M42" s="314"/>
      <c r="N42" s="314" t="str">
        <f ca="1">IF(AND('Mapa final'!$H$58="Muy Baja",'Mapa final'!$L$58="Leve"),CONCATENATE("R",'Mapa final'!$A$58),"")</f>
        <v/>
      </c>
      <c r="O42" s="315"/>
      <c r="P42" s="316" t="str">
        <f ca="1">IF(AND('Mapa final'!$H$46="Muy Baja",'Mapa final'!$L$46="Menor"),CONCATENATE("R",'Mapa final'!$A$46),"")</f>
        <v/>
      </c>
      <c r="Q42" s="314"/>
      <c r="R42" s="314" t="str">
        <f ca="1">IF(AND('Mapa final'!$H$52="Muy Baja",'Mapa final'!$L$52="Menor"),CONCATENATE("R",'Mapa final'!$A$52),"")</f>
        <v/>
      </c>
      <c r="S42" s="314"/>
      <c r="T42" s="314" t="str">
        <f ca="1">IF(AND('Mapa final'!$H$58="Muy Baja",'Mapa final'!$L$58="Menor"),CONCATENATE("R",'Mapa final'!$A$58),"")</f>
        <v/>
      </c>
      <c r="U42" s="315"/>
      <c r="V42" s="305" t="str">
        <f ca="1">IF(AND('Mapa final'!$H$46="Muy Baja",'Mapa final'!$L$46="Moderado"),CONCATENATE("R",'Mapa final'!$A$46),"")</f>
        <v/>
      </c>
      <c r="W42" s="306"/>
      <c r="X42" s="306" t="str">
        <f ca="1">IF(AND('Mapa final'!$H$52="Muy Baja",'Mapa final'!$L$52="Moderado"),CONCATENATE("R",'Mapa final'!$A$52),"")</f>
        <v/>
      </c>
      <c r="Y42" s="306"/>
      <c r="Z42" s="306" t="str">
        <f ca="1">IF(AND('Mapa final'!$H$58="Muy Baja",'Mapa final'!$L$58="Moderado"),CONCATENATE("R",'Mapa final'!$A$58),"")</f>
        <v/>
      </c>
      <c r="AA42" s="307"/>
      <c r="AB42" s="289" t="str">
        <f ca="1">IF(AND('Mapa final'!$H$46="Muy Baja",'Mapa final'!$L$46="Mayor"),CONCATENATE("R",'Mapa final'!$A$46),"")</f>
        <v/>
      </c>
      <c r="AC42" s="285"/>
      <c r="AD42" s="285" t="str">
        <f ca="1">IF(AND('Mapa final'!$H$52="Muy Baja",'Mapa final'!$L$52="Mayor"),CONCATENATE("R",'Mapa final'!$A$52),"")</f>
        <v/>
      </c>
      <c r="AE42" s="285"/>
      <c r="AF42" s="285" t="str">
        <f ca="1">IF(AND('Mapa final'!$H$58="Muy Baja",'Mapa final'!$L$58="Mayor"),CONCATENATE("R",'Mapa final'!$A$58),"")</f>
        <v/>
      </c>
      <c r="AG42" s="286"/>
      <c r="AH42" s="296" t="str">
        <f ca="1">IF(AND('Mapa final'!$H$46="Muy Baja",'Mapa final'!$L$46="Catastrófico"),CONCATENATE("R",'Mapa final'!$A$46),"")</f>
        <v/>
      </c>
      <c r="AI42" s="297"/>
      <c r="AJ42" s="297" t="str">
        <f ca="1">IF(AND('Mapa final'!$H$52="Muy Baja",'Mapa final'!$L$52="Catastrófico"),CONCATENATE("R",'Mapa final'!$A$52),"")</f>
        <v/>
      </c>
      <c r="AK42" s="297"/>
      <c r="AL42" s="297" t="str">
        <f ca="1">IF(AND('Mapa final'!$H$58="Muy Baja",'Mapa final'!$L$58="Catastrófico"),CONCATENATE("R",'Mapa final'!$A$58),"")</f>
        <v/>
      </c>
      <c r="AM42" s="29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8"/>
      <c r="C43" s="238"/>
      <c r="D43" s="239"/>
      <c r="E43" s="279"/>
      <c r="F43" s="280"/>
      <c r="G43" s="280"/>
      <c r="H43" s="280"/>
      <c r="I43" s="281"/>
      <c r="J43" s="316"/>
      <c r="K43" s="314"/>
      <c r="L43" s="314"/>
      <c r="M43" s="314"/>
      <c r="N43" s="314"/>
      <c r="O43" s="315"/>
      <c r="P43" s="316"/>
      <c r="Q43" s="314"/>
      <c r="R43" s="314"/>
      <c r="S43" s="314"/>
      <c r="T43" s="314"/>
      <c r="U43" s="315"/>
      <c r="V43" s="305"/>
      <c r="W43" s="306"/>
      <c r="X43" s="306"/>
      <c r="Y43" s="306"/>
      <c r="Z43" s="306"/>
      <c r="AA43" s="307"/>
      <c r="AB43" s="289"/>
      <c r="AC43" s="285"/>
      <c r="AD43" s="285"/>
      <c r="AE43" s="285"/>
      <c r="AF43" s="285"/>
      <c r="AG43" s="286"/>
      <c r="AH43" s="296"/>
      <c r="AI43" s="297"/>
      <c r="AJ43" s="297"/>
      <c r="AK43" s="297"/>
      <c r="AL43" s="297"/>
      <c r="AM43" s="29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8"/>
      <c r="C44" s="238"/>
      <c r="D44" s="239"/>
      <c r="E44" s="279"/>
      <c r="F44" s="280"/>
      <c r="G44" s="280"/>
      <c r="H44" s="280"/>
      <c r="I44" s="281"/>
      <c r="J44" s="316" t="str">
        <f ca="1">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6" t="str">
        <f ca="1">IF(AND('Mapa final'!$H$64="Muy Baja",'Mapa final'!$L$64="Menor"),CONCATENATE("R",'Mapa final'!$A$64),"")</f>
        <v/>
      </c>
      <c r="Q44" s="314"/>
      <c r="R44" s="314" t="str">
        <f>IF(AND('Mapa final'!$H$70="Muy Baja",'Mapa final'!$L$70="Menor"),CONCATENATE("R",'Mapa final'!$A$70),"")</f>
        <v/>
      </c>
      <c r="S44" s="314"/>
      <c r="T44" s="314" t="str">
        <f>IF(AND('Mapa final'!$H$76="Muy Baja",'Mapa final'!$L$76="Menor"),CONCATENATE("R",'Mapa final'!$A$76),"")</f>
        <v/>
      </c>
      <c r="U44" s="315"/>
      <c r="V44" s="305" t="str">
        <f ca="1">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289" t="str">
        <f ca="1">IF(AND('Mapa final'!$H$64="Muy Baja",'Mapa final'!$L$64="Mayor"),CONCATENATE("R",'Mapa final'!$A$64),"")</f>
        <v/>
      </c>
      <c r="AC44" s="285"/>
      <c r="AD44" s="285" t="str">
        <f>IF(AND('Mapa final'!$H$70="Muy Baja",'Mapa final'!$L$70="Mayor"),CONCATENATE("R",'Mapa final'!$A$70),"")</f>
        <v/>
      </c>
      <c r="AE44" s="285"/>
      <c r="AF44" s="285" t="str">
        <f>IF(AND('Mapa final'!$H$76="Muy Baja",'Mapa final'!$L$76="Mayor"),CONCATENATE("R",'Mapa final'!$A$76),"")</f>
        <v/>
      </c>
      <c r="AG44" s="286"/>
      <c r="AH44" s="296" t="str">
        <f ca="1">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8"/>
      <c r="C45" s="238"/>
      <c r="D45" s="239"/>
      <c r="E45" s="282"/>
      <c r="F45" s="283"/>
      <c r="G45" s="283"/>
      <c r="H45" s="283"/>
      <c r="I45" s="284"/>
      <c r="J45" s="317"/>
      <c r="K45" s="318"/>
      <c r="L45" s="318"/>
      <c r="M45" s="318"/>
      <c r="N45" s="318"/>
      <c r="O45" s="319"/>
      <c r="P45" s="317"/>
      <c r="Q45" s="318"/>
      <c r="R45" s="318"/>
      <c r="S45" s="318"/>
      <c r="T45" s="318"/>
      <c r="U45" s="319"/>
      <c r="V45" s="308"/>
      <c r="W45" s="309"/>
      <c r="X45" s="309"/>
      <c r="Y45" s="309"/>
      <c r="Z45" s="309"/>
      <c r="AA45" s="310"/>
      <c r="AB45" s="293"/>
      <c r="AC45" s="294"/>
      <c r="AD45" s="294"/>
      <c r="AE45" s="294"/>
      <c r="AF45" s="294"/>
      <c r="AG45" s="295"/>
      <c r="AH45" s="299"/>
      <c r="AI45" s="300"/>
      <c r="AJ45" s="300"/>
      <c r="AK45" s="300"/>
      <c r="AL45" s="300"/>
      <c r="AM45" s="30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2"/>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9" t="s">
        <v>160</v>
      </c>
      <c r="C2" s="350"/>
      <c r="D2" s="350"/>
      <c r="E2" s="350"/>
      <c r="F2" s="350"/>
      <c r="G2" s="350"/>
      <c r="H2" s="350"/>
      <c r="I2" s="35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0"/>
      <c r="C3" s="350"/>
      <c r="D3" s="350"/>
      <c r="E3" s="350"/>
      <c r="F3" s="350"/>
      <c r="G3" s="350"/>
      <c r="H3" s="350"/>
      <c r="I3" s="35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0"/>
      <c r="C4" s="350"/>
      <c r="D4" s="350"/>
      <c r="E4" s="350"/>
      <c r="F4" s="350"/>
      <c r="G4" s="350"/>
      <c r="H4" s="350"/>
      <c r="I4" s="35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8" t="s">
        <v>4</v>
      </c>
      <c r="C6" s="238"/>
      <c r="D6" s="239"/>
      <c r="E6" s="333" t="s">
        <v>116</v>
      </c>
      <c r="F6" s="334"/>
      <c r="G6" s="334"/>
      <c r="H6" s="334"/>
      <c r="I6" s="351"/>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0" t="s">
        <v>79</v>
      </c>
      <c r="AP6" s="341"/>
      <c r="AQ6" s="341"/>
      <c r="AR6" s="341"/>
      <c r="AS6" s="341"/>
      <c r="AT6" s="3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8"/>
      <c r="C7" s="238"/>
      <c r="D7" s="239"/>
      <c r="E7" s="337"/>
      <c r="F7" s="336"/>
      <c r="G7" s="336"/>
      <c r="H7" s="336"/>
      <c r="I7" s="352"/>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3"/>
      <c r="AP7" s="344"/>
      <c r="AQ7" s="344"/>
      <c r="AR7" s="344"/>
      <c r="AS7" s="344"/>
      <c r="AT7" s="3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8"/>
      <c r="C8" s="238"/>
      <c r="D8" s="239"/>
      <c r="E8" s="337"/>
      <c r="F8" s="336"/>
      <c r="G8" s="336"/>
      <c r="H8" s="336"/>
      <c r="I8" s="352"/>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3"/>
      <c r="AP8" s="344"/>
      <c r="AQ8" s="344"/>
      <c r="AR8" s="344"/>
      <c r="AS8" s="344"/>
      <c r="AT8" s="3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8"/>
      <c r="C9" s="238"/>
      <c r="D9" s="239"/>
      <c r="E9" s="337"/>
      <c r="F9" s="336"/>
      <c r="G9" s="336"/>
      <c r="H9" s="336"/>
      <c r="I9" s="352"/>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3"/>
      <c r="AP9" s="344"/>
      <c r="AQ9" s="344"/>
      <c r="AR9" s="344"/>
      <c r="AS9" s="344"/>
      <c r="AT9" s="3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8"/>
      <c r="C10" s="238"/>
      <c r="D10" s="239"/>
      <c r="E10" s="337"/>
      <c r="F10" s="336"/>
      <c r="G10" s="336"/>
      <c r="H10" s="336"/>
      <c r="I10" s="352"/>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3"/>
      <c r="AP10" s="344"/>
      <c r="AQ10" s="344"/>
      <c r="AR10" s="344"/>
      <c r="AS10" s="344"/>
      <c r="AT10" s="3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8"/>
      <c r="C11" s="238"/>
      <c r="D11" s="239"/>
      <c r="E11" s="337"/>
      <c r="F11" s="336"/>
      <c r="G11" s="336"/>
      <c r="H11" s="336"/>
      <c r="I11" s="352"/>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3"/>
      <c r="AP11" s="344"/>
      <c r="AQ11" s="344"/>
      <c r="AR11" s="344"/>
      <c r="AS11" s="344"/>
      <c r="AT11" s="3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8"/>
      <c r="C12" s="238"/>
      <c r="D12" s="239"/>
      <c r="E12" s="337"/>
      <c r="F12" s="336"/>
      <c r="G12" s="336"/>
      <c r="H12" s="336"/>
      <c r="I12" s="352"/>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3"/>
      <c r="AP12" s="344"/>
      <c r="AQ12" s="344"/>
      <c r="AR12" s="344"/>
      <c r="AS12" s="344"/>
      <c r="AT12" s="3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8"/>
      <c r="C13" s="238"/>
      <c r="D13" s="239"/>
      <c r="E13" s="337"/>
      <c r="F13" s="336"/>
      <c r="G13" s="336"/>
      <c r="H13" s="336"/>
      <c r="I13" s="352"/>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3"/>
      <c r="AP13" s="344"/>
      <c r="AQ13" s="344"/>
      <c r="AR13" s="344"/>
      <c r="AS13" s="344"/>
      <c r="AT13" s="3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8"/>
      <c r="C14" s="238"/>
      <c r="D14" s="239"/>
      <c r="E14" s="337"/>
      <c r="F14" s="336"/>
      <c r="G14" s="336"/>
      <c r="H14" s="336"/>
      <c r="I14" s="352"/>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3"/>
      <c r="AP14" s="344"/>
      <c r="AQ14" s="344"/>
      <c r="AR14" s="344"/>
      <c r="AS14" s="344"/>
      <c r="AT14" s="3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8"/>
      <c r="C15" s="238"/>
      <c r="D15" s="239"/>
      <c r="E15" s="338"/>
      <c r="F15" s="339"/>
      <c r="G15" s="339"/>
      <c r="H15" s="339"/>
      <c r="I15" s="35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6"/>
      <c r="AP15" s="347"/>
      <c r="AQ15" s="347"/>
      <c r="AR15" s="347"/>
      <c r="AS15" s="347"/>
      <c r="AT15" s="3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8"/>
      <c r="C16" s="238"/>
      <c r="D16" s="239"/>
      <c r="E16" s="333" t="s">
        <v>115</v>
      </c>
      <c r="F16" s="334"/>
      <c r="G16" s="334"/>
      <c r="H16" s="334"/>
      <c r="I16" s="334"/>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4" t="s">
        <v>80</v>
      </c>
      <c r="AP16" s="325"/>
      <c r="AQ16" s="325"/>
      <c r="AR16" s="325"/>
      <c r="AS16" s="325"/>
      <c r="AT16" s="32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8"/>
      <c r="C17" s="238"/>
      <c r="D17" s="239"/>
      <c r="E17" s="335"/>
      <c r="F17" s="336"/>
      <c r="G17" s="336"/>
      <c r="H17" s="336"/>
      <c r="I17" s="33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7"/>
      <c r="AP17" s="328"/>
      <c r="AQ17" s="328"/>
      <c r="AR17" s="328"/>
      <c r="AS17" s="328"/>
      <c r="AT17" s="32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8"/>
      <c r="C18" s="238"/>
      <c r="D18" s="239"/>
      <c r="E18" s="337"/>
      <c r="F18" s="336"/>
      <c r="G18" s="336"/>
      <c r="H18" s="336"/>
      <c r="I18" s="336"/>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7"/>
      <c r="AP18" s="328"/>
      <c r="AQ18" s="328"/>
      <c r="AR18" s="328"/>
      <c r="AS18" s="328"/>
      <c r="AT18" s="32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8"/>
      <c r="C19" s="238"/>
      <c r="D19" s="239"/>
      <c r="E19" s="337"/>
      <c r="F19" s="336"/>
      <c r="G19" s="336"/>
      <c r="H19" s="336"/>
      <c r="I19" s="33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7"/>
      <c r="AP19" s="328"/>
      <c r="AQ19" s="328"/>
      <c r="AR19" s="328"/>
      <c r="AS19" s="328"/>
      <c r="AT19" s="32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8"/>
      <c r="C20" s="238"/>
      <c r="D20" s="239"/>
      <c r="E20" s="337"/>
      <c r="F20" s="336"/>
      <c r="G20" s="336"/>
      <c r="H20" s="336"/>
      <c r="I20" s="336"/>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7"/>
      <c r="AP20" s="328"/>
      <c r="AQ20" s="328"/>
      <c r="AR20" s="328"/>
      <c r="AS20" s="328"/>
      <c r="AT20" s="32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8"/>
      <c r="C21" s="238"/>
      <c r="D21" s="239"/>
      <c r="E21" s="337"/>
      <c r="F21" s="336"/>
      <c r="G21" s="336"/>
      <c r="H21" s="336"/>
      <c r="I21" s="336"/>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7"/>
      <c r="AP21" s="328"/>
      <c r="AQ21" s="328"/>
      <c r="AR21" s="328"/>
      <c r="AS21" s="328"/>
      <c r="AT21" s="32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8"/>
      <c r="C22" s="238"/>
      <c r="D22" s="239"/>
      <c r="E22" s="337"/>
      <c r="F22" s="336"/>
      <c r="G22" s="336"/>
      <c r="H22" s="336"/>
      <c r="I22" s="336"/>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7"/>
      <c r="AP22" s="328"/>
      <c r="AQ22" s="328"/>
      <c r="AR22" s="328"/>
      <c r="AS22" s="328"/>
      <c r="AT22" s="32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8"/>
      <c r="C23" s="238"/>
      <c r="D23" s="239"/>
      <c r="E23" s="337"/>
      <c r="F23" s="336"/>
      <c r="G23" s="336"/>
      <c r="H23" s="336"/>
      <c r="I23" s="336"/>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8"/>
      <c r="C24" s="238"/>
      <c r="D24" s="239"/>
      <c r="E24" s="337"/>
      <c r="F24" s="336"/>
      <c r="G24" s="336"/>
      <c r="H24" s="336"/>
      <c r="I24" s="33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8"/>
      <c r="C25" s="238"/>
      <c r="D25" s="239"/>
      <c r="E25" s="338"/>
      <c r="F25" s="339"/>
      <c r="G25" s="339"/>
      <c r="H25" s="339"/>
      <c r="I25" s="33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0"/>
      <c r="AP25" s="331"/>
      <c r="AQ25" s="331"/>
      <c r="AR25" s="331"/>
      <c r="AS25" s="331"/>
      <c r="AT25" s="33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8"/>
      <c r="C26" s="238"/>
      <c r="D26" s="239"/>
      <c r="E26" s="333" t="s">
        <v>117</v>
      </c>
      <c r="F26" s="334"/>
      <c r="G26" s="334"/>
      <c r="H26" s="334"/>
      <c r="I26" s="351"/>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8"/>
      <c r="C27" s="238"/>
      <c r="D27" s="239"/>
      <c r="E27" s="335"/>
      <c r="F27" s="336"/>
      <c r="G27" s="336"/>
      <c r="H27" s="336"/>
      <c r="I27" s="352"/>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8"/>
      <c r="C28" s="238"/>
      <c r="D28" s="239"/>
      <c r="E28" s="337"/>
      <c r="F28" s="336"/>
      <c r="G28" s="336"/>
      <c r="H28" s="336"/>
      <c r="I28" s="352"/>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8"/>
      <c r="C29" s="238"/>
      <c r="D29" s="239"/>
      <c r="E29" s="337"/>
      <c r="F29" s="336"/>
      <c r="G29" s="336"/>
      <c r="H29" s="336"/>
      <c r="I29" s="352"/>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8"/>
      <c r="C30" s="238"/>
      <c r="D30" s="239"/>
      <c r="E30" s="337"/>
      <c r="F30" s="336"/>
      <c r="G30" s="336"/>
      <c r="H30" s="336"/>
      <c r="I30" s="352"/>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8"/>
      <c r="C31" s="238"/>
      <c r="D31" s="239"/>
      <c r="E31" s="337"/>
      <c r="F31" s="336"/>
      <c r="G31" s="336"/>
      <c r="H31" s="336"/>
      <c r="I31" s="352"/>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8"/>
      <c r="C32" s="238"/>
      <c r="D32" s="239"/>
      <c r="E32" s="337"/>
      <c r="F32" s="336"/>
      <c r="G32" s="336"/>
      <c r="H32" s="336"/>
      <c r="I32" s="352"/>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8"/>
      <c r="C33" s="238"/>
      <c r="D33" s="239"/>
      <c r="E33" s="337"/>
      <c r="F33" s="336"/>
      <c r="G33" s="336"/>
      <c r="H33" s="336"/>
      <c r="I33" s="352"/>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8"/>
      <c r="C34" s="238"/>
      <c r="D34" s="239"/>
      <c r="E34" s="337"/>
      <c r="F34" s="336"/>
      <c r="G34" s="336"/>
      <c r="H34" s="336"/>
      <c r="I34" s="352"/>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8"/>
      <c r="C35" s="238"/>
      <c r="D35" s="239"/>
      <c r="E35" s="338"/>
      <c r="F35" s="339"/>
      <c r="G35" s="339"/>
      <c r="H35" s="339"/>
      <c r="I35" s="35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8"/>
      <c r="C36" s="238"/>
      <c r="D36" s="239"/>
      <c r="E36" s="333" t="s">
        <v>114</v>
      </c>
      <c r="F36" s="334"/>
      <c r="G36" s="334"/>
      <c r="H36" s="334"/>
      <c r="I36" s="334"/>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R1C2</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8"/>
      <c r="C37" s="238"/>
      <c r="D37" s="239"/>
      <c r="E37" s="335"/>
      <c r="F37" s="336"/>
      <c r="G37" s="336"/>
      <c r="H37" s="336"/>
      <c r="I37" s="33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8"/>
      <c r="C38" s="238"/>
      <c r="D38" s="239"/>
      <c r="E38" s="337"/>
      <c r="F38" s="336"/>
      <c r="G38" s="336"/>
      <c r="H38" s="336"/>
      <c r="I38" s="336"/>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R3C1</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8"/>
      <c r="C39" s="238"/>
      <c r="D39" s="239"/>
      <c r="E39" s="337"/>
      <c r="F39" s="336"/>
      <c r="G39" s="336"/>
      <c r="H39" s="336"/>
      <c r="I39" s="33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8"/>
      <c r="C40" s="238"/>
      <c r="D40" s="239"/>
      <c r="E40" s="337"/>
      <c r="F40" s="336"/>
      <c r="G40" s="336"/>
      <c r="H40" s="336"/>
      <c r="I40" s="336"/>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R5C1</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8"/>
      <c r="C41" s="238"/>
      <c r="D41" s="239"/>
      <c r="E41" s="337"/>
      <c r="F41" s="336"/>
      <c r="G41" s="336"/>
      <c r="H41" s="336"/>
      <c r="I41" s="336"/>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 ca="1">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R6C2</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8"/>
      <c r="C42" s="238"/>
      <c r="D42" s="239"/>
      <c r="E42" s="337"/>
      <c r="F42" s="336"/>
      <c r="G42" s="336"/>
      <c r="H42" s="336"/>
      <c r="I42" s="336"/>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8"/>
      <c r="C43" s="238"/>
      <c r="D43" s="239"/>
      <c r="E43" s="337"/>
      <c r="F43" s="336"/>
      <c r="G43" s="336"/>
      <c r="H43" s="336"/>
      <c r="I43" s="336"/>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R8C1</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8"/>
      <c r="C44" s="238"/>
      <c r="D44" s="239"/>
      <c r="E44" s="337"/>
      <c r="F44" s="336"/>
      <c r="G44" s="336"/>
      <c r="H44" s="336"/>
      <c r="I44" s="33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8"/>
      <c r="C45" s="238"/>
      <c r="D45" s="239"/>
      <c r="E45" s="338"/>
      <c r="F45" s="339"/>
      <c r="G45" s="339"/>
      <c r="H45" s="339"/>
      <c r="I45" s="33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38"/>
      <c r="C46" s="238"/>
      <c r="D46" s="239"/>
      <c r="E46" s="333" t="s">
        <v>113</v>
      </c>
      <c r="F46" s="334"/>
      <c r="G46" s="334"/>
      <c r="H46" s="334"/>
      <c r="I46" s="351"/>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R1C3</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8"/>
      <c r="C47" s="238"/>
      <c r="D47" s="239"/>
      <c r="E47" s="335"/>
      <c r="F47" s="336"/>
      <c r="G47" s="336"/>
      <c r="H47" s="336"/>
      <c r="I47" s="352"/>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8"/>
      <c r="C48" s="238"/>
      <c r="D48" s="239"/>
      <c r="E48" s="335"/>
      <c r="F48" s="336"/>
      <c r="G48" s="336"/>
      <c r="H48" s="336"/>
      <c r="I48" s="352"/>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R3C2</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8"/>
      <c r="C49" s="238"/>
      <c r="D49" s="239"/>
      <c r="E49" s="337"/>
      <c r="F49" s="336"/>
      <c r="G49" s="336"/>
      <c r="H49" s="336"/>
      <c r="I49" s="352"/>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8"/>
      <c r="C50" s="238"/>
      <c r="D50" s="239"/>
      <c r="E50" s="337"/>
      <c r="F50" s="336"/>
      <c r="G50" s="336"/>
      <c r="H50" s="336"/>
      <c r="I50" s="352"/>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8"/>
      <c r="C51" s="238"/>
      <c r="D51" s="239"/>
      <c r="E51" s="337"/>
      <c r="F51" s="336"/>
      <c r="G51" s="336"/>
      <c r="H51" s="336"/>
      <c r="I51" s="352"/>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8"/>
      <c r="C52" s="238"/>
      <c r="D52" s="239"/>
      <c r="E52" s="337"/>
      <c r="F52" s="336"/>
      <c r="G52" s="336"/>
      <c r="H52" s="336"/>
      <c r="I52" s="352"/>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8"/>
      <c r="C53" s="238"/>
      <c r="D53" s="239"/>
      <c r="E53" s="337"/>
      <c r="F53" s="336"/>
      <c r="G53" s="336"/>
      <c r="H53" s="336"/>
      <c r="I53" s="352"/>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8"/>
      <c r="C54" s="238"/>
      <c r="D54" s="239"/>
      <c r="E54" s="337"/>
      <c r="F54" s="336"/>
      <c r="G54" s="336"/>
      <c r="H54" s="336"/>
      <c r="I54" s="352"/>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8"/>
      <c r="C55" s="238"/>
      <c r="D55" s="239"/>
      <c r="E55" s="338"/>
      <c r="F55" s="339"/>
      <c r="G55" s="339"/>
      <c r="H55" s="339"/>
      <c r="I55" s="35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3" t="s">
        <v>112</v>
      </c>
      <c r="K56" s="334"/>
      <c r="L56" s="334"/>
      <c r="M56" s="334"/>
      <c r="N56" s="334"/>
      <c r="O56" s="351"/>
      <c r="P56" s="333" t="s">
        <v>111</v>
      </c>
      <c r="Q56" s="334"/>
      <c r="R56" s="334"/>
      <c r="S56" s="334"/>
      <c r="T56" s="334"/>
      <c r="U56" s="351"/>
      <c r="V56" s="333" t="s">
        <v>110</v>
      </c>
      <c r="W56" s="334"/>
      <c r="X56" s="334"/>
      <c r="Y56" s="334"/>
      <c r="Z56" s="334"/>
      <c r="AA56" s="351"/>
      <c r="AB56" s="333" t="s">
        <v>109</v>
      </c>
      <c r="AC56" s="372"/>
      <c r="AD56" s="334"/>
      <c r="AE56" s="334"/>
      <c r="AF56" s="334"/>
      <c r="AG56" s="351"/>
      <c r="AH56" s="333" t="s">
        <v>108</v>
      </c>
      <c r="AI56" s="334"/>
      <c r="AJ56" s="334"/>
      <c r="AK56" s="334"/>
      <c r="AL56" s="334"/>
      <c r="AM56" s="35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6"/>
      <c r="L57" s="336"/>
      <c r="M57" s="336"/>
      <c r="N57" s="336"/>
      <c r="O57" s="352"/>
      <c r="P57" s="337"/>
      <c r="Q57" s="336"/>
      <c r="R57" s="336"/>
      <c r="S57" s="336"/>
      <c r="T57" s="336"/>
      <c r="U57" s="352"/>
      <c r="V57" s="337"/>
      <c r="W57" s="336"/>
      <c r="X57" s="336"/>
      <c r="Y57" s="336"/>
      <c r="Z57" s="336"/>
      <c r="AA57" s="352"/>
      <c r="AB57" s="337"/>
      <c r="AC57" s="336"/>
      <c r="AD57" s="336"/>
      <c r="AE57" s="336"/>
      <c r="AF57" s="336"/>
      <c r="AG57" s="352"/>
      <c r="AH57" s="337"/>
      <c r="AI57" s="336"/>
      <c r="AJ57" s="336"/>
      <c r="AK57" s="336"/>
      <c r="AL57" s="336"/>
      <c r="AM57" s="35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6"/>
      <c r="L58" s="336"/>
      <c r="M58" s="336"/>
      <c r="N58" s="336"/>
      <c r="O58" s="352"/>
      <c r="P58" s="337"/>
      <c r="Q58" s="336"/>
      <c r="R58" s="336"/>
      <c r="S58" s="336"/>
      <c r="T58" s="336"/>
      <c r="U58" s="352"/>
      <c r="V58" s="337"/>
      <c r="W58" s="336"/>
      <c r="X58" s="336"/>
      <c r="Y58" s="336"/>
      <c r="Z58" s="336"/>
      <c r="AA58" s="352"/>
      <c r="AB58" s="337"/>
      <c r="AC58" s="336"/>
      <c r="AD58" s="336"/>
      <c r="AE58" s="336"/>
      <c r="AF58" s="336"/>
      <c r="AG58" s="352"/>
      <c r="AH58" s="337"/>
      <c r="AI58" s="336"/>
      <c r="AJ58" s="336"/>
      <c r="AK58" s="336"/>
      <c r="AL58" s="336"/>
      <c r="AM58" s="35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6"/>
      <c r="L59" s="336"/>
      <c r="M59" s="336"/>
      <c r="N59" s="336"/>
      <c r="O59" s="352"/>
      <c r="P59" s="337"/>
      <c r="Q59" s="336"/>
      <c r="R59" s="336"/>
      <c r="S59" s="336"/>
      <c r="T59" s="336"/>
      <c r="U59" s="352"/>
      <c r="V59" s="337"/>
      <c r="W59" s="336"/>
      <c r="X59" s="336"/>
      <c r="Y59" s="336"/>
      <c r="Z59" s="336"/>
      <c r="AA59" s="352"/>
      <c r="AB59" s="337"/>
      <c r="AC59" s="336"/>
      <c r="AD59" s="336"/>
      <c r="AE59" s="336"/>
      <c r="AF59" s="336"/>
      <c r="AG59" s="352"/>
      <c r="AH59" s="337"/>
      <c r="AI59" s="336"/>
      <c r="AJ59" s="336"/>
      <c r="AK59" s="336"/>
      <c r="AL59" s="336"/>
      <c r="AM59" s="35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6"/>
      <c r="L60" s="336"/>
      <c r="M60" s="336"/>
      <c r="N60" s="336"/>
      <c r="O60" s="352"/>
      <c r="P60" s="337"/>
      <c r="Q60" s="336"/>
      <c r="R60" s="336"/>
      <c r="S60" s="336"/>
      <c r="T60" s="336"/>
      <c r="U60" s="352"/>
      <c r="V60" s="337"/>
      <c r="W60" s="336"/>
      <c r="X60" s="336"/>
      <c r="Y60" s="336"/>
      <c r="Z60" s="336"/>
      <c r="AA60" s="352"/>
      <c r="AB60" s="337"/>
      <c r="AC60" s="336"/>
      <c r="AD60" s="336"/>
      <c r="AE60" s="336"/>
      <c r="AF60" s="336"/>
      <c r="AG60" s="352"/>
      <c r="AH60" s="337"/>
      <c r="AI60" s="336"/>
      <c r="AJ60" s="336"/>
      <c r="AK60" s="336"/>
      <c r="AL60" s="336"/>
      <c r="AM60" s="35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8"/>
      <c r="K61" s="339"/>
      <c r="L61" s="339"/>
      <c r="M61" s="339"/>
      <c r="N61" s="339"/>
      <c r="O61" s="353"/>
      <c r="P61" s="338"/>
      <c r="Q61" s="339"/>
      <c r="R61" s="339"/>
      <c r="S61" s="339"/>
      <c r="T61" s="339"/>
      <c r="U61" s="353"/>
      <c r="V61" s="338"/>
      <c r="W61" s="339"/>
      <c r="X61" s="339"/>
      <c r="Y61" s="339"/>
      <c r="Z61" s="339"/>
      <c r="AA61" s="353"/>
      <c r="AB61" s="338"/>
      <c r="AC61" s="339"/>
      <c r="AD61" s="339"/>
      <c r="AE61" s="339"/>
      <c r="AF61" s="339"/>
      <c r="AG61" s="353"/>
      <c r="AH61" s="338"/>
      <c r="AI61" s="339"/>
      <c r="AJ61" s="339"/>
      <c r="AK61" s="339"/>
      <c r="AL61" s="339"/>
      <c r="AM61" s="35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2022-10-06T19:11:14Z</cp:lastPrinted>
  <dcterms:created xsi:type="dcterms:W3CDTF">2020-03-24T23:12:47Z</dcterms:created>
  <dcterms:modified xsi:type="dcterms:W3CDTF">2023-06-06T15:17:00Z</dcterms:modified>
</cp:coreProperties>
</file>