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bookViews>
    <workbookView xWindow="0" yWindow="0" windowWidth="10245" windowHeight="10920" tabRatio="882" activeTab="1"/>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52511"/>
  <pivotCaches>
    <pivotCache cacheId="0" r:id="rId12"/>
  </pivotCaches>
</workbook>
</file>

<file path=xl/calcChain.xml><?xml version="1.0" encoding="utf-8"?>
<calcChain xmlns="http://schemas.openxmlformats.org/spreadsheetml/2006/main">
  <c r="T10" i="1" l="1"/>
  <c r="Q10" i="1"/>
  <c r="H10" i="1"/>
  <c r="I10" i="1" s="1"/>
  <c r="K62" i="1"/>
  <c r="K59" i="1"/>
  <c r="K57" i="1"/>
  <c r="K69" i="1"/>
  <c r="K49" i="1"/>
  <c r="K60" i="1"/>
  <c r="K54" i="1"/>
  <c r="K48" i="1"/>
  <c r="K63" i="1"/>
  <c r="K47" i="1"/>
  <c r="K56" i="1"/>
  <c r="K65" i="1"/>
  <c r="K50" i="1"/>
  <c r="K66" i="1"/>
  <c r="K55" i="1"/>
  <c r="K67" i="1"/>
  <c r="K68" i="1"/>
  <c r="K53" i="1"/>
  <c r="K51" i="1"/>
  <c r="K61" i="1"/>
  <c r="K17" i="1"/>
  <c r="K27" i="1"/>
  <c r="K21" i="1"/>
  <c r="K32" i="1"/>
  <c r="K20" i="1"/>
  <c r="K30" i="1"/>
  <c r="K19" i="1"/>
  <c r="K29" i="1"/>
  <c r="K31" i="1"/>
  <c r="K38" i="1"/>
  <c r="K24" i="1"/>
  <c r="K37" i="1"/>
  <c r="K33" i="1"/>
  <c r="K43" i="1"/>
  <c r="K44" i="1"/>
  <c r="K35" i="1"/>
  <c r="K36" i="1"/>
  <c r="K41" i="1"/>
  <c r="K18" i="1"/>
  <c r="K42" i="1"/>
  <c r="K23" i="1"/>
  <c r="K25" i="1"/>
  <c r="K45" i="1"/>
  <c r="K39" i="1"/>
  <c r="K26" i="1"/>
  <c r="F221" i="13" l="1"/>
  <c r="F211" i="13"/>
  <c r="F212" i="13"/>
  <c r="F213" i="13"/>
  <c r="F214" i="13"/>
  <c r="F215" i="13"/>
  <c r="F216" i="13"/>
  <c r="F217" i="13"/>
  <c r="F218" i="13"/>
  <c r="F219" i="13"/>
  <c r="F220" i="13"/>
  <c r="F210" i="13"/>
  <c r="B221" i="13" a="1"/>
  <c r="K15" i="1"/>
  <c r="K13" i="1"/>
  <c r="K11" i="1"/>
  <c r="K14" i="1"/>
  <c r="K12"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K40" i="1" l="1"/>
  <c r="L40" i="1" s="1"/>
  <c r="K28" i="1"/>
  <c r="L28" i="1" s="1"/>
  <c r="K22" i="1"/>
  <c r="L22" i="1" s="1"/>
  <c r="K52" i="1"/>
  <c r="L52" i="1" s="1"/>
  <c r="K46" i="1"/>
  <c r="L46" i="1" s="1"/>
  <c r="K34" i="1"/>
  <c r="L34" i="1" s="1"/>
  <c r="K64" i="1"/>
  <c r="L64" i="1" s="1"/>
  <c r="K58" i="1"/>
  <c r="L58" i="1" s="1"/>
  <c r="K10" i="1"/>
  <c r="L10" i="1" s="1"/>
  <c r="K16" i="1"/>
  <c r="L16" i="1" s="1"/>
  <c r="Z42" i="18" l="1"/>
  <c r="N42" i="18"/>
  <c r="AF26" i="18"/>
  <c r="N26" i="18"/>
  <c r="AF18" i="18"/>
  <c r="T10" i="18"/>
  <c r="N34" i="18"/>
  <c r="T34" i="18"/>
  <c r="T18" i="18"/>
  <c r="Z18" i="18"/>
  <c r="Z10" i="18"/>
  <c r="AL18" i="18"/>
  <c r="Z26" i="18"/>
  <c r="N58" i="1"/>
  <c r="M58" i="1"/>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2" i="1"/>
  <c r="AJ42" i="18"/>
  <c r="AJ18" i="18"/>
  <c r="AD26" i="18"/>
  <c r="L10" i="18"/>
  <c r="AD10" i="18"/>
  <c r="X18" i="18"/>
  <c r="AD42" i="18"/>
  <c r="L18" i="18"/>
  <c r="R10" i="18"/>
  <c r="N52" i="1"/>
  <c r="M64" i="1"/>
  <c r="AB64" i="1" s="1"/>
  <c r="AB36" i="18"/>
  <c r="AH12" i="18"/>
  <c r="P28" i="18"/>
  <c r="AH20" i="18"/>
  <c r="P36" i="18"/>
  <c r="V12" i="18"/>
  <c r="AH28" i="18"/>
  <c r="AB20" i="18"/>
  <c r="J12" i="18"/>
  <c r="J20" i="18"/>
  <c r="N64" i="1"/>
  <c r="P44" i="18"/>
  <c r="AB44" i="18"/>
  <c r="V28" i="18"/>
  <c r="V36" i="18"/>
  <c r="J28" i="18"/>
  <c r="AH36" i="18"/>
  <c r="J44" i="18"/>
  <c r="P12" i="18"/>
  <c r="AB12" i="18"/>
  <c r="V44" i="18"/>
  <c r="AH44" i="18"/>
  <c r="V20" i="18"/>
  <c r="P20" i="18"/>
  <c r="J36" i="18"/>
  <c r="AB28" i="18"/>
  <c r="T38" i="18"/>
  <c r="AF22" i="18"/>
  <c r="N38" i="18"/>
  <c r="AF30" i="18"/>
  <c r="AL6" i="18"/>
  <c r="Z6" i="18"/>
  <c r="N22" i="1"/>
  <c r="T14" i="18"/>
  <c r="T22" i="18"/>
  <c r="N6" i="18"/>
  <c r="AL30" i="18"/>
  <c r="Z22" i="18"/>
  <c r="Z14" i="18"/>
  <c r="M22" i="1"/>
  <c r="Z30" i="18"/>
  <c r="AL38" i="18"/>
  <c r="AL14" i="18"/>
  <c r="AF6" i="18"/>
  <c r="AL22" i="18"/>
  <c r="T30" i="18"/>
  <c r="Z38" i="18"/>
  <c r="AF14" i="18"/>
  <c r="N30" i="18"/>
  <c r="N14" i="18"/>
  <c r="N22" i="18"/>
  <c r="AF38" i="18"/>
  <c r="T6" i="18"/>
  <c r="M34" i="1"/>
  <c r="X32" i="18"/>
  <c r="AD32" i="18"/>
  <c r="AJ8" i="18"/>
  <c r="L16" i="18"/>
  <c r="R32" i="18"/>
  <c r="AJ32" i="18"/>
  <c r="N34" i="1"/>
  <c r="R40" i="18"/>
  <c r="AJ40" i="18"/>
  <c r="AD24" i="18"/>
  <c r="AJ24" i="18"/>
  <c r="R24" i="18"/>
  <c r="AJ16" i="18"/>
  <c r="AD8" i="18"/>
  <c r="L32" i="18"/>
  <c r="L40" i="18"/>
  <c r="R16" i="18"/>
  <c r="L24" i="18"/>
  <c r="AD16" i="18"/>
  <c r="L8" i="18"/>
  <c r="R8" i="18"/>
  <c r="X40" i="18"/>
  <c r="X8" i="18"/>
  <c r="X16" i="18"/>
  <c r="AD40" i="18"/>
  <c r="X24" i="18"/>
  <c r="M28" i="1"/>
  <c r="J40" i="18"/>
  <c r="J16" i="18"/>
  <c r="P16" i="18"/>
  <c r="V8" i="18"/>
  <c r="J8" i="18"/>
  <c r="J24" i="18"/>
  <c r="AH16" i="18"/>
  <c r="AB16" i="18"/>
  <c r="AB40" i="18"/>
  <c r="P32" i="18"/>
  <c r="P40" i="18"/>
  <c r="AH24" i="18"/>
  <c r="AB32" i="18"/>
  <c r="J32" i="18"/>
  <c r="V16" i="18"/>
  <c r="V40" i="18"/>
  <c r="AH32" i="18"/>
  <c r="V24" i="18"/>
  <c r="V32" i="18"/>
  <c r="AH8" i="18"/>
  <c r="AB8" i="18"/>
  <c r="P8" i="18"/>
  <c r="N28" i="1"/>
  <c r="AH40" i="18"/>
  <c r="AB24" i="18"/>
  <c r="P24" i="18"/>
  <c r="AD38" i="18"/>
  <c r="L30" i="18"/>
  <c r="AD30" i="18"/>
  <c r="AJ6" i="18"/>
  <c r="L14" i="18"/>
  <c r="L22" i="18"/>
  <c r="X6" i="18"/>
  <c r="L6" i="18"/>
  <c r="N16" i="1"/>
  <c r="R38" i="18"/>
  <c r="AJ38" i="18"/>
  <c r="L38" i="18"/>
  <c r="AD6" i="18"/>
  <c r="R6" i="18"/>
  <c r="AJ30" i="18"/>
  <c r="R30" i="18"/>
  <c r="AD22" i="18"/>
  <c r="AJ14" i="18"/>
  <c r="AJ22" i="18"/>
  <c r="AD14" i="18"/>
  <c r="X38" i="18"/>
  <c r="X14" i="18"/>
  <c r="R22" i="18"/>
  <c r="X22" i="18"/>
  <c r="M16"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0" i="1"/>
  <c r="AB10" i="1" s="1"/>
  <c r="N10" i="1"/>
  <c r="M46" i="1"/>
  <c r="AH34" i="18"/>
  <c r="AH42" i="18"/>
  <c r="AH18" i="18"/>
  <c r="AB10" i="18"/>
  <c r="J26" i="18"/>
  <c r="V18" i="18"/>
  <c r="V42" i="18"/>
  <c r="J42" i="18"/>
  <c r="P10" i="18"/>
  <c r="AB26" i="18"/>
  <c r="J34" i="18"/>
  <c r="J18" i="18"/>
  <c r="AH10" i="18"/>
  <c r="AB34" i="18"/>
  <c r="P26" i="18"/>
  <c r="P34" i="18"/>
  <c r="V34" i="18"/>
  <c r="AH26" i="18"/>
  <c r="J10" i="18"/>
  <c r="N46" i="1"/>
  <c r="P18" i="18"/>
  <c r="AB42" i="18"/>
  <c r="V10" i="18"/>
  <c r="AB18" i="18"/>
  <c r="P42" i="18"/>
  <c r="V26" i="18"/>
  <c r="Z32" i="18"/>
  <c r="N24" i="18"/>
  <c r="AL32" i="18"/>
  <c r="AL40" i="18"/>
  <c r="N8" i="18"/>
  <c r="AF24" i="18"/>
  <c r="Z40" i="18"/>
  <c r="Z16" i="18"/>
  <c r="N32" i="18"/>
  <c r="T32" i="18"/>
  <c r="N40" i="18"/>
  <c r="T8" i="18"/>
  <c r="M40" i="1"/>
  <c r="AF32" i="18"/>
  <c r="AL8" i="18"/>
  <c r="T24" i="18"/>
  <c r="N16" i="18"/>
  <c r="T16" i="18"/>
  <c r="Z24" i="18"/>
  <c r="AF16" i="18"/>
  <c r="N40" i="1"/>
  <c r="T40" i="18"/>
  <c r="AF8" i="18"/>
  <c r="AL24" i="18"/>
  <c r="Z8" i="18"/>
  <c r="AF40" i="18"/>
  <c r="AL16" i="18"/>
  <c r="AB29" i="1" l="1"/>
  <c r="AB28" i="1"/>
  <c r="AA28" i="1" s="1"/>
  <c r="AA64" i="1"/>
  <c r="AB66" i="1"/>
  <c r="AB59" i="1"/>
  <c r="AB58" i="1"/>
  <c r="AB41" i="1"/>
  <c r="AB40" i="1"/>
  <c r="AA40" i="1" s="1"/>
  <c r="AB53" i="1"/>
  <c r="AB52" i="1"/>
  <c r="AA52" i="1" s="1"/>
  <c r="AA10" i="1"/>
  <c r="AB11" i="1"/>
  <c r="AB17" i="1"/>
  <c r="AB16" i="1"/>
  <c r="AA16"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B36" i="19"/>
  <c r="AH16" i="19"/>
  <c r="P16" i="19"/>
  <c r="V46" i="19"/>
  <c r="J6" i="19"/>
  <c r="AB16" i="19"/>
  <c r="V26" i="19"/>
  <c r="V16" i="19"/>
  <c r="AB6" i="19"/>
  <c r="J26" i="19"/>
  <c r="P6" i="19"/>
  <c r="AH46" i="19"/>
  <c r="P46" i="19"/>
  <c r="AH26" i="19"/>
  <c r="AH36" i="19"/>
  <c r="V36" i="19"/>
  <c r="P36" i="19"/>
  <c r="V6" i="19"/>
  <c r="AH6" i="19"/>
  <c r="AB46" i="19"/>
  <c r="AB26" i="19"/>
  <c r="J16" i="19"/>
  <c r="P26" i="19"/>
  <c r="AC10" i="1"/>
  <c r="J36" i="19"/>
  <c r="J46" i="19"/>
  <c r="V25" i="19"/>
  <c r="AH25" i="19"/>
  <c r="P45" i="19"/>
  <c r="AH45" i="19"/>
  <c r="AH15" i="19"/>
  <c r="AB55" i="19"/>
  <c r="J45" i="19"/>
  <c r="AH35" i="19"/>
  <c r="V45" i="19"/>
  <c r="AH55" i="19"/>
  <c r="V15" i="19"/>
  <c r="J25" i="19"/>
  <c r="V35" i="19"/>
  <c r="AC64" i="1"/>
  <c r="P25" i="19"/>
  <c r="V55" i="19"/>
  <c r="J15" i="19"/>
  <c r="AB15" i="19"/>
  <c r="J35" i="19"/>
  <c r="AB35" i="19"/>
  <c r="J55" i="19"/>
  <c r="AB25" i="19"/>
  <c r="P35" i="19"/>
  <c r="P55" i="19"/>
  <c r="AB45" i="19"/>
  <c r="P15" i="19"/>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<sst xmlns="http://schemas.openxmlformats.org/spreadsheetml/2006/main" count="465" uniqueCount="291">
  <si>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</si>
  <si>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</si>
  <si>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</si>
  <si>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</si>
  <si>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</si>
  <si>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</si>
  <si>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</si>
  <si>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</si>
  <si>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</si>
  <si>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</si>
  <si>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</si>
  <si>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</si>
  <si>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</si>
  <si>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</si>
  <si>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</si>
  <si>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</si>
  <si>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</si>
  <si>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</si>
  <si>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</si>
  <si>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</si>
  <si>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</si>
  <si>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</si>
  <si>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</si>
  <si>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</si>
  <si>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</si>
  <si>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</si>
  <si>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</si>
  <si>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</si>
  <si>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</si>
  <si>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</si>
  <si>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</si>
  <si>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</si>
  <si>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</si>
  <si>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</si>
  <si>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</si>
  <si>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</si>
  <si>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</si>
  <si>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</si>
  <si>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</si>
  <si>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</si>
  <si>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</si>
  <si>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</si>
  <si>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</si>
  <si>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</si>
  <si>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</si>
  <si>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</si>
  <si>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</si>
  <si>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</si>
  <si>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</si>
  <si>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</si>
  <si>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</si>
  <si>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</si>
  <si>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</si>
  <si>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</si>
  <si>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</si>
  <si>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</si>
  <si>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</si>
  <si>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</si>
  <si>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</si>
  <si>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</si>
  <si>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</si>
  <si>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</si>
  <si>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</si>
  <si>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</si>
  <si>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</si>
  <si>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</si>
  <si>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</si>
  <si>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</si>
  <si>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</si>
  <si>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</si>
  <si>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</si>
  <si>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</si>
  <si>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</si>
  <si>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</si>
  <si>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</si>
  <si>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</si>
  <si>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</si>
  <si>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</si>
  <si>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</si>
  <si>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</si>
  <si>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</si>
  <si>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</si>
  <si>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</si>
  <si>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</si>
  <si>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</si>
  <si>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</si>
  <si>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</si>
  <si>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</si>
  <si>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</si>
  <si>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</si>
  <si>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</si>
  <si>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</si>
  <si>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</si>
  <si>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</si>
  <si>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</si>
  <si>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</si>
  <si>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</si>
  <si>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</si>
  <si>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</si>
  <si>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</si>
  <si>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</si>
  <si>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</si>
  <si>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</si>
  <si>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</si>
  <si>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</si>
  <si>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</si>
  <si>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</si>
  <si>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</si>
  <si>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</si>
  <si>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</si>
  <si>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</si>
  <si>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</si>
  <si>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</si>
  <si>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</si>
  <si>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</si>
  <si>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</si>
  <si>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</si>
  <si>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</si>
  <si>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</si>
  <si>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</si>
  <si>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</si>
  <si>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</si>
  <si>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</si>
  <si>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</si>
  <si>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</si>
  <si>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</si>
  <si>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</si>
  <si>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</si>
  <si>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</si>
  <si>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</si>
  <si>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</si>
  <si>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</si>
  <si>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</si>
  <si>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</si>
  <si>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</si>
  <si>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</si>
  <si>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</si>
  <si>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</si>
  <si>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</si>
  <si>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</si>
  <si>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</si>
  <si>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</si>
  <si>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</si>
  <si>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</si>
  <si>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</si>
  <si>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</si>
  <si>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</si>
  <si>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</si>
  <si>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</si>
  <si>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</si>
  <si>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</si>
  <si>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</si>
  <si>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</si>
  <si>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</si>
  <si>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</si>
  <si>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</si>
  <si>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</si>
  <si>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</si>
  <si>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</si>
  <si>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</si>
  <si>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</si>
  <si>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</si>
  <si>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</si>
  <si>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</si>
  <si>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</si>
  <si>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</si>
  <si>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</si>
  <si>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</si>
  <si>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</si>
  <si>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</si>
  <si>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</si>
  <si>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</si>
  <si>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</si>
  <si>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</si>
  <si>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</si>
  <si>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</si>
  <si>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</si>
  <si>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</si>
  <si>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</si>
  <si>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</si>
  <si>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</si>
  <si>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</si>
  <si>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</si>
  <si>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</si>
  <si>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</si>
  <si>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</si>
  <si>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</si>
  <si>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</si>
  <si>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</si>
  <si>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</si>
  <si>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</si>
  <si>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</si>
  <si>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</si>
  <si>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</si>
  <si>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</si>
  <si>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</si>
  <si>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</si>
  <si>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</si>
  <si>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</si>
  <si>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</si>
  <si>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</si>
  <si>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</si>
  <si>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</si>
  <si>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</si>
  <si>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</si>
  <si>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</si>
  <si>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</si>
  <si>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</si>
  <si>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</si>
  <si>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</si>
  <si>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</si>
  <si>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</si>
  <si>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</si>
  <si>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</si>
  <si>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</si>
  <si>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</si>
  <si>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</si>
  <si>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</si>
  <si>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</si>
  <si>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</si>
  <si>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</si>
  <si>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</si>
  <si>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</si>
  <si>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</si>
  <si>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</si>
  <si>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</si>
  <si>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</si>
  <si>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</si>
  <si>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</si>
  <si>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</si>
  <si>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</si>
  <si>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</si>
  <si>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</si>
  <si>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</si>
  <si>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</si>
  <si>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</si>
  <si>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</si>
  <si>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</si>
  <si>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</si>
  <si>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</si>
  <si>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</si>
  <si>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</si>
  <si>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</si>
  <si>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</si>
  <si>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</si>
  <si>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</si>
  <si>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</si>
  <si>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</si>
  <si>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</si>
  <si>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</si>
  <si>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</si>
  <si>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</si>
  <si>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</si>
  <si>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</si>
  <si>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</si>
  <si>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</si>
  <si>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Equipos sin calibración</t>
  </si>
  <si>
    <t>Afianzar la gestión de los recursos físicos, que contemplen, apoyo logístico para la eficiencia, oportunidad y disponibilidad de los insumos, equipos e infraestructura, incluyendo el soporte técnico y administrativo de la tecnología biomédica para el adecuado funcionamiento de los procesos de la Institución, procurando una operación segura encaminada hacia la minimización de los impactos ambientales internos y externos, generados por las actividades propias del hospital y de la misma forma garantizando que desde activos fijos y almacén, se genere control, manejo, administración y disponibilidad de insumos que requiera el personal.</t>
  </si>
  <si>
    <t>Abarca desde la percepción de las necesidades del HUDN, considerando el desarrollo de las actividades de los sub procesos: activos fijos, almacén, apoyo logístico, gestión ambiental y mantenimiento, hasta  garantizar la eficiencia del funcionamiento de la organización.</t>
  </si>
  <si>
    <t>Mantener controles que se vienen trabajando</t>
  </si>
  <si>
    <t>Asesora de Ambiente Fisico</t>
  </si>
  <si>
    <t>Uso de equipos sin cumplimiento de decreto 4725 de 2005</t>
  </si>
  <si>
    <t>1. Contratación con incumplimiento de ley
2. Equipos de terceros
3. Comodatos</t>
  </si>
  <si>
    <t>Inexistencia de insumos para despacho en áreas administrativas y asistenciales</t>
  </si>
  <si>
    <t>Ingreso de bienes sin notificación a almacén</t>
  </si>
  <si>
    <t xml:space="preserve"> </t>
  </si>
  <si>
    <t>Ingreso de bienes posterior a la terminación de contrato</t>
  </si>
  <si>
    <t>Posibilidad de pérdida Reputacional por ingreso de bienes posterior a la terminación de contrato, debido a sobre carga laboral y asignación de muchas supervisiones, deficiente supervisión al no detectarlo y solicitar prorroga de contrato, asignación de supervisión pero no entrega de documento por parte de contratación</t>
  </si>
  <si>
    <t>Incumplimiento de normatividad ambiental aplicable a la organización</t>
  </si>
  <si>
    <t>1. Desconocimiento de la normatividad ambiental aplicable a la organización 
2. Falta de recursos para cumplimiento a las exigencias ambientales.</t>
  </si>
  <si>
    <t>Posibilidad de pérdida Económica y Reputacional por uso de equipos sin cumplimiento de decreto 4725 de 2005, debido a contratación con incumplimiento de ley, equipos de terceros, comodatos.</t>
  </si>
  <si>
    <t>1. Incremento de la demanda
2. Ausencia de planeación en áreas
3. Legalización inoportuna de contratos para el ingreso de mercancía a almacén y el trámite de despachos a las áreas</t>
  </si>
  <si>
    <t>Posibilidad de pérdida Reputacional por inexistencia de insumos para despacho en áreas administrativas y asistenciales, debido a incremento de la demanda, ausencia de planeación en áreas y legalización inoportuna de contratos para el ingreso de mercancía a almacén y el trámite de despachos a las áreas</t>
  </si>
  <si>
    <t>Líder de Almacén, establece un stock mínimo de mercancía para cumplir con las necesidades de los servicios de manera oportuna para la entrega de los pedidos según el cronograma (como evidencia se encuentra el comparativo de pedidos vs entregas) de manera mensual. De no contar con el stock necesario, los servicios podrían tener des aprovisionamiento y quejas.</t>
  </si>
  <si>
    <t>1. Salto del debido proceso
2. Debilidades en la interrelación de procesos
3. Desconocimiento de procedimientos internos
4. Fallas en el control y supervisión de los contratos y órdenes de compra</t>
  </si>
  <si>
    <t>Posibilidad de pérdida Reputacional por ingreso de bienes sin notificación a almacén, debido a salto del debido proceso, debilidades en la interrelación de procesos, desconocimiento de procedimientos internos, fallas en el control y supervisión de los contratos y órdenes de compra</t>
  </si>
  <si>
    <t>Ausencia de espacio físico adecuado para el almacenamiento de mercancía</t>
  </si>
  <si>
    <t>1. Improvisación de espacios extras para almacenamiento (Bunquer). 
2. Ausencia de espacio adecuado para recepción y adecuación e instalación de equipos.</t>
  </si>
  <si>
    <t>Posibilidad de pérdida Reputacional por ausencia de espacio físico adecuado para el almacenamiento de mercancía, debido a improvisación de espacios extras para almacenito (Bunquer) y ausencia de espacio adecuado para recepción y adecuación e instalación de equipos.</t>
  </si>
  <si>
    <t xml:space="preserve">1. Sobre carga laboral y asignación de muchas supervisiones 
2. Deficiente supervisión al no detectarlo y solicitar prorroga de contrato 
3. Asignación de supervisión, pero no entrega de documento por parte de unidad de contratación </t>
  </si>
  <si>
    <t>Posibilidad de afectación económica y reputacional por incumplimiento de normatividad ambiental aplicable a la organización, debido a desconocimiento de la normatividad ambiental aplicable a la organización, falta de recursos para cumplimiento a las exigencias ambientales.</t>
  </si>
  <si>
    <t>AMBIENTE FÍSICO</t>
  </si>
  <si>
    <t>1. Revisión y socialización de normatividad aplicable legal vigente a la organización
2. Actualización de matriz de requisitos legales 
3. Elaboración de contratos.</t>
  </si>
  <si>
    <t xml:space="preserve">Técnico operativo de mantenimiento, supervisa el cronograma mensualmente, los estudios previos oportunos y la contratación oportuna que se realizan anualmente, con el fin de asegurar el correcto funcionamiento de los equipos. </t>
  </si>
  <si>
    <t>Responsable de activos fijos y mantenimiento, son encargados de ingresar los equipos y mantenimiento verifica la lista de chequeo desde la política de introducción a la tecnología cada vez que llega un nuevo equipo, con el fin de asegurar el correcto funcionamiento de los mismos y dar cumplimiento al decreto 4725 de 2005.</t>
  </si>
  <si>
    <t>Equipo de trabajo de suministros y almacén, improvisan espacios físicos para ser utilizados como bodegas en las áreas de: docencia universitaria,  almacén y bunker en oncología, con el fin de almacenar la mercancía que llega y custodiar la misma, esto se puede evidenciar en el Inventario de DGH.</t>
  </si>
  <si>
    <t>Asesora de Ambiente Físico, debe realizar solicitud a unidad de contratación la entrega de documento de asignación de supervisión, con el fin de tener control y revisión de roles.</t>
  </si>
  <si>
    <t>1. Inexistencia de contrato de calibración
2. Equipos no encontrados en el servicio</t>
  </si>
  <si>
    <t>Posibilidad de pérdida Reputacional por equipos sin calibración, debido a inexistencia de contrato de calibración y equipos no encontrados en el servicio</t>
  </si>
  <si>
    <t>Líder de almacén, revisa cada vez que ingresa bienes al hospital corroborando mediante contrato las cantidades e insumos contratados, se genera almacenamiento de los bienes hasta conocer el estado del contrato, generando el comprobante de entrada al almacén para realizar los despachos, en caso de que el contrato no se encuentre legalizado y con su debida lista de chequeo la mercancía se queda en almacenamiento hasta la legalización, todo esto con el fin de hacer la debida revisión de los insumos.</t>
  </si>
  <si>
    <t>Coordinador de gestión ambiental, actualiza constantemente matriz de requisitos legales, elabora ECO para la medición de diferentes parámetros ambientales y carga información a plataformas digitales de diferentes entes de control, y realiza envió de informes según periodicidad, con el fin de dar cumplimiento a la normatividad ambiental aplicable a la organización.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</si>
</sst>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8" t="s">
        <v>166</v>
      </c>
      <c r="C2" s="139"/>
      <c r="D2" s="139"/>
      <c r="E2" s="139"/>
      <c r="F2" s="139"/>
      <c r="G2" s="139"/>
      <c r="H2" s="140"/>
    </row>
    <row r="3" spans="2:8" x14ac:dyDescent="0.25">
      <c r="B3" s="84"/>
      <c r="C3" s="85"/>
      <c r="D3" s="85"/>
      <c r="E3" s="85"/>
      <c r="F3" s="85"/>
      <c r="G3" s="85"/>
      <c r="H3" s="86"/>
    </row>
    <row r="4" spans="2:8" ht="63" customHeight="1" x14ac:dyDescent="0.25">
      <c r="B4" s="141" t="s">
        <v>255</v>
      </c>
      <c r="C4" s="142"/>
      <c r="D4" s="142"/>
      <c r="E4" s="142"/>
      <c r="F4" s="142"/>
      <c r="G4" s="142"/>
      <c r="H4" s="143"/>
    </row>
    <row r="5" spans="2:8" ht="63" customHeight="1" x14ac:dyDescent="0.25">
      <c r="B5" s="144"/>
      <c r="C5" s="145"/>
      <c r="D5" s="145"/>
      <c r="E5" s="145"/>
      <c r="F5" s="145"/>
      <c r="G5" s="145"/>
      <c r="H5" s="146"/>
    </row>
    <row r="6" spans="2:8" ht="16.5" x14ac:dyDescent="0.25">
      <c r="B6" s="147" t="s">
        <v>164</v>
      </c>
      <c r="C6" s="148"/>
      <c r="D6" s="148"/>
      <c r="E6" s="148"/>
      <c r="F6" s="148"/>
      <c r="G6" s="148"/>
      <c r="H6" s="149"/>
    </row>
    <row r="7" spans="2:8" ht="95.25" customHeight="1" x14ac:dyDescent="0.25">
      <c r="B7" s="157" t="s">
        <v>169</v>
      </c>
      <c r="C7" s="158"/>
      <c r="D7" s="158"/>
      <c r="E7" s="158"/>
      <c r="F7" s="158"/>
      <c r="G7" s="158"/>
      <c r="H7" s="159"/>
    </row>
    <row r="8" spans="2:8" ht="16.5" x14ac:dyDescent="0.25">
      <c r="B8" s="120"/>
      <c r="C8" s="121"/>
      <c r="D8" s="121"/>
      <c r="E8" s="121"/>
      <c r="F8" s="121"/>
      <c r="G8" s="121"/>
      <c r="H8" s="122"/>
    </row>
    <row r="9" spans="2:8" ht="16.5" customHeight="1" x14ac:dyDescent="0.25">
      <c r="B9" s="150" t="s">
        <v>202</v>
      </c>
      <c r="C9" s="151"/>
      <c r="D9" s="151"/>
      <c r="E9" s="151"/>
      <c r="F9" s="151"/>
      <c r="G9" s="151"/>
      <c r="H9" s="152"/>
    </row>
    <row r="10" spans="2:8" ht="44.25" customHeight="1" x14ac:dyDescent="0.25">
      <c r="B10" s="150"/>
      <c r="C10" s="151"/>
      <c r="D10" s="151"/>
      <c r="E10" s="151"/>
      <c r="F10" s="151"/>
      <c r="G10" s="151"/>
      <c r="H10" s="152"/>
    </row>
    <row r="11" spans="2:8" ht="15.75" thickBot="1" x14ac:dyDescent="0.3">
      <c r="B11" s="109"/>
      <c r="C11" s="112"/>
      <c r="D11" s="117"/>
      <c r="E11" s="118"/>
      <c r="F11" s="118"/>
      <c r="G11" s="119"/>
      <c r="H11" s="113"/>
    </row>
    <row r="12" spans="2:8" ht="15.75" thickTop="1" x14ac:dyDescent="0.25">
      <c r="B12" s="109"/>
      <c r="C12" s="153" t="s">
        <v>165</v>
      </c>
      <c r="D12" s="154"/>
      <c r="E12" s="155" t="s">
        <v>203</v>
      </c>
      <c r="F12" s="156"/>
      <c r="G12" s="112"/>
      <c r="H12" s="113"/>
    </row>
    <row r="13" spans="2:8" ht="35.25" customHeight="1" x14ac:dyDescent="0.25">
      <c r="B13" s="109"/>
      <c r="C13" s="160" t="s">
        <v>196</v>
      </c>
      <c r="D13" s="161"/>
      <c r="E13" s="162" t="s">
        <v>201</v>
      </c>
      <c r="F13" s="163"/>
      <c r="G13" s="112"/>
      <c r="H13" s="113"/>
    </row>
    <row r="14" spans="2:8" ht="17.25" customHeight="1" x14ac:dyDescent="0.25">
      <c r="B14" s="109"/>
      <c r="C14" s="160" t="s">
        <v>197</v>
      </c>
      <c r="D14" s="161"/>
      <c r="E14" s="162" t="s">
        <v>199</v>
      </c>
      <c r="F14" s="163"/>
      <c r="G14" s="112"/>
      <c r="H14" s="113"/>
    </row>
    <row r="15" spans="2:8" ht="19.5" customHeight="1" x14ac:dyDescent="0.25">
      <c r="B15" s="109"/>
      <c r="C15" s="160" t="s">
        <v>198</v>
      </c>
      <c r="D15" s="161"/>
      <c r="E15" s="162" t="s">
        <v>200</v>
      </c>
      <c r="F15" s="163"/>
      <c r="G15" s="112"/>
      <c r="H15" s="113"/>
    </row>
    <row r="16" spans="2:8" ht="69.75" customHeight="1" x14ac:dyDescent="0.25">
      <c r="B16" s="109"/>
      <c r="C16" s="160" t="s">
        <v>167</v>
      </c>
      <c r="D16" s="161"/>
      <c r="E16" s="162" t="s">
        <v>168</v>
      </c>
      <c r="F16" s="163"/>
      <c r="G16" s="112"/>
      <c r="H16" s="113"/>
    </row>
    <row r="17" spans="2:8" ht="34.5" customHeight="1" x14ac:dyDescent="0.25">
      <c r="B17" s="109"/>
      <c r="C17" s="164" t="s">
        <v>2</v>
      </c>
      <c r="D17" s="165"/>
      <c r="E17" s="166" t="s">
        <v>209</v>
      </c>
      <c r="F17" s="167"/>
      <c r="G17" s="112"/>
      <c r="H17" s="113"/>
    </row>
    <row r="18" spans="2:8" ht="27.75" customHeight="1" x14ac:dyDescent="0.25">
      <c r="B18" s="109"/>
      <c r="C18" s="164" t="s">
        <v>3</v>
      </c>
      <c r="D18" s="165"/>
      <c r="E18" s="166" t="s">
        <v>210</v>
      </c>
      <c r="F18" s="167"/>
      <c r="G18" s="112"/>
      <c r="H18" s="113"/>
    </row>
    <row r="19" spans="2:8" ht="28.5" customHeight="1" x14ac:dyDescent="0.25">
      <c r="B19" s="109"/>
      <c r="C19" s="164" t="s">
        <v>42</v>
      </c>
      <c r="D19" s="165"/>
      <c r="E19" s="166" t="s">
        <v>211</v>
      </c>
      <c r="F19" s="167"/>
      <c r="G19" s="112"/>
      <c r="H19" s="113"/>
    </row>
    <row r="20" spans="2:8" ht="72.75" customHeight="1" x14ac:dyDescent="0.25">
      <c r="B20" s="109"/>
      <c r="C20" s="164" t="s">
        <v>1</v>
      </c>
      <c r="D20" s="165"/>
      <c r="E20" s="166" t="s">
        <v>212</v>
      </c>
      <c r="F20" s="167"/>
      <c r="G20" s="112"/>
      <c r="H20" s="113"/>
    </row>
    <row r="21" spans="2:8" ht="64.5" customHeight="1" x14ac:dyDescent="0.25">
      <c r="B21" s="109"/>
      <c r="C21" s="164" t="s">
        <v>50</v>
      </c>
      <c r="D21" s="165"/>
      <c r="E21" s="166" t="s">
        <v>171</v>
      </c>
      <c r="F21" s="167"/>
      <c r="G21" s="112"/>
      <c r="H21" s="113"/>
    </row>
    <row r="22" spans="2:8" ht="71.25" customHeight="1" x14ac:dyDescent="0.25">
      <c r="B22" s="109"/>
      <c r="C22" s="164" t="s">
        <v>170</v>
      </c>
      <c r="D22" s="165"/>
      <c r="E22" s="166" t="s">
        <v>172</v>
      </c>
      <c r="F22" s="167"/>
      <c r="G22" s="112"/>
      <c r="H22" s="113"/>
    </row>
    <row r="23" spans="2:8" ht="55.5" customHeight="1" x14ac:dyDescent="0.25">
      <c r="B23" s="109"/>
      <c r="C23" s="171" t="s">
        <v>173</v>
      </c>
      <c r="D23" s="172"/>
      <c r="E23" s="166" t="s">
        <v>174</v>
      </c>
      <c r="F23" s="167"/>
      <c r="G23" s="112"/>
      <c r="H23" s="113"/>
    </row>
    <row r="24" spans="2:8" ht="42" customHeight="1" x14ac:dyDescent="0.25">
      <c r="B24" s="109"/>
      <c r="C24" s="171" t="s">
        <v>48</v>
      </c>
      <c r="D24" s="172"/>
      <c r="E24" s="166" t="s">
        <v>175</v>
      </c>
      <c r="F24" s="167"/>
      <c r="G24" s="112"/>
      <c r="H24" s="113"/>
    </row>
    <row r="25" spans="2:8" ht="59.25" customHeight="1" x14ac:dyDescent="0.25">
      <c r="B25" s="109"/>
      <c r="C25" s="171" t="s">
        <v>163</v>
      </c>
      <c r="D25" s="172"/>
      <c r="E25" s="166" t="s">
        <v>176</v>
      </c>
      <c r="F25" s="167"/>
      <c r="G25" s="112"/>
      <c r="H25" s="113"/>
    </row>
    <row r="26" spans="2:8" ht="23.25" customHeight="1" x14ac:dyDescent="0.25">
      <c r="B26" s="109"/>
      <c r="C26" s="171" t="s">
        <v>12</v>
      </c>
      <c r="D26" s="172"/>
      <c r="E26" s="166" t="s">
        <v>177</v>
      </c>
      <c r="F26" s="167"/>
      <c r="G26" s="112"/>
      <c r="H26" s="113"/>
    </row>
    <row r="27" spans="2:8" ht="30.75" customHeight="1" x14ac:dyDescent="0.25">
      <c r="B27" s="109"/>
      <c r="C27" s="171" t="s">
        <v>181</v>
      </c>
      <c r="D27" s="172"/>
      <c r="E27" s="166" t="s">
        <v>178</v>
      </c>
      <c r="F27" s="167"/>
      <c r="G27" s="112"/>
      <c r="H27" s="113"/>
    </row>
    <row r="28" spans="2:8" ht="35.25" customHeight="1" x14ac:dyDescent="0.25">
      <c r="B28" s="109"/>
      <c r="C28" s="171" t="s">
        <v>182</v>
      </c>
      <c r="D28" s="172"/>
      <c r="E28" s="166" t="s">
        <v>179</v>
      </c>
      <c r="F28" s="167"/>
      <c r="G28" s="112"/>
      <c r="H28" s="113"/>
    </row>
    <row r="29" spans="2:8" ht="33" customHeight="1" x14ac:dyDescent="0.25">
      <c r="B29" s="109"/>
      <c r="C29" s="171" t="s">
        <v>182</v>
      </c>
      <c r="D29" s="172"/>
      <c r="E29" s="166" t="s">
        <v>179</v>
      </c>
      <c r="F29" s="167"/>
      <c r="G29" s="112"/>
      <c r="H29" s="113"/>
    </row>
    <row r="30" spans="2:8" ht="30" customHeight="1" x14ac:dyDescent="0.25">
      <c r="B30" s="109"/>
      <c r="C30" s="171" t="s">
        <v>183</v>
      </c>
      <c r="D30" s="172"/>
      <c r="E30" s="166" t="s">
        <v>180</v>
      </c>
      <c r="F30" s="167"/>
      <c r="G30" s="112"/>
      <c r="H30" s="113"/>
    </row>
    <row r="31" spans="2:8" ht="35.25" customHeight="1" x14ac:dyDescent="0.25">
      <c r="B31" s="109"/>
      <c r="C31" s="171" t="s">
        <v>184</v>
      </c>
      <c r="D31" s="172"/>
      <c r="E31" s="166" t="s">
        <v>185</v>
      </c>
      <c r="F31" s="167"/>
      <c r="G31" s="112"/>
      <c r="H31" s="113"/>
    </row>
    <row r="32" spans="2:8" ht="31.5" customHeight="1" x14ac:dyDescent="0.25">
      <c r="B32" s="109"/>
      <c r="C32" s="171" t="s">
        <v>186</v>
      </c>
      <c r="D32" s="172"/>
      <c r="E32" s="166" t="s">
        <v>187</v>
      </c>
      <c r="F32" s="167"/>
      <c r="G32" s="112"/>
      <c r="H32" s="113"/>
    </row>
    <row r="33" spans="2:8" ht="35.25" customHeight="1" x14ac:dyDescent="0.25">
      <c r="B33" s="109"/>
      <c r="C33" s="171" t="s">
        <v>188</v>
      </c>
      <c r="D33" s="172"/>
      <c r="E33" s="166" t="s">
        <v>189</v>
      </c>
      <c r="F33" s="167"/>
      <c r="G33" s="112"/>
      <c r="H33" s="113"/>
    </row>
    <row r="34" spans="2:8" ht="59.25" customHeight="1" x14ac:dyDescent="0.25">
      <c r="B34" s="109"/>
      <c r="C34" s="171" t="s">
        <v>190</v>
      </c>
      <c r="D34" s="172"/>
      <c r="E34" s="166" t="s">
        <v>191</v>
      </c>
      <c r="F34" s="167"/>
      <c r="G34" s="112"/>
      <c r="H34" s="113"/>
    </row>
    <row r="35" spans="2:8" ht="29.25" customHeight="1" x14ac:dyDescent="0.25">
      <c r="B35" s="109"/>
      <c r="C35" s="171" t="s">
        <v>29</v>
      </c>
      <c r="D35" s="172"/>
      <c r="E35" s="166" t="s">
        <v>192</v>
      </c>
      <c r="F35" s="167"/>
      <c r="G35" s="112"/>
      <c r="H35" s="113"/>
    </row>
    <row r="36" spans="2:8" ht="82.5" customHeight="1" x14ac:dyDescent="0.25">
      <c r="B36" s="109"/>
      <c r="C36" s="171" t="s">
        <v>194</v>
      </c>
      <c r="D36" s="172"/>
      <c r="E36" s="166" t="s">
        <v>193</v>
      </c>
      <c r="F36" s="167"/>
      <c r="G36" s="112"/>
      <c r="H36" s="113"/>
    </row>
    <row r="37" spans="2:8" ht="46.5" customHeight="1" x14ac:dyDescent="0.25">
      <c r="B37" s="109"/>
      <c r="C37" s="171" t="s">
        <v>39</v>
      </c>
      <c r="D37" s="172"/>
      <c r="E37" s="166" t="s">
        <v>195</v>
      </c>
      <c r="F37" s="167"/>
      <c r="G37" s="112"/>
      <c r="H37" s="113"/>
    </row>
    <row r="38" spans="2:8" ht="6.75" customHeight="1" thickBot="1" x14ac:dyDescent="0.3">
      <c r="B38" s="109"/>
      <c r="C38" s="173"/>
      <c r="D38" s="174"/>
      <c r="E38" s="175"/>
      <c r="F38" s="176"/>
      <c r="G38" s="112"/>
      <c r="H38" s="113"/>
    </row>
    <row r="39" spans="2:8" ht="15.75" thickTop="1" x14ac:dyDescent="0.25">
      <c r="B39" s="109"/>
      <c r="C39" s="110"/>
      <c r="D39" s="110"/>
      <c r="E39" s="111"/>
      <c r="F39" s="111"/>
      <c r="G39" s="112"/>
      <c r="H39" s="113"/>
    </row>
    <row r="40" spans="2:8" ht="21" customHeight="1" x14ac:dyDescent="0.25">
      <c r="B40" s="168" t="s">
        <v>204</v>
      </c>
      <c r="C40" s="169"/>
      <c r="D40" s="169"/>
      <c r="E40" s="169"/>
      <c r="F40" s="169"/>
      <c r="G40" s="169"/>
      <c r="H40" s="170"/>
    </row>
    <row r="41" spans="2:8" ht="20.25" customHeight="1" x14ac:dyDescent="0.25">
      <c r="B41" s="168" t="s">
        <v>205</v>
      </c>
      <c r="C41" s="169"/>
      <c r="D41" s="169"/>
      <c r="E41" s="169"/>
      <c r="F41" s="169"/>
      <c r="G41" s="169"/>
      <c r="H41" s="170"/>
    </row>
    <row r="42" spans="2:8" ht="20.25" customHeight="1" x14ac:dyDescent="0.25">
      <c r="B42" s="168" t="s">
        <v>206</v>
      </c>
      <c r="C42" s="169"/>
      <c r="D42" s="169"/>
      <c r="E42" s="169"/>
      <c r="F42" s="169"/>
      <c r="G42" s="169"/>
      <c r="H42" s="170"/>
    </row>
    <row r="43" spans="2:8" ht="20.25" customHeight="1" x14ac:dyDescent="0.25">
      <c r="B43" s="168" t="s">
        <v>207</v>
      </c>
      <c r="C43" s="169"/>
      <c r="D43" s="169"/>
      <c r="E43" s="169"/>
      <c r="F43" s="169"/>
      <c r="G43" s="169"/>
      <c r="H43" s="170"/>
    </row>
    <row r="44" spans="2:8" x14ac:dyDescent="0.25">
      <c r="B44" s="168" t="s">
        <v>208</v>
      </c>
      <c r="C44" s="169"/>
      <c r="D44" s="169"/>
      <c r="E44" s="169"/>
      <c r="F44" s="169"/>
      <c r="G44" s="169"/>
      <c r="H44" s="170"/>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M46" zoomScaleNormal="100" workbookViewId="0">
      <selection activeCell="M46" sqref="M46:M51"/>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4" t="s">
        <v>144</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6"/>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7"/>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9"/>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0" t="s">
        <v>43</v>
      </c>
      <c r="B4" s="211"/>
      <c r="C4" s="217" t="s">
        <v>281</v>
      </c>
      <c r="D4" s="218"/>
      <c r="E4" s="218"/>
      <c r="F4" s="218"/>
      <c r="G4" s="218"/>
      <c r="H4" s="218"/>
      <c r="I4" s="218"/>
      <c r="J4" s="218"/>
      <c r="K4" s="218"/>
      <c r="L4" s="218"/>
      <c r="M4" s="218"/>
      <c r="N4" s="219"/>
      <c r="O4" s="223"/>
      <c r="P4" s="223"/>
      <c r="Q4" s="223"/>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0" t="s">
        <v>130</v>
      </c>
      <c r="B5" s="211"/>
      <c r="C5" s="217" t="s">
        <v>257</v>
      </c>
      <c r="D5" s="218"/>
      <c r="E5" s="218"/>
      <c r="F5" s="218"/>
      <c r="G5" s="218"/>
      <c r="H5" s="218"/>
      <c r="I5" s="218"/>
      <c r="J5" s="218"/>
      <c r="K5" s="218"/>
      <c r="L5" s="218"/>
      <c r="M5" s="218"/>
      <c r="N5" s="21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0" t="s">
        <v>44</v>
      </c>
      <c r="B6" s="211"/>
      <c r="C6" s="220" t="s">
        <v>258</v>
      </c>
      <c r="D6" s="221"/>
      <c r="E6" s="221"/>
      <c r="F6" s="221"/>
      <c r="G6" s="221"/>
      <c r="H6" s="221"/>
      <c r="I6" s="221"/>
      <c r="J6" s="221"/>
      <c r="K6" s="221"/>
      <c r="L6" s="221"/>
      <c r="M6" s="221"/>
      <c r="N6" s="22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0" t="s">
        <v>139</v>
      </c>
      <c r="B7" s="231"/>
      <c r="C7" s="231"/>
      <c r="D7" s="231"/>
      <c r="E7" s="231"/>
      <c r="F7" s="231"/>
      <c r="G7" s="232"/>
      <c r="H7" s="230" t="s">
        <v>140</v>
      </c>
      <c r="I7" s="231"/>
      <c r="J7" s="231"/>
      <c r="K7" s="231"/>
      <c r="L7" s="231"/>
      <c r="M7" s="231"/>
      <c r="N7" s="232"/>
      <c r="O7" s="230" t="s">
        <v>141</v>
      </c>
      <c r="P7" s="231"/>
      <c r="Q7" s="231"/>
      <c r="R7" s="231"/>
      <c r="S7" s="231"/>
      <c r="T7" s="231"/>
      <c r="U7" s="231"/>
      <c r="V7" s="231"/>
      <c r="W7" s="232"/>
      <c r="X7" s="230" t="s">
        <v>142</v>
      </c>
      <c r="Y7" s="231"/>
      <c r="Z7" s="231"/>
      <c r="AA7" s="231"/>
      <c r="AB7" s="231"/>
      <c r="AC7" s="231"/>
      <c r="AD7" s="232"/>
      <c r="AE7" s="230" t="s">
        <v>34</v>
      </c>
      <c r="AF7" s="231"/>
      <c r="AG7" s="231"/>
      <c r="AH7" s="231"/>
      <c r="AI7" s="231"/>
      <c r="AJ7" s="232"/>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2" t="s">
        <v>0</v>
      </c>
      <c r="B8" s="208" t="s">
        <v>2</v>
      </c>
      <c r="C8" s="202" t="s">
        <v>3</v>
      </c>
      <c r="D8" s="202" t="s">
        <v>42</v>
      </c>
      <c r="E8" s="214" t="s">
        <v>1</v>
      </c>
      <c r="F8" s="209" t="s">
        <v>50</v>
      </c>
      <c r="G8" s="202" t="s">
        <v>135</v>
      </c>
      <c r="H8" s="204" t="s">
        <v>33</v>
      </c>
      <c r="I8" s="205" t="s">
        <v>5</v>
      </c>
      <c r="J8" s="209" t="s">
        <v>87</v>
      </c>
      <c r="K8" s="209" t="s">
        <v>92</v>
      </c>
      <c r="L8" s="207" t="s">
        <v>45</v>
      </c>
      <c r="M8" s="205" t="s">
        <v>5</v>
      </c>
      <c r="N8" s="202" t="s">
        <v>48</v>
      </c>
      <c r="O8" s="215" t="s">
        <v>11</v>
      </c>
      <c r="P8" s="203" t="s">
        <v>163</v>
      </c>
      <c r="Q8" s="209" t="s">
        <v>12</v>
      </c>
      <c r="R8" s="203" t="s">
        <v>8</v>
      </c>
      <c r="S8" s="203"/>
      <c r="T8" s="203"/>
      <c r="U8" s="203"/>
      <c r="V8" s="203"/>
      <c r="W8" s="203"/>
      <c r="X8" s="201" t="s">
        <v>138</v>
      </c>
      <c r="Y8" s="201" t="s">
        <v>46</v>
      </c>
      <c r="Z8" s="201" t="s">
        <v>5</v>
      </c>
      <c r="AA8" s="201" t="s">
        <v>47</v>
      </c>
      <c r="AB8" s="201" t="s">
        <v>5</v>
      </c>
      <c r="AC8" s="201" t="s">
        <v>49</v>
      </c>
      <c r="AD8" s="215" t="s">
        <v>29</v>
      </c>
      <c r="AE8" s="203" t="s">
        <v>34</v>
      </c>
      <c r="AF8" s="203" t="s">
        <v>35</v>
      </c>
      <c r="AG8" s="203" t="s">
        <v>36</v>
      </c>
      <c r="AH8" s="203" t="s">
        <v>38</v>
      </c>
      <c r="AI8" s="203" t="s">
        <v>37</v>
      </c>
      <c r="AJ8" s="203"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3"/>
      <c r="B9" s="208"/>
      <c r="C9" s="203"/>
      <c r="D9" s="203"/>
      <c r="E9" s="208"/>
      <c r="F9" s="202"/>
      <c r="G9" s="203"/>
      <c r="H9" s="202"/>
      <c r="I9" s="206"/>
      <c r="J9" s="202"/>
      <c r="K9" s="202"/>
      <c r="L9" s="206"/>
      <c r="M9" s="206"/>
      <c r="N9" s="203"/>
      <c r="O9" s="216"/>
      <c r="P9" s="203"/>
      <c r="Q9" s="202"/>
      <c r="R9" s="7" t="s">
        <v>13</v>
      </c>
      <c r="S9" s="7" t="s">
        <v>17</v>
      </c>
      <c r="T9" s="7" t="s">
        <v>28</v>
      </c>
      <c r="U9" s="7" t="s">
        <v>18</v>
      </c>
      <c r="V9" s="7" t="s">
        <v>21</v>
      </c>
      <c r="W9" s="7" t="s">
        <v>24</v>
      </c>
      <c r="X9" s="201"/>
      <c r="Y9" s="201"/>
      <c r="Z9" s="201"/>
      <c r="AA9" s="201"/>
      <c r="AB9" s="201"/>
      <c r="AC9" s="201"/>
      <c r="AD9" s="216"/>
      <c r="AE9" s="203"/>
      <c r="AF9" s="203"/>
      <c r="AG9" s="203"/>
      <c r="AH9" s="203"/>
      <c r="AI9" s="203"/>
      <c r="AJ9" s="203"/>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6">
        <v>1</v>
      </c>
      <c r="B10" s="177" t="s">
        <v>132</v>
      </c>
      <c r="C10" s="177" t="s">
        <v>256</v>
      </c>
      <c r="D10" s="177" t="s">
        <v>287</v>
      </c>
      <c r="E10" s="189" t="s">
        <v>288</v>
      </c>
      <c r="F10" s="177" t="s">
        <v>123</v>
      </c>
      <c r="G10" s="180">
        <v>2</v>
      </c>
      <c r="H10" s="183" t="str">
        <f>IF(G10&lt;=0,"",IF(G10&lt;=2,"Muy Baja",IF(G10&lt;=24,"Baja",IF(G10&lt;=500,"Media",IF(G10&lt;=5000,"Alta","Muy Alta")))))</f>
        <v>Muy Baja</v>
      </c>
      <c r="I10" s="195">
        <f>IF(H10="","",IF(H10="Muy Baja",0.2,IF(H10="Baja",0.4,IF(H10="Media",0.6,IF(H10="Alta",0.8,IF(H10="Muy Alta",1,))))))</f>
        <v>0.2</v>
      </c>
      <c r="J10" s="198" t="s">
        <v>153</v>
      </c>
      <c r="K10" s="195" t="str">
        <f>IF(NOT(ISERROR(MATCH(J10,'Tabla Impacto'!$B$221:$B$223,0))),'Tabla Impacto'!$F$223&amp;"Por favor no seleccionar los criterios de impacto(Afectación Económica o presupuestal y Pérdida Reputacional)",J10)</f>
        <v xml:space="preserve">     El riesgo afecta la imagen de alguna área de la organización</v>
      </c>
      <c r="L10" s="183" t="str">
        <f>IF(OR(K10='Tabla Impacto'!$C$11,K10='Tabla Impacto'!$D$11),"Leve",IF(OR(K10='Tabla Impacto'!$C$12,K10='Tabla Impacto'!$D$12),"Menor",IF(OR(K10='Tabla Impacto'!$C$13,K10='Tabla Impacto'!$D$13),"Moderado",IF(OR(K10='Tabla Impacto'!$C$14,K10='Tabla Impacto'!$D$14),"Mayor",IF(OR(K10='Tabla Impacto'!$C$15,K10='Tabla Impacto'!$D$15),"Catastrófico","")))))</f>
        <v>Leve</v>
      </c>
      <c r="M10" s="195">
        <f>IF(L10="","",IF(L10="Leve",0.2,IF(L10="Menor",0.4,IF(L10="Moderado",0.6,IF(L10="Mayor",0.8,IF(L10="Catastrófico",1,))))))</f>
        <v>0.2</v>
      </c>
      <c r="N10" s="192"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3">
        <v>1</v>
      </c>
      <c r="P10" s="124" t="s">
        <v>283</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0.12</v>
      </c>
      <c r="Y10" s="129" t="str">
        <f>IFERROR(IF(X10="","",IF(X10&lt;=0.2,"Muy Baja",IF(X10&lt;=0.4,"Baja",IF(X10&lt;=0.6,"Media",IF(X10&lt;=0.8,"Alta","Muy Alta"))))),"")</f>
        <v>Muy Baja</v>
      </c>
      <c r="Z10" s="130">
        <f>+X10</f>
        <v>0.12</v>
      </c>
      <c r="AA10" s="129" t="str">
        <f>IFERROR(IF(AB10="","",IF(AB10&lt;=0.2,"Leve",IF(AB10&lt;=0.4,"Menor",IF(AB10&lt;=0.6,"Moderado",IF(AB10&lt;=0.8,"Mayor","Catastrófico"))))),"")</f>
        <v>Leve</v>
      </c>
      <c r="AB10" s="130">
        <f>IFERROR(IF(Q10="Impacto",(M10-(+M10*T10)),IF(Q10="Probabilidad",M10,"")),"")</f>
        <v>0.2</v>
      </c>
      <c r="AC10" s="131"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2" t="s">
        <v>31</v>
      </c>
      <c r="AE10" s="133" t="s">
        <v>259</v>
      </c>
      <c r="AF10" s="134" t="s">
        <v>260</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7"/>
      <c r="B11" s="178"/>
      <c r="C11" s="178"/>
      <c r="D11" s="178"/>
      <c r="E11" s="190"/>
      <c r="F11" s="178"/>
      <c r="G11" s="181"/>
      <c r="H11" s="184"/>
      <c r="I11" s="196"/>
      <c r="J11" s="199"/>
      <c r="K11" s="196">
        <f ca="1">IF(NOT(ISERROR(MATCH(J11,_xlfn.ANCHORARRAY(E22),0))),I24&amp;"Por favor no seleccionar los criterios de impacto",J11)</f>
        <v>0</v>
      </c>
      <c r="L11" s="184"/>
      <c r="M11" s="196"/>
      <c r="N11" s="193"/>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7"/>
      <c r="B12" s="178"/>
      <c r="C12" s="178"/>
      <c r="D12" s="178"/>
      <c r="E12" s="190"/>
      <c r="F12" s="178"/>
      <c r="G12" s="181"/>
      <c r="H12" s="184"/>
      <c r="I12" s="196"/>
      <c r="J12" s="199"/>
      <c r="K12" s="196">
        <f ca="1">IF(NOT(ISERROR(MATCH(J12,_xlfn.ANCHORARRAY(E23),0))),I25&amp;"Por favor no seleccionar los criterios de impacto",J12)</f>
        <v>0</v>
      </c>
      <c r="L12" s="184"/>
      <c r="M12" s="196"/>
      <c r="N12" s="193"/>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7"/>
      <c r="B13" s="178"/>
      <c r="C13" s="178"/>
      <c r="D13" s="178"/>
      <c r="E13" s="190"/>
      <c r="F13" s="178"/>
      <c r="G13" s="181"/>
      <c r="H13" s="184"/>
      <c r="I13" s="196"/>
      <c r="J13" s="199"/>
      <c r="K13" s="196">
        <f ca="1">IF(NOT(ISERROR(MATCH(J13,_xlfn.ANCHORARRAY(E24),0))),I26&amp;"Por favor no seleccionar los criterios de impacto",J13)</f>
        <v>0</v>
      </c>
      <c r="L13" s="184"/>
      <c r="M13" s="196"/>
      <c r="N13" s="193"/>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7"/>
      <c r="B14" s="178"/>
      <c r="C14" s="178"/>
      <c r="D14" s="178"/>
      <c r="E14" s="190"/>
      <c r="F14" s="178"/>
      <c r="G14" s="181"/>
      <c r="H14" s="184"/>
      <c r="I14" s="196"/>
      <c r="J14" s="199"/>
      <c r="K14" s="196">
        <f ca="1">IF(NOT(ISERROR(MATCH(J14,_xlfn.ANCHORARRAY(E25),0))),I27&amp;"Por favor no seleccionar los criterios de impacto",J14)</f>
        <v>0</v>
      </c>
      <c r="L14" s="184"/>
      <c r="M14" s="196"/>
      <c r="N14" s="193"/>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8"/>
      <c r="B15" s="179"/>
      <c r="C15" s="179"/>
      <c r="D15" s="179"/>
      <c r="E15" s="191"/>
      <c r="F15" s="179"/>
      <c r="G15" s="182"/>
      <c r="H15" s="185"/>
      <c r="I15" s="197"/>
      <c r="J15" s="200"/>
      <c r="K15" s="197">
        <f ca="1">IF(NOT(ISERROR(MATCH(J15,_xlfn.ANCHORARRAY(E26),0))),I28&amp;"Por favor no seleccionar los criterios de impacto",J15)</f>
        <v>0</v>
      </c>
      <c r="L15" s="185"/>
      <c r="M15" s="197"/>
      <c r="N15" s="194"/>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6">
        <v>2</v>
      </c>
      <c r="B16" s="177" t="s">
        <v>134</v>
      </c>
      <c r="C16" s="177" t="s">
        <v>261</v>
      </c>
      <c r="D16" s="177" t="s">
        <v>262</v>
      </c>
      <c r="E16" s="189" t="s">
        <v>270</v>
      </c>
      <c r="F16" s="177" t="s">
        <v>123</v>
      </c>
      <c r="G16" s="180">
        <v>60</v>
      </c>
      <c r="H16" s="183" t="str">
        <f>IF(G16&lt;=0,"",IF(G16&lt;=2,"Muy Baja",IF(G16&lt;=24,"Baja",IF(G16&lt;=500,"Media",IF(G16&lt;=5000,"Alta","Muy Alta")))))</f>
        <v>Media</v>
      </c>
      <c r="I16" s="195">
        <f>IF(H16="","",IF(H16="Muy Baja",0.2,IF(H16="Baja",0.4,IF(H16="Media",0.6,IF(H16="Alta",0.8,IF(H16="Muy Alta",1,))))))</f>
        <v>0.6</v>
      </c>
      <c r="J16" s="198" t="s">
        <v>146</v>
      </c>
      <c r="K16" s="195" t="str">
        <f>IF(NOT(ISERROR(MATCH(J16,'Tabla Impacto'!$B$221:$B$223,0))),'Tabla Impacto'!$F$223&amp;"Por favor no seleccionar los criterios de impacto(Afectación Económica o presupuestal y Pérdida Reputacional)",J16)</f>
        <v xml:space="preserve">     Afectación menor a 10 SMLMV .</v>
      </c>
      <c r="L16" s="183" t="str">
        <f>IF(OR(K16='Tabla Impacto'!$C$11,K16='Tabla Impacto'!$D$11),"Leve",IF(OR(K16='Tabla Impacto'!$C$12,K16='Tabla Impacto'!$D$12),"Menor",IF(OR(K16='Tabla Impacto'!$C$13,K16='Tabla Impacto'!$D$13),"Moderado",IF(OR(K16='Tabla Impacto'!$C$14,K16='Tabla Impacto'!$D$14),"Mayor",IF(OR(K16='Tabla Impacto'!$C$15,K16='Tabla Impacto'!$D$15),"Catastrófico","")))))</f>
        <v>Leve</v>
      </c>
      <c r="M16" s="195">
        <f>IF(L16="","",IF(L16="Leve",0.2,IF(L16="Menor",0.4,IF(L16="Moderado",0.6,IF(L16="Mayor",0.8,IF(L16="Catastrófico",1,))))))</f>
        <v>0.2</v>
      </c>
      <c r="N16" s="192"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284</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23</v>
      </c>
      <c r="W16" s="126" t="s">
        <v>119</v>
      </c>
      <c r="X16" s="128">
        <f>IFERROR(IF(Q16="Probabilidad",(I16-(+I16*T16)),IF(Q16="Impacto",I16,"")),"")</f>
        <v>0.36</v>
      </c>
      <c r="Y16" s="129" t="str">
        <f>IFERROR(IF(X16="","",IF(X16&lt;=0.2,"Muy Baja",IF(X16&lt;=0.4,"Baja",IF(X16&lt;=0.6,"Media",IF(X16&lt;=0.8,"Alta","Muy Alta"))))),"")</f>
        <v>Baja</v>
      </c>
      <c r="Z16" s="130">
        <f>+X16</f>
        <v>0.36</v>
      </c>
      <c r="AA16" s="129" t="str">
        <f>IFERROR(IF(AB16="","",IF(AB16&lt;=0.2,"Leve",IF(AB16&lt;=0.4,"Menor",IF(AB16&lt;=0.6,"Moderado",IF(AB16&lt;=0.8,"Mayor","Catastrófico"))))),"")</f>
        <v>Leve</v>
      </c>
      <c r="AB16" s="130">
        <f>IFERROR(IF(Q16="Impacto",(M16-(+M16*T16)),IF(Q16="Probabilidad",M16,"")),"")</f>
        <v>0.2</v>
      </c>
      <c r="AC16" s="131"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31</v>
      </c>
      <c r="AE16" s="133" t="s">
        <v>259</v>
      </c>
      <c r="AF16" s="134" t="s">
        <v>260</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7"/>
      <c r="B17" s="178"/>
      <c r="C17" s="178"/>
      <c r="D17" s="178"/>
      <c r="E17" s="190"/>
      <c r="F17" s="178"/>
      <c r="G17" s="181"/>
      <c r="H17" s="184"/>
      <c r="I17" s="196"/>
      <c r="J17" s="199"/>
      <c r="K17" s="196">
        <f ca="1">IF(NOT(ISERROR(MATCH(J17,_xlfn.ANCHORARRAY(E28),0))),I30&amp;"Por favor no seleccionar los criterios de impacto",J17)</f>
        <v>0</v>
      </c>
      <c r="L17" s="184"/>
      <c r="M17" s="196"/>
      <c r="N17" s="193"/>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7"/>
      <c r="B18" s="178"/>
      <c r="C18" s="178"/>
      <c r="D18" s="178"/>
      <c r="E18" s="190"/>
      <c r="F18" s="178"/>
      <c r="G18" s="181"/>
      <c r="H18" s="184"/>
      <c r="I18" s="196"/>
      <c r="J18" s="199"/>
      <c r="K18" s="196">
        <f ca="1">IF(NOT(ISERROR(MATCH(J18,_xlfn.ANCHORARRAY(E29),0))),I31&amp;"Por favor no seleccionar los criterios de impacto",J18)</f>
        <v>0</v>
      </c>
      <c r="L18" s="184"/>
      <c r="M18" s="196"/>
      <c r="N18" s="193"/>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7"/>
      <c r="B19" s="178"/>
      <c r="C19" s="178"/>
      <c r="D19" s="178"/>
      <c r="E19" s="190"/>
      <c r="F19" s="178"/>
      <c r="G19" s="181"/>
      <c r="H19" s="184"/>
      <c r="I19" s="196"/>
      <c r="J19" s="199"/>
      <c r="K19" s="196">
        <f ca="1">IF(NOT(ISERROR(MATCH(J19,_xlfn.ANCHORARRAY(E30),0))),I32&amp;"Por favor no seleccionar los criterios de impacto",J19)</f>
        <v>0</v>
      </c>
      <c r="L19" s="184"/>
      <c r="M19" s="196"/>
      <c r="N19" s="193"/>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7"/>
      <c r="B20" s="178"/>
      <c r="C20" s="178"/>
      <c r="D20" s="178"/>
      <c r="E20" s="190"/>
      <c r="F20" s="178"/>
      <c r="G20" s="181"/>
      <c r="H20" s="184"/>
      <c r="I20" s="196"/>
      <c r="J20" s="199"/>
      <c r="K20" s="196">
        <f ca="1">IF(NOT(ISERROR(MATCH(J20,_xlfn.ANCHORARRAY(E31),0))),I33&amp;"Por favor no seleccionar los criterios de impacto",J20)</f>
        <v>0</v>
      </c>
      <c r="L20" s="184"/>
      <c r="M20" s="196"/>
      <c r="N20" s="193"/>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8"/>
      <c r="B21" s="179"/>
      <c r="C21" s="179"/>
      <c r="D21" s="179"/>
      <c r="E21" s="191"/>
      <c r="F21" s="179"/>
      <c r="G21" s="182"/>
      <c r="H21" s="185"/>
      <c r="I21" s="197"/>
      <c r="J21" s="200"/>
      <c r="K21" s="197">
        <f ca="1">IF(NOT(ISERROR(MATCH(J21,_xlfn.ANCHORARRAY(E32),0))),I34&amp;"Por favor no seleccionar los criterios de impacto",J21)</f>
        <v>0</v>
      </c>
      <c r="L21" s="185"/>
      <c r="M21" s="197"/>
      <c r="N21" s="194"/>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6">
        <v>3</v>
      </c>
      <c r="B22" s="177" t="s">
        <v>132</v>
      </c>
      <c r="C22" s="177" t="s">
        <v>263</v>
      </c>
      <c r="D22" s="177" t="s">
        <v>271</v>
      </c>
      <c r="E22" s="189" t="s">
        <v>272</v>
      </c>
      <c r="F22" s="177" t="s">
        <v>123</v>
      </c>
      <c r="G22" s="180">
        <v>60</v>
      </c>
      <c r="H22" s="183" t="str">
        <f>IF(G22&lt;=0,"",IF(G22&lt;=2,"Muy Baja",IF(G22&lt;=24,"Baja",IF(G22&lt;=500,"Media",IF(G22&lt;=5000,"Alta","Muy Alta")))))</f>
        <v>Media</v>
      </c>
      <c r="I22" s="195">
        <f>IF(H22="","",IF(H22="Muy Baja",0.2,IF(H22="Baja",0.4,IF(H22="Media",0.6,IF(H22="Alta",0.8,IF(H22="Muy Alta",1,))))))</f>
        <v>0.6</v>
      </c>
      <c r="J22" s="198" t="s">
        <v>155</v>
      </c>
      <c r="K22" s="195" t="str">
        <f>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183" t="str">
        <f>IF(OR(K22='Tabla Impacto'!$C$11,K22='Tabla Impacto'!$D$11),"Leve",IF(OR(K22='Tabla Impacto'!$C$12,K22='Tabla Impacto'!$D$12),"Menor",IF(OR(K22='Tabla Impacto'!$C$13,K22='Tabla Impacto'!$D$13),"Moderado",IF(OR(K22='Tabla Impacto'!$C$14,K22='Tabla Impacto'!$D$14),"Mayor",IF(OR(K22='Tabla Impacto'!$C$15,K22='Tabla Impacto'!$D$15),"Catastrófico","")))))</f>
        <v>Moderado</v>
      </c>
      <c r="M22" s="195">
        <f>IF(L22="","",IF(L22="Leve",0.2,IF(L22="Menor",0.4,IF(L22="Moderado",0.6,IF(L22="Mayor",0.8,IF(L22="Catastrófico",1,))))))</f>
        <v>0.6</v>
      </c>
      <c r="N22" s="192"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273</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20</v>
      </c>
      <c r="V22" s="126" t="s">
        <v>22</v>
      </c>
      <c r="W22" s="126" t="s">
        <v>120</v>
      </c>
      <c r="X22" s="128">
        <f>IFERROR(IF(Q22="Probabilidad",(I22-(+I22*T22)),IF(Q22="Impacto",I22,"")),"")</f>
        <v>0.36</v>
      </c>
      <c r="Y22" s="129" t="str">
        <f>IFERROR(IF(X22="","",IF(X22&lt;=0.2,"Muy Baja",IF(X22&lt;=0.4,"Baja",IF(X22&lt;=0.6,"Media",IF(X22&lt;=0.8,"Alta","Muy Alta"))))),"")</f>
        <v>Baja</v>
      </c>
      <c r="Z22" s="130">
        <f>+X22</f>
        <v>0.36</v>
      </c>
      <c r="AA22" s="129" t="str">
        <f>IFERROR(IF(AB22="","",IF(AB22&lt;=0.2,"Leve",IF(AB22&lt;=0.4,"Menor",IF(AB22&lt;=0.6,"Moderado",IF(AB22&lt;=0.8,"Mayor","Catastrófico"))))),"")</f>
        <v>Moderado</v>
      </c>
      <c r="AB22" s="130">
        <f>IFERROR(IF(Q22="Impacto",(M22-(+M22*T22)),IF(Q22="Probabilidad",M22,"")),"")</f>
        <v>0.6</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259</v>
      </c>
      <c r="AF22" s="134" t="s">
        <v>260</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7"/>
      <c r="B23" s="178"/>
      <c r="C23" s="178"/>
      <c r="D23" s="178"/>
      <c r="E23" s="190"/>
      <c r="F23" s="178"/>
      <c r="G23" s="181"/>
      <c r="H23" s="184"/>
      <c r="I23" s="196"/>
      <c r="J23" s="199"/>
      <c r="K23" s="196">
        <f t="shared" ref="K23:K27" ca="1" si="15">IF(NOT(ISERROR(MATCH(J23,_xlfn.ANCHORARRAY(E34),0))),I36&amp;"Por favor no seleccionar los criterios de impacto",J23)</f>
        <v>0</v>
      </c>
      <c r="L23" s="184"/>
      <c r="M23" s="196"/>
      <c r="N23" s="193"/>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7"/>
      <c r="B24" s="178"/>
      <c r="C24" s="178"/>
      <c r="D24" s="178"/>
      <c r="E24" s="190"/>
      <c r="F24" s="178"/>
      <c r="G24" s="181"/>
      <c r="H24" s="184"/>
      <c r="I24" s="196"/>
      <c r="J24" s="199"/>
      <c r="K24" s="196">
        <f t="shared" ca="1" si="15"/>
        <v>0</v>
      </c>
      <c r="L24" s="184"/>
      <c r="M24" s="196"/>
      <c r="N24" s="193"/>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7"/>
      <c r="B25" s="178"/>
      <c r="C25" s="178"/>
      <c r="D25" s="178"/>
      <c r="E25" s="190"/>
      <c r="F25" s="178"/>
      <c r="G25" s="181"/>
      <c r="H25" s="184"/>
      <c r="I25" s="196"/>
      <c r="J25" s="199"/>
      <c r="K25" s="196">
        <f t="shared" ca="1" si="15"/>
        <v>0</v>
      </c>
      <c r="L25" s="184"/>
      <c r="M25" s="196"/>
      <c r="N25" s="193"/>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7"/>
      <c r="B26" s="178"/>
      <c r="C26" s="178"/>
      <c r="D26" s="178"/>
      <c r="E26" s="190"/>
      <c r="F26" s="178"/>
      <c r="G26" s="181"/>
      <c r="H26" s="184"/>
      <c r="I26" s="196"/>
      <c r="J26" s="199"/>
      <c r="K26" s="196">
        <f t="shared" ca="1" si="15"/>
        <v>0</v>
      </c>
      <c r="L26" s="184"/>
      <c r="M26" s="196"/>
      <c r="N26" s="193"/>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8"/>
      <c r="B27" s="179"/>
      <c r="C27" s="179"/>
      <c r="D27" s="179"/>
      <c r="E27" s="191"/>
      <c r="F27" s="179"/>
      <c r="G27" s="182"/>
      <c r="H27" s="185"/>
      <c r="I27" s="197"/>
      <c r="J27" s="200"/>
      <c r="K27" s="197">
        <f t="shared" ca="1" si="15"/>
        <v>0</v>
      </c>
      <c r="L27" s="185"/>
      <c r="M27" s="197"/>
      <c r="N27" s="194"/>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6">
        <v>4</v>
      </c>
      <c r="B28" s="177" t="s">
        <v>132</v>
      </c>
      <c r="C28" s="177" t="s">
        <v>264</v>
      </c>
      <c r="D28" s="177" t="s">
        <v>274</v>
      </c>
      <c r="E28" s="189" t="s">
        <v>275</v>
      </c>
      <c r="F28" s="177" t="s">
        <v>123</v>
      </c>
      <c r="G28" s="180">
        <v>60</v>
      </c>
      <c r="H28" s="183" t="str">
        <f>IF(G28&lt;=0,"",IF(G28&lt;=2,"Muy Baja",IF(G28&lt;=24,"Baja",IF(G28&lt;=500,"Media",IF(G28&lt;=5000,"Alta","Muy Alta")))))</f>
        <v>Media</v>
      </c>
      <c r="I28" s="195">
        <f>IF(H28="","",IF(H28="Muy Baja",0.2,IF(H28="Baja",0.4,IF(H28="Media",0.6,IF(H28="Alta",0.8,IF(H28="Muy Alta",1,))))))</f>
        <v>0.6</v>
      </c>
      <c r="J28" s="198" t="s">
        <v>155</v>
      </c>
      <c r="K28" s="195" t="str">
        <f>IF(NOT(ISERROR(MATCH(J28,'Tabla Impacto'!$B$221:$B$223,0))),'Tabla Impacto'!$F$223&amp;"Por favor no seleccionar los criterios de impacto(Afectación Económica o presupuestal y Pérdida Reputacional)",J28)</f>
        <v xml:space="preserve">     El riesgo afecta la imagen de la entidad con algunos usuarios de relevancia frente al logro de los objetivos</v>
      </c>
      <c r="L28" s="183" t="str">
        <f>IF(OR(K28='Tabla Impacto'!$C$11,K28='Tabla Impacto'!$D$11),"Leve",IF(OR(K28='Tabla Impacto'!$C$12,K28='Tabla Impacto'!$D$12),"Menor",IF(OR(K28='Tabla Impacto'!$C$13,K28='Tabla Impacto'!$D$13),"Moderado",IF(OR(K28='Tabla Impacto'!$C$14,K28='Tabla Impacto'!$D$14),"Mayor",IF(OR(K28='Tabla Impacto'!$C$15,K28='Tabla Impacto'!$D$15),"Catastrófico","")))))</f>
        <v>Moderado</v>
      </c>
      <c r="M28" s="195">
        <f>IF(L28="","",IF(L28="Leve",0.2,IF(L28="Menor",0.4,IF(L28="Moderado",0.6,IF(L28="Mayor",0.8,IF(L28="Catastrófico",1,))))))</f>
        <v>0.6</v>
      </c>
      <c r="N28" s="192"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289</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0.36</v>
      </c>
      <c r="Y28" s="129" t="str">
        <f>IFERROR(IF(X28="","",IF(X28&lt;=0.2,"Muy Baja",IF(X28&lt;=0.4,"Baja",IF(X28&lt;=0.6,"Media",IF(X28&lt;=0.8,"Alta","Muy Alta"))))),"")</f>
        <v>Baja</v>
      </c>
      <c r="Z28" s="130">
        <f>+X28</f>
        <v>0.36</v>
      </c>
      <c r="AA28" s="129" t="str">
        <f>IFERROR(IF(AB28="","",IF(AB28&lt;=0.2,"Leve",IF(AB28&lt;=0.4,"Menor",IF(AB28&lt;=0.6,"Moderado",IF(AB28&lt;=0.8,"Mayor","Catastrófico"))))),"")</f>
        <v>Moderado</v>
      </c>
      <c r="AB28" s="130">
        <f>IFERROR(IF(Q28="Impacto",(M28-(+M28*T28)),IF(Q28="Probabilidad",M28,"")),"")</f>
        <v>0.6</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259</v>
      </c>
      <c r="AF28" s="134" t="s">
        <v>260</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7"/>
      <c r="B29" s="178"/>
      <c r="C29" s="178"/>
      <c r="D29" s="178"/>
      <c r="E29" s="190"/>
      <c r="F29" s="178"/>
      <c r="G29" s="181"/>
      <c r="H29" s="184"/>
      <c r="I29" s="196"/>
      <c r="J29" s="199"/>
      <c r="K29" s="196">
        <f t="shared" ref="K29:K33" ca="1" si="23">IF(NOT(ISERROR(MATCH(J29,_xlfn.ANCHORARRAY(E40),0))),I42&amp;"Por favor no seleccionar los criterios de impacto",J29)</f>
        <v>0</v>
      </c>
      <c r="L29" s="184"/>
      <c r="M29" s="196"/>
      <c r="N29" s="193"/>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7"/>
      <c r="B30" s="178"/>
      <c r="C30" s="178"/>
      <c r="D30" s="178"/>
      <c r="E30" s="190"/>
      <c r="F30" s="178"/>
      <c r="G30" s="181"/>
      <c r="H30" s="184"/>
      <c r="I30" s="196"/>
      <c r="J30" s="199"/>
      <c r="K30" s="196">
        <f t="shared" ca="1" si="23"/>
        <v>0</v>
      </c>
      <c r="L30" s="184"/>
      <c r="M30" s="196"/>
      <c r="N30" s="193"/>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7"/>
      <c r="B31" s="178"/>
      <c r="C31" s="178"/>
      <c r="D31" s="178"/>
      <c r="E31" s="190"/>
      <c r="F31" s="178"/>
      <c r="G31" s="181"/>
      <c r="H31" s="184"/>
      <c r="I31" s="196"/>
      <c r="J31" s="199"/>
      <c r="K31" s="196">
        <f t="shared" ca="1" si="23"/>
        <v>0</v>
      </c>
      <c r="L31" s="184"/>
      <c r="M31" s="196"/>
      <c r="N31" s="193"/>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7"/>
      <c r="B32" s="178"/>
      <c r="C32" s="178"/>
      <c r="D32" s="178"/>
      <c r="E32" s="190"/>
      <c r="F32" s="178"/>
      <c r="G32" s="181"/>
      <c r="H32" s="184"/>
      <c r="I32" s="196"/>
      <c r="J32" s="199"/>
      <c r="K32" s="196">
        <f t="shared" ca="1" si="23"/>
        <v>0</v>
      </c>
      <c r="L32" s="184"/>
      <c r="M32" s="196"/>
      <c r="N32" s="193"/>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8"/>
      <c r="B33" s="179"/>
      <c r="C33" s="179"/>
      <c r="D33" s="179"/>
      <c r="E33" s="191"/>
      <c r="F33" s="179"/>
      <c r="G33" s="182"/>
      <c r="H33" s="185"/>
      <c r="I33" s="197"/>
      <c r="J33" s="200"/>
      <c r="K33" s="197">
        <f t="shared" ca="1" si="23"/>
        <v>0</v>
      </c>
      <c r="L33" s="185"/>
      <c r="M33" s="197"/>
      <c r="N33" s="194"/>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6">
        <v>5</v>
      </c>
      <c r="B34" s="177" t="s">
        <v>132</v>
      </c>
      <c r="C34" s="177" t="s">
        <v>276</v>
      </c>
      <c r="D34" s="177" t="s">
        <v>277</v>
      </c>
      <c r="E34" s="189" t="s">
        <v>278</v>
      </c>
      <c r="F34" s="177" t="s">
        <v>123</v>
      </c>
      <c r="G34" s="180">
        <v>60</v>
      </c>
      <c r="H34" s="183" t="str">
        <f>IF(G34&lt;=0,"",IF(G34&lt;=2,"Muy Baja",IF(G34&lt;=24,"Baja",IF(G34&lt;=500,"Media",IF(G34&lt;=5000,"Alta","Muy Alta")))))</f>
        <v>Media</v>
      </c>
      <c r="I34" s="195">
        <f>IF(H34="","",IF(H34="Muy Baja",0.2,IF(H34="Baja",0.4,IF(H34="Media",0.6,IF(H34="Alta",0.8,IF(H34="Muy Alta",1,))))))</f>
        <v>0.6</v>
      </c>
      <c r="J34" s="198" t="s">
        <v>153</v>
      </c>
      <c r="K34" s="195" t="str">
        <f>IF(NOT(ISERROR(MATCH(J34,'Tabla Impacto'!$B$221:$B$223,0))),'Tabla Impacto'!$F$223&amp;"Por favor no seleccionar los criterios de impacto(Afectación Económica o presupuestal y Pérdida Reputacional)",J34)</f>
        <v xml:space="preserve">     El riesgo afecta la imagen de alguna área de la organización</v>
      </c>
      <c r="L34" s="183" t="str">
        <f>IF(OR(K34='Tabla Impacto'!$C$11,K34='Tabla Impacto'!$D$11),"Leve",IF(OR(K34='Tabla Impacto'!$C$12,K34='Tabla Impacto'!$D$12),"Menor",IF(OR(K34='Tabla Impacto'!$C$13,K34='Tabla Impacto'!$D$13),"Moderado",IF(OR(K34='Tabla Impacto'!$C$14,K34='Tabla Impacto'!$D$14),"Mayor",IF(OR(K34='Tabla Impacto'!$C$15,K34='Tabla Impacto'!$D$15),"Catastrófico","")))))</f>
        <v>Leve</v>
      </c>
      <c r="M34" s="195">
        <f>IF(L34="","",IF(L34="Leve",0.2,IF(L34="Menor",0.4,IF(L34="Moderado",0.6,IF(L34="Mayor",0.8,IF(L34="Catastrófico",1,))))))</f>
        <v>0.2</v>
      </c>
      <c r="N34" s="192"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285</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20</v>
      </c>
      <c r="V34" s="126" t="s">
        <v>22</v>
      </c>
      <c r="W34" s="126" t="s">
        <v>119</v>
      </c>
      <c r="X34" s="128">
        <f>IFERROR(IF(Q34="Probabilidad",(I34-(+I34*T34)),IF(Q34="Impacto",I34,"")),"")</f>
        <v>0.36</v>
      </c>
      <c r="Y34" s="129" t="str">
        <f>IFERROR(IF(X34="","",IF(X34&lt;=0.2,"Muy Baja",IF(X34&lt;=0.4,"Baja",IF(X34&lt;=0.6,"Media",IF(X34&lt;=0.8,"Alta","Muy Alta"))))),"")</f>
        <v>Baja</v>
      </c>
      <c r="Z34" s="130">
        <f>+X34</f>
        <v>0.36</v>
      </c>
      <c r="AA34" s="129" t="str">
        <f>IFERROR(IF(AB34="","",IF(AB34&lt;=0.2,"Leve",IF(AB34&lt;=0.4,"Menor",IF(AB34&lt;=0.6,"Moderado",IF(AB34&lt;=0.8,"Mayor","Catastrófico"))))),"")</f>
        <v>Leve</v>
      </c>
      <c r="AB34" s="130">
        <f>IFERROR(IF(Q34="Impacto",(M34-(+M34*T34)),IF(Q34="Probabilidad",M34,"")),"")</f>
        <v>0.2</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Bajo</v>
      </c>
      <c r="AD34" s="132" t="s">
        <v>31</v>
      </c>
      <c r="AE34" s="133" t="s">
        <v>259</v>
      </c>
      <c r="AF34" s="134" t="s">
        <v>260</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7"/>
      <c r="B35" s="178"/>
      <c r="C35" s="178"/>
      <c r="D35" s="178"/>
      <c r="E35" s="190"/>
      <c r="F35" s="178"/>
      <c r="G35" s="181"/>
      <c r="H35" s="184"/>
      <c r="I35" s="196"/>
      <c r="J35" s="199"/>
      <c r="K35" s="196">
        <f t="shared" ref="K35:K39" ca="1" si="31">IF(NOT(ISERROR(MATCH(J35,_xlfn.ANCHORARRAY(E46),0))),I48&amp;"Por favor no seleccionar los criterios de impacto",J35)</f>
        <v>0</v>
      </c>
      <c r="L35" s="184"/>
      <c r="M35" s="196"/>
      <c r="N35" s="193"/>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7"/>
      <c r="B36" s="178"/>
      <c r="C36" s="178"/>
      <c r="D36" s="178"/>
      <c r="E36" s="190"/>
      <c r="F36" s="178"/>
      <c r="G36" s="181"/>
      <c r="H36" s="184"/>
      <c r="I36" s="196"/>
      <c r="J36" s="199"/>
      <c r="K36" s="196">
        <f t="shared" ca="1" si="31"/>
        <v>0</v>
      </c>
      <c r="L36" s="184"/>
      <c r="M36" s="196"/>
      <c r="N36" s="193"/>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7"/>
      <c r="B37" s="178"/>
      <c r="C37" s="178"/>
      <c r="D37" s="178"/>
      <c r="E37" s="190"/>
      <c r="F37" s="178"/>
      <c r="G37" s="181"/>
      <c r="H37" s="184"/>
      <c r="I37" s="196"/>
      <c r="J37" s="199"/>
      <c r="K37" s="196">
        <f t="shared" ca="1" si="31"/>
        <v>0</v>
      </c>
      <c r="L37" s="184"/>
      <c r="M37" s="196"/>
      <c r="N37" s="193"/>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7"/>
      <c r="B38" s="178"/>
      <c r="C38" s="178"/>
      <c r="D38" s="178"/>
      <c r="E38" s="190"/>
      <c r="F38" s="178"/>
      <c r="G38" s="181"/>
      <c r="H38" s="184"/>
      <c r="I38" s="196"/>
      <c r="J38" s="199"/>
      <c r="K38" s="196">
        <f t="shared" ca="1" si="31"/>
        <v>0</v>
      </c>
      <c r="L38" s="184"/>
      <c r="M38" s="196"/>
      <c r="N38" s="193"/>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8"/>
      <c r="B39" s="179"/>
      <c r="C39" s="179"/>
      <c r="D39" s="179"/>
      <c r="E39" s="191"/>
      <c r="F39" s="179"/>
      <c r="G39" s="182"/>
      <c r="H39" s="185"/>
      <c r="I39" s="197"/>
      <c r="J39" s="200"/>
      <c r="K39" s="197">
        <f t="shared" ca="1" si="31"/>
        <v>0</v>
      </c>
      <c r="L39" s="185"/>
      <c r="M39" s="197"/>
      <c r="N39" s="194"/>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6">
        <v>6</v>
      </c>
      <c r="B40" s="177" t="s">
        <v>132</v>
      </c>
      <c r="C40" s="177" t="s">
        <v>266</v>
      </c>
      <c r="D40" s="177" t="s">
        <v>279</v>
      </c>
      <c r="E40" s="189" t="s">
        <v>267</v>
      </c>
      <c r="F40" s="177" t="s">
        <v>123</v>
      </c>
      <c r="G40" s="180">
        <v>2</v>
      </c>
      <c r="H40" s="183" t="str">
        <f>IF(G40&lt;=0,"",IF(G40&lt;=2,"Muy Baja",IF(G40&lt;=24,"Baja",IF(G40&lt;=500,"Media",IF(G40&lt;=5000,"Alta","Muy Alta")))))</f>
        <v>Muy Baja</v>
      </c>
      <c r="I40" s="195">
        <f>IF(H40="","",IF(H40="Muy Baja",0.2,IF(H40="Baja",0.4,IF(H40="Media",0.6,IF(H40="Alta",0.8,IF(H40="Muy Alta",1,))))))</f>
        <v>0.2</v>
      </c>
      <c r="J40" s="198" t="s">
        <v>154</v>
      </c>
      <c r="K40" s="195" t="str">
        <f>IF(NOT(ISERROR(MATCH(J40,'Tabla Impacto'!$B$221:$B$223,0))),'Tabla Impacto'!$F$223&amp;"Por favor no seleccionar los criterios de impacto(Afectación Económica o presupuestal y Pérdida Reputacional)",J40)</f>
        <v xml:space="preserve">     El riesgo afecta la imagen de la entidad internamente, de conocimiento general, nivel interno, de junta dircetiva y accionistas y/o de provedores</v>
      </c>
      <c r="L40" s="183" t="str">
        <f>IF(OR(K40='Tabla Impacto'!$C$11,K40='Tabla Impacto'!$D$11),"Leve",IF(OR(K40='Tabla Impacto'!$C$12,K40='Tabla Impacto'!$D$12),"Menor",IF(OR(K40='Tabla Impacto'!$C$13,K40='Tabla Impacto'!$D$13),"Moderado",IF(OR(K40='Tabla Impacto'!$C$14,K40='Tabla Impacto'!$D$14),"Mayor",IF(OR(K40='Tabla Impacto'!$C$15,K40='Tabla Impacto'!$D$15),"Catastrófico","")))))</f>
        <v>Menor</v>
      </c>
      <c r="M40" s="195">
        <f>IF(L40="","",IF(L40="Leve",0.2,IF(L40="Menor",0.4,IF(L40="Moderado",0.6,IF(L40="Mayor",0.8,IF(L40="Catastrófico",1,))))))</f>
        <v>0.4</v>
      </c>
      <c r="N40" s="192"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Bajo</v>
      </c>
      <c r="O40" s="123">
        <v>1</v>
      </c>
      <c r="P40" s="124" t="s">
        <v>286</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20</v>
      </c>
      <c r="V40" s="126" t="s">
        <v>23</v>
      </c>
      <c r="W40" s="126" t="s">
        <v>119</v>
      </c>
      <c r="X40" s="128">
        <f>IFERROR(IF(Q40="Probabilidad",(I40-(+I40*T40)),IF(Q40="Impacto",I40,"")),"")</f>
        <v>0.12</v>
      </c>
      <c r="Y40" s="129" t="str">
        <f>IFERROR(IF(X40="","",IF(X40&lt;=0.2,"Muy Baja",IF(X40&lt;=0.4,"Baja",IF(X40&lt;=0.6,"Media",IF(X40&lt;=0.8,"Alta","Muy Alta"))))),"")</f>
        <v>Muy Baja</v>
      </c>
      <c r="Z40" s="130">
        <f>+X40</f>
        <v>0.12</v>
      </c>
      <c r="AA40" s="129" t="str">
        <f>IFERROR(IF(AB40="","",IF(AB40&lt;=0.2,"Leve",IF(AB40&lt;=0.4,"Menor",IF(AB40&lt;=0.6,"Moderado",IF(AB40&lt;=0.8,"Mayor","Catastrófico"))))),"")</f>
        <v>Menor</v>
      </c>
      <c r="AB40" s="130">
        <f>IFERROR(IF(Q40="Impacto",(M40-(+M40*T40)),IF(Q40="Probabilidad",M40,"")),"")</f>
        <v>0.4</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Bajo</v>
      </c>
      <c r="AD40" s="132" t="s">
        <v>31</v>
      </c>
      <c r="AE40" s="133" t="s">
        <v>259</v>
      </c>
      <c r="AF40" s="134" t="s">
        <v>260</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7"/>
      <c r="B41" s="178"/>
      <c r="C41" s="178"/>
      <c r="D41" s="178"/>
      <c r="E41" s="190"/>
      <c r="F41" s="178"/>
      <c r="G41" s="181"/>
      <c r="H41" s="184"/>
      <c r="I41" s="196"/>
      <c r="J41" s="199"/>
      <c r="K41" s="196">
        <f t="shared" ref="K41:K45" ca="1" si="39">IF(NOT(ISERROR(MATCH(J41,_xlfn.ANCHORARRAY(E52),0))),I54&amp;"Por favor no seleccionar los criterios de impacto",J41)</f>
        <v>0</v>
      </c>
      <c r="L41" s="184"/>
      <c r="M41" s="196"/>
      <c r="N41" s="193"/>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7"/>
      <c r="B42" s="178"/>
      <c r="C42" s="178"/>
      <c r="D42" s="178"/>
      <c r="E42" s="190"/>
      <c r="F42" s="178"/>
      <c r="G42" s="181"/>
      <c r="H42" s="184"/>
      <c r="I42" s="196"/>
      <c r="J42" s="199"/>
      <c r="K42" s="196">
        <f t="shared" ca="1" si="39"/>
        <v>0</v>
      </c>
      <c r="L42" s="184"/>
      <c r="M42" s="196"/>
      <c r="N42" s="193"/>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7"/>
      <c r="B43" s="178"/>
      <c r="C43" s="178"/>
      <c r="D43" s="178"/>
      <c r="E43" s="190"/>
      <c r="F43" s="178"/>
      <c r="G43" s="181"/>
      <c r="H43" s="184"/>
      <c r="I43" s="196"/>
      <c r="J43" s="199"/>
      <c r="K43" s="196">
        <f t="shared" ca="1" si="39"/>
        <v>0</v>
      </c>
      <c r="L43" s="184"/>
      <c r="M43" s="196"/>
      <c r="N43" s="193"/>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7"/>
      <c r="B44" s="178"/>
      <c r="C44" s="178"/>
      <c r="D44" s="178"/>
      <c r="E44" s="190"/>
      <c r="F44" s="178"/>
      <c r="G44" s="181"/>
      <c r="H44" s="184"/>
      <c r="I44" s="196"/>
      <c r="J44" s="199"/>
      <c r="K44" s="196">
        <f t="shared" ca="1" si="39"/>
        <v>0</v>
      </c>
      <c r="L44" s="184"/>
      <c r="M44" s="196"/>
      <c r="N44" s="193"/>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8"/>
      <c r="B45" s="179"/>
      <c r="C45" s="179"/>
      <c r="D45" s="179"/>
      <c r="E45" s="191"/>
      <c r="F45" s="179"/>
      <c r="G45" s="182"/>
      <c r="H45" s="185"/>
      <c r="I45" s="197"/>
      <c r="J45" s="200"/>
      <c r="K45" s="197">
        <f t="shared" ca="1" si="39"/>
        <v>0</v>
      </c>
      <c r="L45" s="185"/>
      <c r="M45" s="197"/>
      <c r="N45" s="194"/>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6">
        <v>7</v>
      </c>
      <c r="B46" s="177" t="s">
        <v>134</v>
      </c>
      <c r="C46" s="177" t="s">
        <v>268</v>
      </c>
      <c r="D46" s="177" t="s">
        <v>269</v>
      </c>
      <c r="E46" s="189" t="s">
        <v>280</v>
      </c>
      <c r="F46" s="177" t="s">
        <v>123</v>
      </c>
      <c r="G46" s="180">
        <v>600</v>
      </c>
      <c r="H46" s="183" t="str">
        <f>IF(G46&lt;=0,"",IF(G46&lt;=2,"Muy Baja",IF(G46&lt;=24,"Baja",IF(G46&lt;=500,"Media",IF(G46&lt;=5000,"Alta","Muy Alta")))))</f>
        <v>Alta</v>
      </c>
      <c r="I46" s="195">
        <f>IF(H46="","",IF(H46="Muy Baja",0.2,IF(H46="Baja",0.4,IF(H46="Media",0.6,IF(H46="Alta",0.8,IF(H46="Muy Alta",1,))))))</f>
        <v>0.8</v>
      </c>
      <c r="J46" s="198" t="s">
        <v>152</v>
      </c>
      <c r="K46" s="195" t="str">
        <f>IF(NOT(ISERROR(MATCH(J46,'Tabla Impacto'!$B$221:$B$223,0))),'Tabla Impacto'!$F$223&amp;"Por favor no seleccionar los criterios de impacto(Afectación Económica o presupuestal y Pérdida Reputacional)",J46)</f>
        <v xml:space="preserve">     Mayor a 500 SMLMV </v>
      </c>
      <c r="L46" s="183" t="str">
        <f>IF(OR(K46='Tabla Impacto'!$C$11,K46='Tabla Impacto'!$D$11),"Leve",IF(OR(K46='Tabla Impacto'!$C$12,K46='Tabla Impacto'!$D$12),"Menor",IF(OR(K46='Tabla Impacto'!$C$13,K46='Tabla Impacto'!$D$13),"Moderado",IF(OR(K46='Tabla Impacto'!$C$14,K46='Tabla Impacto'!$D$14),"Mayor",IF(OR(K46='Tabla Impacto'!$C$15,K46='Tabla Impacto'!$D$15),"Catastrófico","")))))</f>
        <v>Catastrófico</v>
      </c>
      <c r="M46" s="195">
        <f>IF(L46="","",IF(L46="Leve",0.2,IF(L46="Menor",0.4,IF(L46="Moderado",0.6,IF(L46="Mayor",0.8,IF(L46="Catastrófico",1,))))))</f>
        <v>1</v>
      </c>
      <c r="N46" s="192"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Extremo</v>
      </c>
      <c r="O46" s="123">
        <v>1</v>
      </c>
      <c r="P46" s="124" t="s">
        <v>290</v>
      </c>
      <c r="Q46" s="125" t="str">
        <f>IF(OR(R46="Preventivo",R46="Detectivo"),"Probabilidad",IF(R46="Correctivo","Impacto",""))</f>
        <v>Probabilidad</v>
      </c>
      <c r="R46" s="126" t="s">
        <v>14</v>
      </c>
      <c r="S46" s="126" t="s">
        <v>9</v>
      </c>
      <c r="T46" s="127" t="str">
        <f>IF(AND(R46="Preventivo",S46="Automático"),"50%",IF(AND(R46="Preventivo",S46="Manual"),"40%",IF(AND(R46="Detectivo",S46="Automático"),"40%",IF(AND(R46="Detectivo",S46="Manual"),"30%",IF(AND(R46="Correctivo",S46="Automático"),"35%",IF(AND(R46="Correctivo",S46="Manual"),"25%",""))))))</f>
        <v>40%</v>
      </c>
      <c r="U46" s="126" t="s">
        <v>19</v>
      </c>
      <c r="V46" s="126" t="s">
        <v>22</v>
      </c>
      <c r="W46" s="126" t="s">
        <v>119</v>
      </c>
      <c r="X46" s="128">
        <f>IFERROR(IF(Q46="Probabilidad",(I46-(+I46*T46)),IF(Q46="Impacto",I46,"")),"")</f>
        <v>0.48</v>
      </c>
      <c r="Y46" s="129" t="str">
        <f>IFERROR(IF(X46="","",IF(X46&lt;=0.2,"Muy Baja",IF(X46&lt;=0.4,"Baja",IF(X46&lt;=0.6,"Media",IF(X46&lt;=0.8,"Alta","Muy Alta"))))),"")</f>
        <v>Media</v>
      </c>
      <c r="Z46" s="130">
        <f>+X46</f>
        <v>0.48</v>
      </c>
      <c r="AA46" s="129" t="str">
        <f>IFERROR(IF(AB46="","",IF(AB46&lt;=0.2,"Leve",IF(AB46&lt;=0.4,"Menor",IF(AB46&lt;=0.6,"Moderado",IF(AB46&lt;=0.8,"Mayor","Catastrófico"))))),"")</f>
        <v>Catastrófico</v>
      </c>
      <c r="AB46" s="130">
        <f>IFERROR(IF(Q46="Impacto",(M46-(+M46*T46)),IF(Q46="Probabilidad",M46,"")),"")</f>
        <v>1</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Extremo</v>
      </c>
      <c r="AD46" s="132" t="s">
        <v>136</v>
      </c>
      <c r="AE46" s="133" t="s">
        <v>282</v>
      </c>
      <c r="AF46" s="134" t="s">
        <v>260</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7"/>
      <c r="B47" s="178"/>
      <c r="C47" s="178"/>
      <c r="D47" s="178"/>
      <c r="E47" s="190"/>
      <c r="F47" s="178"/>
      <c r="G47" s="181"/>
      <c r="H47" s="184"/>
      <c r="I47" s="196"/>
      <c r="J47" s="199"/>
      <c r="K47" s="196">
        <f t="shared" ref="K47:K51" si="47">IF(NOT(ISERROR(MATCH(J47,_xlfn.ANCHORARRAY(E58),0))),I60&amp;"Por favor no seleccionar los criterios de impacto",J47)</f>
        <v>0</v>
      </c>
      <c r="L47" s="184"/>
      <c r="M47" s="196"/>
      <c r="N47" s="193"/>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7"/>
      <c r="B48" s="178"/>
      <c r="C48" s="178"/>
      <c r="D48" s="178"/>
      <c r="E48" s="190"/>
      <c r="F48" s="178"/>
      <c r="G48" s="181"/>
      <c r="H48" s="184"/>
      <c r="I48" s="196"/>
      <c r="J48" s="199"/>
      <c r="K48" s="196">
        <f t="shared" si="47"/>
        <v>0</v>
      </c>
      <c r="L48" s="184"/>
      <c r="M48" s="196"/>
      <c r="N48" s="193"/>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7"/>
      <c r="B49" s="178"/>
      <c r="C49" s="178"/>
      <c r="D49" s="178"/>
      <c r="E49" s="190"/>
      <c r="F49" s="178"/>
      <c r="G49" s="181"/>
      <c r="H49" s="184"/>
      <c r="I49" s="196"/>
      <c r="J49" s="199"/>
      <c r="K49" s="196">
        <f t="shared" si="47"/>
        <v>0</v>
      </c>
      <c r="L49" s="184"/>
      <c r="M49" s="196"/>
      <c r="N49" s="193"/>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7"/>
      <c r="B50" s="178"/>
      <c r="C50" s="178"/>
      <c r="D50" s="178"/>
      <c r="E50" s="190"/>
      <c r="F50" s="178"/>
      <c r="G50" s="181"/>
      <c r="H50" s="184"/>
      <c r="I50" s="196"/>
      <c r="J50" s="199"/>
      <c r="K50" s="196">
        <f t="shared" si="47"/>
        <v>0</v>
      </c>
      <c r="L50" s="184"/>
      <c r="M50" s="196"/>
      <c r="N50" s="193"/>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8"/>
      <c r="B51" s="179"/>
      <c r="C51" s="179"/>
      <c r="D51" s="179"/>
      <c r="E51" s="191"/>
      <c r="F51" s="179"/>
      <c r="G51" s="182"/>
      <c r="H51" s="185"/>
      <c r="I51" s="197"/>
      <c r="J51" s="200"/>
      <c r="K51" s="197">
        <f t="shared" si="47"/>
        <v>0</v>
      </c>
      <c r="L51" s="185"/>
      <c r="M51" s="197"/>
      <c r="N51" s="194"/>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6">
        <v>8</v>
      </c>
      <c r="B52" s="177"/>
      <c r="C52" s="177" t="s">
        <v>265</v>
      </c>
      <c r="D52" s="177" t="s">
        <v>265</v>
      </c>
      <c r="E52" s="189"/>
      <c r="F52" s="177"/>
      <c r="G52" s="180"/>
      <c r="H52" s="183" t="str">
        <f>IF(G52&lt;=0,"",IF(G52&lt;=2,"Muy Baja",IF(G52&lt;=24,"Baja",IF(G52&lt;=500,"Media",IF(G52&lt;=5000,"Alta","Muy Alta")))))</f>
        <v/>
      </c>
      <c r="I52" s="195" t="str">
        <f>IF(H52="","",IF(H52="Muy Baja",0.2,IF(H52="Baja",0.4,IF(H52="Media",0.6,IF(H52="Alta",0.8,IF(H52="Muy Alta",1,))))))</f>
        <v/>
      </c>
      <c r="J52" s="198"/>
      <c r="K52" s="195">
        <f>IF(NOT(ISERROR(MATCH(J52,'Tabla Impacto'!$B$221:$B$223,0))),'Tabla Impacto'!$F$223&amp;"Por favor no seleccionar los criterios de impacto(Afectación Económica o presupuestal y Pérdida Reputacional)",J52)</f>
        <v>0</v>
      </c>
      <c r="L52" s="183" t="str">
        <f>IF(OR(K52='Tabla Impacto'!$C$11,K52='Tabla Impacto'!$D$11),"Leve",IF(OR(K52='Tabla Impacto'!$C$12,K52='Tabla Impacto'!$D$12),"Menor",IF(OR(K52='Tabla Impacto'!$C$13,K52='Tabla Impacto'!$D$13),"Moderado",IF(OR(K52='Tabla Impacto'!$C$14,K52='Tabla Impacto'!$D$14),"Mayor",IF(OR(K52='Tabla Impacto'!$C$15,K52='Tabla Impacto'!$D$15),"Catastrófico","")))))</f>
        <v/>
      </c>
      <c r="M52" s="195" t="str">
        <f>IF(L52="","",IF(L52="Leve",0.2,IF(L52="Menor",0.4,IF(L52="Moderado",0.6,IF(L52="Mayor",0.8,IF(L52="Catastrófico",1,))))))</f>
        <v/>
      </c>
      <c r="N52" s="192"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7"/>
      <c r="B53" s="178"/>
      <c r="C53" s="178"/>
      <c r="D53" s="178"/>
      <c r="E53" s="190"/>
      <c r="F53" s="178"/>
      <c r="G53" s="181"/>
      <c r="H53" s="184"/>
      <c r="I53" s="196"/>
      <c r="J53" s="199"/>
      <c r="K53" s="196">
        <f>IF(NOT(ISERROR(MATCH(J53,_xlfn.ANCHORARRAY(E64),0))),I66&amp;"Por favor no seleccionar los criterios de impacto",J53)</f>
        <v>0</v>
      </c>
      <c r="L53" s="184"/>
      <c r="M53" s="196"/>
      <c r="N53" s="193"/>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7"/>
      <c r="B54" s="178"/>
      <c r="C54" s="178"/>
      <c r="D54" s="178"/>
      <c r="E54" s="190"/>
      <c r="F54" s="178"/>
      <c r="G54" s="181"/>
      <c r="H54" s="184"/>
      <c r="I54" s="196"/>
      <c r="J54" s="199"/>
      <c r="K54" s="196">
        <f>IF(NOT(ISERROR(MATCH(J54,_xlfn.ANCHORARRAY(E65),0))),I67&amp;"Por favor no seleccionar los criterios de impacto",J54)</f>
        <v>0</v>
      </c>
      <c r="L54" s="184"/>
      <c r="M54" s="196"/>
      <c r="N54" s="193"/>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7"/>
      <c r="B55" s="178"/>
      <c r="C55" s="178"/>
      <c r="D55" s="178"/>
      <c r="E55" s="190"/>
      <c r="F55" s="178"/>
      <c r="G55" s="181"/>
      <c r="H55" s="184"/>
      <c r="I55" s="196"/>
      <c r="J55" s="199"/>
      <c r="K55" s="196">
        <f>IF(NOT(ISERROR(MATCH(J55,_xlfn.ANCHORARRAY(E66),0))),I68&amp;"Por favor no seleccionar los criterios de impacto",J55)</f>
        <v>0</v>
      </c>
      <c r="L55" s="184"/>
      <c r="M55" s="196"/>
      <c r="N55" s="193"/>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7"/>
      <c r="B56" s="178"/>
      <c r="C56" s="178"/>
      <c r="D56" s="178"/>
      <c r="E56" s="190"/>
      <c r="F56" s="178"/>
      <c r="G56" s="181"/>
      <c r="H56" s="184"/>
      <c r="I56" s="196"/>
      <c r="J56" s="199"/>
      <c r="K56" s="196">
        <f>IF(NOT(ISERROR(MATCH(J56,_xlfn.ANCHORARRAY(E67),0))),I69&amp;"Por favor no seleccionar los criterios de impacto",J56)</f>
        <v>0</v>
      </c>
      <c r="L56" s="184"/>
      <c r="M56" s="196"/>
      <c r="N56" s="193"/>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8"/>
      <c r="B57" s="179"/>
      <c r="C57" s="179"/>
      <c r="D57" s="179"/>
      <c r="E57" s="191"/>
      <c r="F57" s="179"/>
      <c r="G57" s="182"/>
      <c r="H57" s="185"/>
      <c r="I57" s="197"/>
      <c r="J57" s="200"/>
      <c r="K57" s="197">
        <f>IF(NOT(ISERROR(MATCH(J57,_xlfn.ANCHORARRAY(E68),0))),I70&amp;"Por favor no seleccionar los criterios de impacto",J57)</f>
        <v>0</v>
      </c>
      <c r="L57" s="185"/>
      <c r="M57" s="197"/>
      <c r="N57" s="194"/>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6">
        <v>9</v>
      </c>
      <c r="B58" s="177"/>
      <c r="C58" s="177"/>
      <c r="D58" s="177"/>
      <c r="E58" s="189"/>
      <c r="F58" s="177"/>
      <c r="G58" s="180"/>
      <c r="H58" s="183" t="str">
        <f>IF(G58&lt;=0,"",IF(G58&lt;=2,"Muy Baja",IF(G58&lt;=24,"Baja",IF(G58&lt;=500,"Media",IF(G58&lt;=5000,"Alta","Muy Alta")))))</f>
        <v/>
      </c>
      <c r="I58" s="195" t="str">
        <f>IF(H58="","",IF(H58="Muy Baja",0.2,IF(H58="Baja",0.4,IF(H58="Media",0.6,IF(H58="Alta",0.8,IF(H58="Muy Alta",1,))))))</f>
        <v/>
      </c>
      <c r="J58" s="198"/>
      <c r="K58" s="195">
        <f>IF(NOT(ISERROR(MATCH(J58,'Tabla Impacto'!$B$221:$B$223,0))),'Tabla Impacto'!$F$223&amp;"Por favor no seleccionar los criterios de impacto(Afectación Económica o presupuestal y Pérdida Reputacional)",J58)</f>
        <v>0</v>
      </c>
      <c r="L58" s="183" t="str">
        <f>IF(OR(K58='Tabla Impacto'!$C$11,K58='Tabla Impacto'!$D$11),"Leve",IF(OR(K58='Tabla Impacto'!$C$12,K58='Tabla Impacto'!$D$12),"Menor",IF(OR(K58='Tabla Impacto'!$C$13,K58='Tabla Impacto'!$D$13),"Moderado",IF(OR(K58='Tabla Impacto'!$C$14,K58='Tabla Impacto'!$D$14),"Mayor",IF(OR(K58='Tabla Impacto'!$C$15,K58='Tabla Impacto'!$D$15),"Catastrófico","")))))</f>
        <v/>
      </c>
      <c r="M58" s="195" t="str">
        <f>IF(L58="","",IF(L58="Leve",0.2,IF(L58="Menor",0.4,IF(L58="Moderado",0.6,IF(L58="Mayor",0.8,IF(L58="Catastrófico",1,))))))</f>
        <v/>
      </c>
      <c r="N58" s="192"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7"/>
      <c r="B59" s="178"/>
      <c r="C59" s="178"/>
      <c r="D59" s="178"/>
      <c r="E59" s="190"/>
      <c r="F59" s="178"/>
      <c r="G59" s="181"/>
      <c r="H59" s="184"/>
      <c r="I59" s="196"/>
      <c r="J59" s="199"/>
      <c r="K59" s="196">
        <f>IF(NOT(ISERROR(MATCH(J59,_xlfn.ANCHORARRAY(E70),0))),I72&amp;"Por favor no seleccionar los criterios de impacto",J59)</f>
        <v>0</v>
      </c>
      <c r="L59" s="184"/>
      <c r="M59" s="196"/>
      <c r="N59" s="193"/>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7"/>
      <c r="B60" s="178"/>
      <c r="C60" s="178"/>
      <c r="D60" s="178"/>
      <c r="E60" s="190"/>
      <c r="F60" s="178"/>
      <c r="G60" s="181"/>
      <c r="H60" s="184"/>
      <c r="I60" s="196"/>
      <c r="J60" s="199"/>
      <c r="K60" s="196">
        <f>IF(NOT(ISERROR(MATCH(J60,_xlfn.ANCHORARRAY(E71),0))),I73&amp;"Por favor no seleccionar los criterios de impacto",J60)</f>
        <v>0</v>
      </c>
      <c r="L60" s="184"/>
      <c r="M60" s="196"/>
      <c r="N60" s="193"/>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7"/>
      <c r="B61" s="178"/>
      <c r="C61" s="178"/>
      <c r="D61" s="178"/>
      <c r="E61" s="190"/>
      <c r="F61" s="178"/>
      <c r="G61" s="181"/>
      <c r="H61" s="184"/>
      <c r="I61" s="196"/>
      <c r="J61" s="199"/>
      <c r="K61" s="196">
        <f>IF(NOT(ISERROR(MATCH(J61,_xlfn.ANCHORARRAY(E72),0))),I74&amp;"Por favor no seleccionar los criterios de impacto",J61)</f>
        <v>0</v>
      </c>
      <c r="L61" s="184"/>
      <c r="M61" s="196"/>
      <c r="N61" s="193"/>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7"/>
      <c r="B62" s="178"/>
      <c r="C62" s="178"/>
      <c r="D62" s="178"/>
      <c r="E62" s="190"/>
      <c r="F62" s="178"/>
      <c r="G62" s="181"/>
      <c r="H62" s="184"/>
      <c r="I62" s="196"/>
      <c r="J62" s="199"/>
      <c r="K62" s="196">
        <f>IF(NOT(ISERROR(MATCH(J62,_xlfn.ANCHORARRAY(E73),0))),I75&amp;"Por favor no seleccionar los criterios de impacto",J62)</f>
        <v>0</v>
      </c>
      <c r="L62" s="184"/>
      <c r="M62" s="196"/>
      <c r="N62" s="193"/>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8"/>
      <c r="B63" s="179"/>
      <c r="C63" s="179"/>
      <c r="D63" s="179"/>
      <c r="E63" s="191"/>
      <c r="F63" s="179"/>
      <c r="G63" s="182"/>
      <c r="H63" s="185"/>
      <c r="I63" s="197"/>
      <c r="J63" s="200"/>
      <c r="K63" s="197">
        <f>IF(NOT(ISERROR(MATCH(J63,_xlfn.ANCHORARRAY(E74),0))),I76&amp;"Por favor no seleccionar los criterios de impacto",J63)</f>
        <v>0</v>
      </c>
      <c r="L63" s="185"/>
      <c r="M63" s="197"/>
      <c r="N63" s="194"/>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6">
        <v>10</v>
      </c>
      <c r="B64" s="177"/>
      <c r="C64" s="177"/>
      <c r="D64" s="177"/>
      <c r="E64" s="189"/>
      <c r="F64" s="177"/>
      <c r="G64" s="180"/>
      <c r="H64" s="183" t="str">
        <f>IF(G64&lt;=0,"",IF(G64&lt;=2,"Muy Baja",IF(G64&lt;=24,"Baja",IF(G64&lt;=500,"Media",IF(G64&lt;=5000,"Alta","Muy Alta")))))</f>
        <v/>
      </c>
      <c r="I64" s="195" t="str">
        <f>IF(H64="","",IF(H64="Muy Baja",0.2,IF(H64="Baja",0.4,IF(H64="Media",0.6,IF(H64="Alta",0.8,IF(H64="Muy Alta",1,))))))</f>
        <v/>
      </c>
      <c r="J64" s="198"/>
      <c r="K64" s="195">
        <f>IF(NOT(ISERROR(MATCH(J64,'Tabla Impacto'!$B$221:$B$223,0))),'Tabla Impacto'!$F$223&amp;"Por favor no seleccionar los criterios de impacto(Afectación Económica o presupuestal y Pérdida Reputacional)",J64)</f>
        <v>0</v>
      </c>
      <c r="L64" s="183" t="str">
        <f>IF(OR(K64='Tabla Impacto'!$C$11,K64='Tabla Impacto'!$D$11),"Leve",IF(OR(K64='Tabla Impacto'!$C$12,K64='Tabla Impacto'!$D$12),"Menor",IF(OR(K64='Tabla Impacto'!$C$13,K64='Tabla Impacto'!$D$13),"Moderado",IF(OR(K64='Tabla Impacto'!$C$14,K64='Tabla Impacto'!$D$14),"Mayor",IF(OR(K64='Tabla Impacto'!$C$15,K64='Tabla Impacto'!$D$15),"Catastrófico","")))))</f>
        <v/>
      </c>
      <c r="M64" s="195" t="str">
        <f>IF(L64="","",IF(L64="Leve",0.2,IF(L64="Menor",0.4,IF(L64="Moderado",0.6,IF(L64="Mayor",0.8,IF(L64="Catastrófico",1,))))))</f>
        <v/>
      </c>
      <c r="N64" s="192"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7"/>
      <c r="B65" s="178"/>
      <c r="C65" s="178"/>
      <c r="D65" s="178"/>
      <c r="E65" s="190"/>
      <c r="F65" s="178"/>
      <c r="G65" s="181"/>
      <c r="H65" s="184"/>
      <c r="I65" s="196"/>
      <c r="J65" s="199"/>
      <c r="K65" s="196">
        <f>IF(NOT(ISERROR(MATCH(J65,_xlfn.ANCHORARRAY(E76),0))),I78&amp;"Por favor no seleccionar los criterios de impacto",J65)</f>
        <v>0</v>
      </c>
      <c r="L65" s="184"/>
      <c r="M65" s="196"/>
      <c r="N65" s="193"/>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7"/>
      <c r="B66" s="178"/>
      <c r="C66" s="178"/>
      <c r="D66" s="178"/>
      <c r="E66" s="190"/>
      <c r="F66" s="178"/>
      <c r="G66" s="181"/>
      <c r="H66" s="184"/>
      <c r="I66" s="196"/>
      <c r="J66" s="199"/>
      <c r="K66" s="196">
        <f>IF(NOT(ISERROR(MATCH(J66,_xlfn.ANCHORARRAY(E77),0))),I79&amp;"Por favor no seleccionar los criterios de impacto",J66)</f>
        <v>0</v>
      </c>
      <c r="L66" s="184"/>
      <c r="M66" s="196"/>
      <c r="N66" s="193"/>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187"/>
      <c r="B67" s="178"/>
      <c r="C67" s="178"/>
      <c r="D67" s="178"/>
      <c r="E67" s="190"/>
      <c r="F67" s="178"/>
      <c r="G67" s="181"/>
      <c r="H67" s="184"/>
      <c r="I67" s="196"/>
      <c r="J67" s="199"/>
      <c r="K67" s="196">
        <f>IF(NOT(ISERROR(MATCH(J67,_xlfn.ANCHORARRAY(E78),0))),I80&amp;"Por favor no seleccionar los criterios de impacto",J67)</f>
        <v>0</v>
      </c>
      <c r="L67" s="184"/>
      <c r="M67" s="196"/>
      <c r="N67" s="193"/>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7"/>
      <c r="B68" s="178"/>
      <c r="C68" s="178"/>
      <c r="D68" s="178"/>
      <c r="E68" s="190"/>
      <c r="F68" s="178"/>
      <c r="G68" s="181"/>
      <c r="H68" s="184"/>
      <c r="I68" s="196"/>
      <c r="J68" s="199"/>
      <c r="K68" s="196">
        <f>IF(NOT(ISERROR(MATCH(J68,_xlfn.ANCHORARRAY(E79),0))),I81&amp;"Por favor no seleccionar los criterios de impacto",J68)</f>
        <v>0</v>
      </c>
      <c r="L68" s="184"/>
      <c r="M68" s="196"/>
      <c r="N68" s="193"/>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8"/>
      <c r="B69" s="179"/>
      <c r="C69" s="179"/>
      <c r="D69" s="179"/>
      <c r="E69" s="191"/>
      <c r="F69" s="179"/>
      <c r="G69" s="182"/>
      <c r="H69" s="185"/>
      <c r="I69" s="197"/>
      <c r="J69" s="200"/>
      <c r="K69" s="197">
        <f>IF(NOT(ISERROR(MATCH(J69,_xlfn.ANCHORARRAY(E80),0))),I82&amp;"Por favor no seleccionar los criterios de impacto",J69)</f>
        <v>0</v>
      </c>
      <c r="L69" s="185"/>
      <c r="M69" s="197"/>
      <c r="N69" s="194"/>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233" t="s">
        <v>131</v>
      </c>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5"/>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6" t="s">
        <v>161</v>
      </c>
      <c r="C2" s="236"/>
      <c r="D2" s="236"/>
      <c r="E2" s="236"/>
      <c r="F2" s="236"/>
      <c r="G2" s="236"/>
      <c r="H2" s="236"/>
      <c r="I2" s="236"/>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6"/>
      <c r="C3" s="236"/>
      <c r="D3" s="236"/>
      <c r="E3" s="236"/>
      <c r="F3" s="236"/>
      <c r="G3" s="236"/>
      <c r="H3" s="236"/>
      <c r="I3" s="236"/>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6"/>
      <c r="C4" s="236"/>
      <c r="D4" s="236"/>
      <c r="E4" s="236"/>
      <c r="F4" s="236"/>
      <c r="G4" s="236"/>
      <c r="H4" s="236"/>
      <c r="I4" s="236"/>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4" t="s">
        <v>4</v>
      </c>
      <c r="C6" s="284"/>
      <c r="D6" s="285"/>
      <c r="E6" s="274" t="s">
        <v>116</v>
      </c>
      <c r="F6" s="275"/>
      <c r="G6" s="275"/>
      <c r="H6" s="275"/>
      <c r="I6" s="276"/>
      <c r="J6" s="270" t="str">
        <f>IF(AND('Mapa final'!$H$10="Muy Alta",'Mapa final'!$L$10="Leve"),CONCATENATE("R",'Mapa final'!$A$10),"")</f>
        <v/>
      </c>
      <c r="K6" s="271"/>
      <c r="L6" s="271" t="str">
        <f>IF(AND('Mapa final'!$H$16="Muy Alta",'Mapa final'!$L$16="Leve"),CONCATENATE("R",'Mapa final'!$A$16),"")</f>
        <v/>
      </c>
      <c r="M6" s="271"/>
      <c r="N6" s="271" t="str">
        <f>IF(AND('Mapa final'!$H$22="Muy Alta",'Mapa final'!$L$22="Leve"),CONCATENATE("R",'Mapa final'!$A$22),"")</f>
        <v/>
      </c>
      <c r="O6" s="272"/>
      <c r="P6" s="270" t="str">
        <f>IF(AND('Mapa final'!$H$10="Muy Alta",'Mapa final'!$L$10="Menor"),CONCATENATE("R",'Mapa final'!$A$10),"")</f>
        <v/>
      </c>
      <c r="Q6" s="271"/>
      <c r="R6" s="271" t="str">
        <f>IF(AND('Mapa final'!$H$16="Muy Alta",'Mapa final'!$L$16="Menor"),CONCATENATE("R",'Mapa final'!$A$16),"")</f>
        <v/>
      </c>
      <c r="S6" s="271"/>
      <c r="T6" s="271" t="str">
        <f>IF(AND('Mapa final'!$H$22="Muy Alta",'Mapa final'!$L$22="Menor"),CONCATENATE("R",'Mapa final'!$A$22),"")</f>
        <v/>
      </c>
      <c r="U6" s="272"/>
      <c r="V6" s="270" t="str">
        <f>IF(AND('Mapa final'!$H$10="Muy Alta",'Mapa final'!$L$10="Moderado"),CONCATENATE("R",'Mapa final'!$A$10),"")</f>
        <v/>
      </c>
      <c r="W6" s="271"/>
      <c r="X6" s="271" t="str">
        <f>IF(AND('Mapa final'!$H$16="Muy Alta",'Mapa final'!$L$16="Moderado"),CONCATENATE("R",'Mapa final'!$A$16),"")</f>
        <v/>
      </c>
      <c r="Y6" s="271"/>
      <c r="Z6" s="271" t="str">
        <f>IF(AND('Mapa final'!$H$22="Muy Alta",'Mapa final'!$L$22="Moderado"),CONCATENATE("R",'Mapa final'!$A$22),"")</f>
        <v/>
      </c>
      <c r="AA6" s="272"/>
      <c r="AB6" s="270" t="str">
        <f>IF(AND('Mapa final'!$H$10="Muy Alta",'Mapa final'!$L$10="Mayor"),CONCATENATE("R",'Mapa final'!$A$10),"")</f>
        <v/>
      </c>
      <c r="AC6" s="271"/>
      <c r="AD6" s="271" t="str">
        <f>IF(AND('Mapa final'!$H$16="Muy Alta",'Mapa final'!$L$16="Mayor"),CONCATENATE("R",'Mapa final'!$A$16),"")</f>
        <v/>
      </c>
      <c r="AE6" s="271"/>
      <c r="AF6" s="271" t="str">
        <f>IF(AND('Mapa final'!$H$22="Muy Alta",'Mapa final'!$L$22="Mayor"),CONCATENATE("R",'Mapa final'!$A$22),"")</f>
        <v/>
      </c>
      <c r="AG6" s="272"/>
      <c r="AH6" s="261" t="str">
        <f>IF(AND('Mapa final'!$H$10="Muy Alta",'Mapa final'!$L$10="Catastrófico"),CONCATENATE("R",'Mapa final'!$A$10),"")</f>
        <v/>
      </c>
      <c r="AI6" s="262"/>
      <c r="AJ6" s="262" t="str">
        <f>IF(AND('Mapa final'!$H$16="Muy Alta",'Mapa final'!$L$16="Catastrófico"),CONCATENATE("R",'Mapa final'!$A$16),"")</f>
        <v/>
      </c>
      <c r="AK6" s="262"/>
      <c r="AL6" s="262" t="str">
        <f>IF(AND('Mapa final'!$H$22="Muy Alta",'Mapa final'!$L$22="Catastrófico"),CONCATENATE("R",'Mapa final'!$A$22),"")</f>
        <v/>
      </c>
      <c r="AM6" s="263"/>
      <c r="AO6" s="286" t="s">
        <v>79</v>
      </c>
      <c r="AP6" s="287"/>
      <c r="AQ6" s="287"/>
      <c r="AR6" s="287"/>
      <c r="AS6" s="287"/>
      <c r="AT6" s="28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4"/>
      <c r="C7" s="284"/>
      <c r="D7" s="285"/>
      <c r="E7" s="277"/>
      <c r="F7" s="278"/>
      <c r="G7" s="278"/>
      <c r="H7" s="278"/>
      <c r="I7" s="279"/>
      <c r="J7" s="264"/>
      <c r="K7" s="265"/>
      <c r="L7" s="265"/>
      <c r="M7" s="265"/>
      <c r="N7" s="265"/>
      <c r="O7" s="266"/>
      <c r="P7" s="264"/>
      <c r="Q7" s="265"/>
      <c r="R7" s="265"/>
      <c r="S7" s="265"/>
      <c r="T7" s="265"/>
      <c r="U7" s="266"/>
      <c r="V7" s="264"/>
      <c r="W7" s="265"/>
      <c r="X7" s="265"/>
      <c r="Y7" s="265"/>
      <c r="Z7" s="265"/>
      <c r="AA7" s="266"/>
      <c r="AB7" s="264"/>
      <c r="AC7" s="265"/>
      <c r="AD7" s="265"/>
      <c r="AE7" s="265"/>
      <c r="AF7" s="265"/>
      <c r="AG7" s="266"/>
      <c r="AH7" s="255"/>
      <c r="AI7" s="256"/>
      <c r="AJ7" s="256"/>
      <c r="AK7" s="256"/>
      <c r="AL7" s="256"/>
      <c r="AM7" s="257"/>
      <c r="AN7" s="83"/>
      <c r="AO7" s="289"/>
      <c r="AP7" s="290"/>
      <c r="AQ7" s="290"/>
      <c r="AR7" s="290"/>
      <c r="AS7" s="290"/>
      <c r="AT7" s="29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4"/>
      <c r="C8" s="284"/>
      <c r="D8" s="285"/>
      <c r="E8" s="277"/>
      <c r="F8" s="278"/>
      <c r="G8" s="278"/>
      <c r="H8" s="278"/>
      <c r="I8" s="279"/>
      <c r="J8" s="264" t="str">
        <f>IF(AND('Mapa final'!$H$28="Muy Alta",'Mapa final'!$L$28="Leve"),CONCATENATE("R",'Mapa final'!$A$28),"")</f>
        <v/>
      </c>
      <c r="K8" s="265"/>
      <c r="L8" s="265" t="str">
        <f>IF(AND('Mapa final'!$H$34="Muy Alta",'Mapa final'!$L$34="Leve"),CONCATENATE("R",'Mapa final'!$A$34),"")</f>
        <v/>
      </c>
      <c r="M8" s="265"/>
      <c r="N8" s="265" t="str">
        <f>IF(AND('Mapa final'!$H$40="Muy Alta",'Mapa final'!$L$40="Leve"),CONCATENATE("R",'Mapa final'!$A$40),"")</f>
        <v/>
      </c>
      <c r="O8" s="266"/>
      <c r="P8" s="264" t="str">
        <f>IF(AND('Mapa final'!$H$28="Muy Alta",'Mapa final'!$L$28="Menor"),CONCATENATE("R",'Mapa final'!$A$28),"")</f>
        <v/>
      </c>
      <c r="Q8" s="265"/>
      <c r="R8" s="265" t="str">
        <f>IF(AND('Mapa final'!$H$34="Muy Alta",'Mapa final'!$L$34="Menor"),CONCATENATE("R",'Mapa final'!$A$34),"")</f>
        <v/>
      </c>
      <c r="S8" s="265"/>
      <c r="T8" s="265" t="str">
        <f>IF(AND('Mapa final'!$H$40="Muy Alta",'Mapa final'!$L$40="Menor"),CONCATENATE("R",'Mapa final'!$A$40),"")</f>
        <v/>
      </c>
      <c r="U8" s="266"/>
      <c r="V8" s="264" t="str">
        <f>IF(AND('Mapa final'!$H$28="Muy Alta",'Mapa final'!$L$28="Moderado"),CONCATENATE("R",'Mapa final'!$A$28),"")</f>
        <v/>
      </c>
      <c r="W8" s="265"/>
      <c r="X8" s="265" t="str">
        <f>IF(AND('Mapa final'!$H$34="Muy Alta",'Mapa final'!$L$34="Moderado"),CONCATENATE("R",'Mapa final'!$A$34),"")</f>
        <v/>
      </c>
      <c r="Y8" s="265"/>
      <c r="Z8" s="265" t="str">
        <f>IF(AND('Mapa final'!$H$40="Muy Alta",'Mapa final'!$L$40="Moderado"),CONCATENATE("R",'Mapa final'!$A$40),"")</f>
        <v/>
      </c>
      <c r="AA8" s="266"/>
      <c r="AB8" s="264" t="str">
        <f>IF(AND('Mapa final'!$H$28="Muy Alta",'Mapa final'!$L$28="Mayor"),CONCATENATE("R",'Mapa final'!$A$28),"")</f>
        <v/>
      </c>
      <c r="AC8" s="265"/>
      <c r="AD8" s="265" t="str">
        <f>IF(AND('Mapa final'!$H$34="Muy Alta",'Mapa final'!$L$34="Mayor"),CONCATENATE("R",'Mapa final'!$A$34),"")</f>
        <v/>
      </c>
      <c r="AE8" s="265"/>
      <c r="AF8" s="265" t="str">
        <f>IF(AND('Mapa final'!$H$40="Muy Alta",'Mapa final'!$L$40="Mayor"),CONCATENATE("R",'Mapa final'!$A$40),"")</f>
        <v/>
      </c>
      <c r="AG8" s="266"/>
      <c r="AH8" s="255" t="str">
        <f>IF(AND('Mapa final'!$H$28="Muy Alta",'Mapa final'!$L$28="Catastrófico"),CONCATENATE("R",'Mapa final'!$A$28),"")</f>
        <v/>
      </c>
      <c r="AI8" s="256"/>
      <c r="AJ8" s="256" t="str">
        <f>IF(AND('Mapa final'!$H$34="Muy Alta",'Mapa final'!$L$34="Catastrófico"),CONCATENATE("R",'Mapa final'!$A$34),"")</f>
        <v/>
      </c>
      <c r="AK8" s="256"/>
      <c r="AL8" s="256" t="str">
        <f>IF(AND('Mapa final'!$H$40="Muy Alta",'Mapa final'!$L$40="Catastrófico"),CONCATENATE("R",'Mapa final'!$A$40),"")</f>
        <v/>
      </c>
      <c r="AM8" s="257"/>
      <c r="AN8" s="83"/>
      <c r="AO8" s="289"/>
      <c r="AP8" s="290"/>
      <c r="AQ8" s="290"/>
      <c r="AR8" s="290"/>
      <c r="AS8" s="290"/>
      <c r="AT8" s="29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4"/>
      <c r="C9" s="284"/>
      <c r="D9" s="285"/>
      <c r="E9" s="277"/>
      <c r="F9" s="278"/>
      <c r="G9" s="278"/>
      <c r="H9" s="278"/>
      <c r="I9" s="279"/>
      <c r="J9" s="264"/>
      <c r="K9" s="265"/>
      <c r="L9" s="265"/>
      <c r="M9" s="265"/>
      <c r="N9" s="265"/>
      <c r="O9" s="266"/>
      <c r="P9" s="264"/>
      <c r="Q9" s="265"/>
      <c r="R9" s="265"/>
      <c r="S9" s="265"/>
      <c r="T9" s="265"/>
      <c r="U9" s="266"/>
      <c r="V9" s="264"/>
      <c r="W9" s="265"/>
      <c r="X9" s="265"/>
      <c r="Y9" s="265"/>
      <c r="Z9" s="265"/>
      <c r="AA9" s="266"/>
      <c r="AB9" s="264"/>
      <c r="AC9" s="265"/>
      <c r="AD9" s="265"/>
      <c r="AE9" s="265"/>
      <c r="AF9" s="265"/>
      <c r="AG9" s="266"/>
      <c r="AH9" s="255"/>
      <c r="AI9" s="256"/>
      <c r="AJ9" s="256"/>
      <c r="AK9" s="256"/>
      <c r="AL9" s="256"/>
      <c r="AM9" s="257"/>
      <c r="AN9" s="83"/>
      <c r="AO9" s="289"/>
      <c r="AP9" s="290"/>
      <c r="AQ9" s="290"/>
      <c r="AR9" s="290"/>
      <c r="AS9" s="290"/>
      <c r="AT9" s="29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4"/>
      <c r="C10" s="284"/>
      <c r="D10" s="285"/>
      <c r="E10" s="277"/>
      <c r="F10" s="278"/>
      <c r="G10" s="278"/>
      <c r="H10" s="278"/>
      <c r="I10" s="279"/>
      <c r="J10" s="264" t="str">
        <f>IF(AND('Mapa final'!$H$46="Muy Alta",'Mapa final'!$L$46="Leve"),CONCATENATE("R",'Mapa final'!$A$46),"")</f>
        <v/>
      </c>
      <c r="K10" s="265"/>
      <c r="L10" s="265" t="str">
        <f>IF(AND('Mapa final'!$H$52="Muy Alta",'Mapa final'!$L$52="Leve"),CONCATENATE("R",'Mapa final'!$A$52),"")</f>
        <v/>
      </c>
      <c r="M10" s="265"/>
      <c r="N10" s="265" t="str">
        <f>IF(AND('Mapa final'!$H$58="Muy Alta",'Mapa final'!$L$58="Leve"),CONCATENATE("R",'Mapa final'!$A$58),"")</f>
        <v/>
      </c>
      <c r="O10" s="266"/>
      <c r="P10" s="264" t="str">
        <f>IF(AND('Mapa final'!$H$46="Muy Alta",'Mapa final'!$L$46="Menor"),CONCATENATE("R",'Mapa final'!$A$46),"")</f>
        <v/>
      </c>
      <c r="Q10" s="265"/>
      <c r="R10" s="265" t="str">
        <f>IF(AND('Mapa final'!$H$52="Muy Alta",'Mapa final'!$L$52="Menor"),CONCATENATE("R",'Mapa final'!$A$52),"")</f>
        <v/>
      </c>
      <c r="S10" s="265"/>
      <c r="T10" s="265" t="str">
        <f>IF(AND('Mapa final'!$H$58="Muy Alta",'Mapa final'!$L$58="Menor"),CONCATENATE("R",'Mapa final'!$A$58),"")</f>
        <v/>
      </c>
      <c r="U10" s="266"/>
      <c r="V10" s="264" t="str">
        <f>IF(AND('Mapa final'!$H$46="Muy Alta",'Mapa final'!$L$46="Moderado"),CONCATENATE("R",'Mapa final'!$A$46),"")</f>
        <v/>
      </c>
      <c r="W10" s="265"/>
      <c r="X10" s="265" t="str">
        <f>IF(AND('Mapa final'!$H$52="Muy Alta",'Mapa final'!$L$52="Moderado"),CONCATENATE("R",'Mapa final'!$A$52),"")</f>
        <v/>
      </c>
      <c r="Y10" s="265"/>
      <c r="Z10" s="265" t="str">
        <f>IF(AND('Mapa final'!$H$58="Muy Alta",'Mapa final'!$L$58="Moderado"),CONCATENATE("R",'Mapa final'!$A$58),"")</f>
        <v/>
      </c>
      <c r="AA10" s="266"/>
      <c r="AB10" s="264" t="str">
        <f>IF(AND('Mapa final'!$H$46="Muy Alta",'Mapa final'!$L$46="Mayor"),CONCATENATE("R",'Mapa final'!$A$46),"")</f>
        <v/>
      </c>
      <c r="AC10" s="265"/>
      <c r="AD10" s="265" t="str">
        <f>IF(AND('Mapa final'!$H$52="Muy Alta",'Mapa final'!$L$52="Mayor"),CONCATENATE("R",'Mapa final'!$A$52),"")</f>
        <v/>
      </c>
      <c r="AE10" s="265"/>
      <c r="AF10" s="265" t="str">
        <f>IF(AND('Mapa final'!$H$58="Muy Alta",'Mapa final'!$L$58="Mayor"),CONCATENATE("R",'Mapa final'!$A$58),"")</f>
        <v/>
      </c>
      <c r="AG10" s="266"/>
      <c r="AH10" s="255" t="str">
        <f>IF(AND('Mapa final'!$H$46="Muy Alta",'Mapa final'!$L$46="Catastrófico"),CONCATENATE("R",'Mapa final'!$A$46),"")</f>
        <v/>
      </c>
      <c r="AI10" s="256"/>
      <c r="AJ10" s="256" t="str">
        <f>IF(AND('Mapa final'!$H$52="Muy Alta",'Mapa final'!$L$52="Catastrófico"),CONCATENATE("R",'Mapa final'!$A$52),"")</f>
        <v/>
      </c>
      <c r="AK10" s="256"/>
      <c r="AL10" s="256" t="str">
        <f>IF(AND('Mapa final'!$H$58="Muy Alta",'Mapa final'!$L$58="Catastrófico"),CONCATENATE("R",'Mapa final'!$A$58),"")</f>
        <v/>
      </c>
      <c r="AM10" s="257"/>
      <c r="AN10" s="83"/>
      <c r="AO10" s="289"/>
      <c r="AP10" s="290"/>
      <c r="AQ10" s="290"/>
      <c r="AR10" s="290"/>
      <c r="AS10" s="290"/>
      <c r="AT10" s="29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4"/>
      <c r="C11" s="284"/>
      <c r="D11" s="285"/>
      <c r="E11" s="277"/>
      <c r="F11" s="278"/>
      <c r="G11" s="278"/>
      <c r="H11" s="278"/>
      <c r="I11" s="279"/>
      <c r="J11" s="264"/>
      <c r="K11" s="265"/>
      <c r="L11" s="265"/>
      <c r="M11" s="265"/>
      <c r="N11" s="265"/>
      <c r="O11" s="266"/>
      <c r="P11" s="264"/>
      <c r="Q11" s="265"/>
      <c r="R11" s="265"/>
      <c r="S11" s="265"/>
      <c r="T11" s="265"/>
      <c r="U11" s="266"/>
      <c r="V11" s="264"/>
      <c r="W11" s="265"/>
      <c r="X11" s="265"/>
      <c r="Y11" s="265"/>
      <c r="Z11" s="265"/>
      <c r="AA11" s="266"/>
      <c r="AB11" s="264"/>
      <c r="AC11" s="265"/>
      <c r="AD11" s="265"/>
      <c r="AE11" s="265"/>
      <c r="AF11" s="265"/>
      <c r="AG11" s="266"/>
      <c r="AH11" s="255"/>
      <c r="AI11" s="256"/>
      <c r="AJ11" s="256"/>
      <c r="AK11" s="256"/>
      <c r="AL11" s="256"/>
      <c r="AM11" s="257"/>
      <c r="AN11" s="83"/>
      <c r="AO11" s="289"/>
      <c r="AP11" s="290"/>
      <c r="AQ11" s="290"/>
      <c r="AR11" s="290"/>
      <c r="AS11" s="290"/>
      <c r="AT11" s="29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4"/>
      <c r="C12" s="284"/>
      <c r="D12" s="285"/>
      <c r="E12" s="277"/>
      <c r="F12" s="278"/>
      <c r="G12" s="278"/>
      <c r="H12" s="278"/>
      <c r="I12" s="279"/>
      <c r="J12" s="264" t="str">
        <f>IF(AND('Mapa final'!$H$64="Muy Alta",'Mapa final'!$L$64="Leve"),CONCATENATE("R",'Mapa final'!$A$64),"")</f>
        <v/>
      </c>
      <c r="K12" s="265"/>
      <c r="L12" s="265" t="str">
        <f>IF(AND('Mapa final'!$H$70="Muy Alta",'Mapa final'!$L$70="Leve"),CONCATENATE("R",'Mapa final'!$A$70),"")</f>
        <v/>
      </c>
      <c r="M12" s="265"/>
      <c r="N12" s="265" t="str">
        <f>IF(AND('Mapa final'!$H$76="Muy Alta",'Mapa final'!$L$76="Leve"),CONCATENATE("R",'Mapa final'!$A$76),"")</f>
        <v/>
      </c>
      <c r="O12" s="266"/>
      <c r="P12" s="264" t="str">
        <f>IF(AND('Mapa final'!$H$64="Muy Alta",'Mapa final'!$L$64="Menor"),CONCATENATE("R",'Mapa final'!$A$64),"")</f>
        <v/>
      </c>
      <c r="Q12" s="265"/>
      <c r="R12" s="265" t="str">
        <f>IF(AND('Mapa final'!$H$70="Muy Alta",'Mapa final'!$L$70="Menor"),CONCATENATE("R",'Mapa final'!$A$70),"")</f>
        <v/>
      </c>
      <c r="S12" s="265"/>
      <c r="T12" s="265" t="str">
        <f>IF(AND('Mapa final'!$H$76="Muy Alta",'Mapa final'!$L$76="Menor"),CONCATENATE("R",'Mapa final'!$A$76),"")</f>
        <v/>
      </c>
      <c r="U12" s="266"/>
      <c r="V12" s="264" t="str">
        <f>IF(AND('Mapa final'!$H$64="Muy Alta",'Mapa final'!$L$64="Moderado"),CONCATENATE("R",'Mapa final'!$A$64),"")</f>
        <v/>
      </c>
      <c r="W12" s="265"/>
      <c r="X12" s="265" t="str">
        <f>IF(AND('Mapa final'!$H$70="Muy Alta",'Mapa final'!$L$70="Moderado"),CONCATENATE("R",'Mapa final'!$A$70),"")</f>
        <v/>
      </c>
      <c r="Y12" s="265"/>
      <c r="Z12" s="265" t="str">
        <f>IF(AND('Mapa final'!$H$76="Muy Alta",'Mapa final'!$L$76="Moderado"),CONCATENATE("R",'Mapa final'!$A$76),"")</f>
        <v/>
      </c>
      <c r="AA12" s="266"/>
      <c r="AB12" s="264" t="str">
        <f>IF(AND('Mapa final'!$H$64="Muy Alta",'Mapa final'!$L$64="Mayor"),CONCATENATE("R",'Mapa final'!$A$64),"")</f>
        <v/>
      </c>
      <c r="AC12" s="265"/>
      <c r="AD12" s="265" t="str">
        <f>IF(AND('Mapa final'!$H$70="Muy Alta",'Mapa final'!$L$70="Mayor"),CONCATENATE("R",'Mapa final'!$A$70),"")</f>
        <v/>
      </c>
      <c r="AE12" s="265"/>
      <c r="AF12" s="265" t="str">
        <f>IF(AND('Mapa final'!$H$76="Muy Alta",'Mapa final'!$L$76="Mayor"),CONCATENATE("R",'Mapa final'!$A$76),"")</f>
        <v/>
      </c>
      <c r="AG12" s="266"/>
      <c r="AH12" s="255" t="str">
        <f>IF(AND('Mapa final'!$H$64="Muy Alta",'Mapa final'!$L$64="Catastrófico"),CONCATENATE("R",'Mapa final'!$A$64),"")</f>
        <v/>
      </c>
      <c r="AI12" s="256"/>
      <c r="AJ12" s="256" t="str">
        <f>IF(AND('Mapa final'!$H$70="Muy Alta",'Mapa final'!$L$70="Catastrófico"),CONCATENATE("R",'Mapa final'!$A$70),"")</f>
        <v/>
      </c>
      <c r="AK12" s="256"/>
      <c r="AL12" s="256" t="str">
        <f>IF(AND('Mapa final'!$H$76="Muy Alta",'Mapa final'!$L$76="Catastrófico"),CONCATENATE("R",'Mapa final'!$A$76),"")</f>
        <v/>
      </c>
      <c r="AM12" s="257"/>
      <c r="AN12" s="83"/>
      <c r="AO12" s="289"/>
      <c r="AP12" s="290"/>
      <c r="AQ12" s="290"/>
      <c r="AR12" s="290"/>
      <c r="AS12" s="290"/>
      <c r="AT12" s="29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4"/>
      <c r="C13" s="284"/>
      <c r="D13" s="285"/>
      <c r="E13" s="280"/>
      <c r="F13" s="281"/>
      <c r="G13" s="281"/>
      <c r="H13" s="281"/>
      <c r="I13" s="282"/>
      <c r="J13" s="264"/>
      <c r="K13" s="265"/>
      <c r="L13" s="265"/>
      <c r="M13" s="265"/>
      <c r="N13" s="265"/>
      <c r="O13" s="266"/>
      <c r="P13" s="264"/>
      <c r="Q13" s="265"/>
      <c r="R13" s="265"/>
      <c r="S13" s="265"/>
      <c r="T13" s="265"/>
      <c r="U13" s="266"/>
      <c r="V13" s="264"/>
      <c r="W13" s="265"/>
      <c r="X13" s="265"/>
      <c r="Y13" s="265"/>
      <c r="Z13" s="265"/>
      <c r="AA13" s="266"/>
      <c r="AB13" s="264"/>
      <c r="AC13" s="265"/>
      <c r="AD13" s="265"/>
      <c r="AE13" s="265"/>
      <c r="AF13" s="265"/>
      <c r="AG13" s="266"/>
      <c r="AH13" s="258"/>
      <c r="AI13" s="259"/>
      <c r="AJ13" s="259"/>
      <c r="AK13" s="259"/>
      <c r="AL13" s="259"/>
      <c r="AM13" s="260"/>
      <c r="AN13" s="83"/>
      <c r="AO13" s="292"/>
      <c r="AP13" s="293"/>
      <c r="AQ13" s="293"/>
      <c r="AR13" s="293"/>
      <c r="AS13" s="293"/>
      <c r="AT13" s="29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4"/>
      <c r="C14" s="284"/>
      <c r="D14" s="285"/>
      <c r="E14" s="274" t="s">
        <v>115</v>
      </c>
      <c r="F14" s="275"/>
      <c r="G14" s="275"/>
      <c r="H14" s="275"/>
      <c r="I14" s="275"/>
      <c r="J14" s="252" t="str">
        <f>IF(AND('Mapa final'!$H$10="Alta",'Mapa final'!$L$10="Leve"),CONCATENATE("R",'Mapa final'!$A$10),"")</f>
        <v/>
      </c>
      <c r="K14" s="253"/>
      <c r="L14" s="253" t="str">
        <f>IF(AND('Mapa final'!$H$16="Alta",'Mapa final'!$L$16="Leve"),CONCATENATE("R",'Mapa final'!$A$16),"")</f>
        <v/>
      </c>
      <c r="M14" s="253"/>
      <c r="N14" s="253" t="str">
        <f>IF(AND('Mapa final'!$H$22="Alta",'Mapa final'!$L$22="Leve"),CONCATENATE("R",'Mapa final'!$A$22),"")</f>
        <v/>
      </c>
      <c r="O14" s="254"/>
      <c r="P14" s="252" t="str">
        <f>IF(AND('Mapa final'!$H$10="Alta",'Mapa final'!$L$10="Menor"),CONCATENATE("R",'Mapa final'!$A$10),"")</f>
        <v/>
      </c>
      <c r="Q14" s="253"/>
      <c r="R14" s="253" t="str">
        <f>IF(AND('Mapa final'!$H$16="Alta",'Mapa final'!$L$16="Menor"),CONCATENATE("R",'Mapa final'!$A$16),"")</f>
        <v/>
      </c>
      <c r="S14" s="253"/>
      <c r="T14" s="253" t="str">
        <f>IF(AND('Mapa final'!$H$22="Alta",'Mapa final'!$L$22="Menor"),CONCATENATE("R",'Mapa final'!$A$22),"")</f>
        <v/>
      </c>
      <c r="U14" s="254"/>
      <c r="V14" s="270" t="str">
        <f>IF(AND('Mapa final'!$H$10="Alta",'Mapa final'!$L$10="Moderado"),CONCATENATE("R",'Mapa final'!$A$10),"")</f>
        <v/>
      </c>
      <c r="W14" s="271"/>
      <c r="X14" s="271" t="str">
        <f>IF(AND('Mapa final'!$H$16="Alta",'Mapa final'!$L$16="Moderado"),CONCATENATE("R",'Mapa final'!$A$16),"")</f>
        <v/>
      </c>
      <c r="Y14" s="271"/>
      <c r="Z14" s="271" t="str">
        <f>IF(AND('Mapa final'!$H$22="Alta",'Mapa final'!$L$22="Moderado"),CONCATENATE("R",'Mapa final'!$A$22),"")</f>
        <v/>
      </c>
      <c r="AA14" s="272"/>
      <c r="AB14" s="270" t="str">
        <f>IF(AND('Mapa final'!$H$10="Alta",'Mapa final'!$L$10="Mayor"),CONCATENATE("R",'Mapa final'!$A$10),"")</f>
        <v/>
      </c>
      <c r="AC14" s="271"/>
      <c r="AD14" s="271" t="str">
        <f>IF(AND('Mapa final'!$H$16="Alta",'Mapa final'!$L$16="Mayor"),CONCATENATE("R",'Mapa final'!$A$16),"")</f>
        <v/>
      </c>
      <c r="AE14" s="271"/>
      <c r="AF14" s="271" t="str">
        <f>IF(AND('Mapa final'!$H$22="Alta",'Mapa final'!$L$22="Mayor"),CONCATENATE("R",'Mapa final'!$A$22),"")</f>
        <v/>
      </c>
      <c r="AG14" s="272"/>
      <c r="AH14" s="261" t="str">
        <f>IF(AND('Mapa final'!$H$10="Alta",'Mapa final'!$L$10="Catastrófico"),CONCATENATE("R",'Mapa final'!$A$10),"")</f>
        <v/>
      </c>
      <c r="AI14" s="262"/>
      <c r="AJ14" s="262" t="str">
        <f>IF(AND('Mapa final'!$H$16="Alta",'Mapa final'!$L$16="Catastrófico"),CONCATENATE("R",'Mapa final'!$A$16),"")</f>
        <v/>
      </c>
      <c r="AK14" s="262"/>
      <c r="AL14" s="262" t="str">
        <f>IF(AND('Mapa final'!$H$22="Alta",'Mapa final'!$L$22="Catastrófico"),CONCATENATE("R",'Mapa final'!$A$22),"")</f>
        <v/>
      </c>
      <c r="AM14" s="263"/>
      <c r="AN14" s="83"/>
      <c r="AO14" s="295" t="s">
        <v>80</v>
      </c>
      <c r="AP14" s="296"/>
      <c r="AQ14" s="296"/>
      <c r="AR14" s="296"/>
      <c r="AS14" s="296"/>
      <c r="AT14" s="29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4"/>
      <c r="C15" s="284"/>
      <c r="D15" s="285"/>
      <c r="E15" s="277"/>
      <c r="F15" s="278"/>
      <c r="G15" s="278"/>
      <c r="H15" s="278"/>
      <c r="I15" s="278"/>
      <c r="J15" s="246"/>
      <c r="K15" s="247"/>
      <c r="L15" s="247"/>
      <c r="M15" s="247"/>
      <c r="N15" s="247"/>
      <c r="O15" s="248"/>
      <c r="P15" s="246"/>
      <c r="Q15" s="247"/>
      <c r="R15" s="247"/>
      <c r="S15" s="247"/>
      <c r="T15" s="247"/>
      <c r="U15" s="248"/>
      <c r="V15" s="264"/>
      <c r="W15" s="265"/>
      <c r="X15" s="265"/>
      <c r="Y15" s="265"/>
      <c r="Z15" s="265"/>
      <c r="AA15" s="266"/>
      <c r="AB15" s="264"/>
      <c r="AC15" s="265"/>
      <c r="AD15" s="265"/>
      <c r="AE15" s="265"/>
      <c r="AF15" s="265"/>
      <c r="AG15" s="266"/>
      <c r="AH15" s="255"/>
      <c r="AI15" s="256"/>
      <c r="AJ15" s="256"/>
      <c r="AK15" s="256"/>
      <c r="AL15" s="256"/>
      <c r="AM15" s="257"/>
      <c r="AN15" s="83"/>
      <c r="AO15" s="298"/>
      <c r="AP15" s="299"/>
      <c r="AQ15" s="299"/>
      <c r="AR15" s="299"/>
      <c r="AS15" s="299"/>
      <c r="AT15" s="30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4"/>
      <c r="C16" s="284"/>
      <c r="D16" s="285"/>
      <c r="E16" s="277"/>
      <c r="F16" s="278"/>
      <c r="G16" s="278"/>
      <c r="H16" s="278"/>
      <c r="I16" s="278"/>
      <c r="J16" s="246" t="str">
        <f>IF(AND('Mapa final'!$H$28="Alta",'Mapa final'!$L$28="Leve"),CONCATENATE("R",'Mapa final'!$A$28),"")</f>
        <v/>
      </c>
      <c r="K16" s="247"/>
      <c r="L16" s="247" t="str">
        <f>IF(AND('Mapa final'!$H$34="Alta",'Mapa final'!$L$34="Leve"),CONCATENATE("R",'Mapa final'!$A$34),"")</f>
        <v/>
      </c>
      <c r="M16" s="247"/>
      <c r="N16" s="247" t="str">
        <f>IF(AND('Mapa final'!$H$40="Alta",'Mapa final'!$L$40="Leve"),CONCATENATE("R",'Mapa final'!$A$40),"")</f>
        <v/>
      </c>
      <c r="O16" s="248"/>
      <c r="P16" s="246" t="str">
        <f>IF(AND('Mapa final'!$H$28="Alta",'Mapa final'!$L$28="Menor"),CONCATENATE("R",'Mapa final'!$A$28),"")</f>
        <v/>
      </c>
      <c r="Q16" s="247"/>
      <c r="R16" s="247" t="str">
        <f>IF(AND('Mapa final'!$H$34="Alta",'Mapa final'!$L$34="Menor"),CONCATENATE("R",'Mapa final'!$A$34),"")</f>
        <v/>
      </c>
      <c r="S16" s="247"/>
      <c r="T16" s="247" t="str">
        <f>IF(AND('Mapa final'!$H$40="Alta",'Mapa final'!$L$40="Menor"),CONCATENATE("R",'Mapa final'!$A$40),"")</f>
        <v/>
      </c>
      <c r="U16" s="248"/>
      <c r="V16" s="264" t="str">
        <f>IF(AND('Mapa final'!$H$28="Alta",'Mapa final'!$L$28="Moderado"),CONCATENATE("R",'Mapa final'!$A$28),"")</f>
        <v/>
      </c>
      <c r="W16" s="265"/>
      <c r="X16" s="265" t="str">
        <f>IF(AND('Mapa final'!$H$34="Alta",'Mapa final'!$L$34="Moderado"),CONCATENATE("R",'Mapa final'!$A$34),"")</f>
        <v/>
      </c>
      <c r="Y16" s="265"/>
      <c r="Z16" s="265" t="str">
        <f>IF(AND('Mapa final'!$H$40="Alta",'Mapa final'!$L$40="Moderado"),CONCATENATE("R",'Mapa final'!$A$40),"")</f>
        <v/>
      </c>
      <c r="AA16" s="266"/>
      <c r="AB16" s="264" t="str">
        <f>IF(AND('Mapa final'!$H$28="Alta",'Mapa final'!$L$28="Mayor"),CONCATENATE("R",'Mapa final'!$A$28),"")</f>
        <v/>
      </c>
      <c r="AC16" s="265"/>
      <c r="AD16" s="265" t="str">
        <f>IF(AND('Mapa final'!$H$34="Alta",'Mapa final'!$L$34="Mayor"),CONCATENATE("R",'Mapa final'!$A$34),"")</f>
        <v/>
      </c>
      <c r="AE16" s="265"/>
      <c r="AF16" s="265" t="str">
        <f>IF(AND('Mapa final'!$H$40="Alta",'Mapa final'!$L$40="Mayor"),CONCATENATE("R",'Mapa final'!$A$40),"")</f>
        <v/>
      </c>
      <c r="AG16" s="266"/>
      <c r="AH16" s="255" t="str">
        <f>IF(AND('Mapa final'!$H$28="Alta",'Mapa final'!$L$28="Catastrófico"),CONCATENATE("R",'Mapa final'!$A$28),"")</f>
        <v/>
      </c>
      <c r="AI16" s="256"/>
      <c r="AJ16" s="256" t="str">
        <f>IF(AND('Mapa final'!$H$34="Alta",'Mapa final'!$L$34="Catastrófico"),CONCATENATE("R",'Mapa final'!$A$34),"")</f>
        <v/>
      </c>
      <c r="AK16" s="256"/>
      <c r="AL16" s="256" t="str">
        <f>IF(AND('Mapa final'!$H$40="Alta",'Mapa final'!$L$40="Catastrófico"),CONCATENATE("R",'Mapa final'!$A$40),"")</f>
        <v/>
      </c>
      <c r="AM16" s="257"/>
      <c r="AN16" s="83"/>
      <c r="AO16" s="298"/>
      <c r="AP16" s="299"/>
      <c r="AQ16" s="299"/>
      <c r="AR16" s="299"/>
      <c r="AS16" s="299"/>
      <c r="AT16" s="30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4"/>
      <c r="C17" s="284"/>
      <c r="D17" s="285"/>
      <c r="E17" s="277"/>
      <c r="F17" s="278"/>
      <c r="G17" s="278"/>
      <c r="H17" s="278"/>
      <c r="I17" s="278"/>
      <c r="J17" s="246"/>
      <c r="K17" s="247"/>
      <c r="L17" s="247"/>
      <c r="M17" s="247"/>
      <c r="N17" s="247"/>
      <c r="O17" s="248"/>
      <c r="P17" s="246"/>
      <c r="Q17" s="247"/>
      <c r="R17" s="247"/>
      <c r="S17" s="247"/>
      <c r="T17" s="247"/>
      <c r="U17" s="248"/>
      <c r="V17" s="264"/>
      <c r="W17" s="265"/>
      <c r="X17" s="265"/>
      <c r="Y17" s="265"/>
      <c r="Z17" s="265"/>
      <c r="AA17" s="266"/>
      <c r="AB17" s="264"/>
      <c r="AC17" s="265"/>
      <c r="AD17" s="265"/>
      <c r="AE17" s="265"/>
      <c r="AF17" s="265"/>
      <c r="AG17" s="266"/>
      <c r="AH17" s="255"/>
      <c r="AI17" s="256"/>
      <c r="AJ17" s="256"/>
      <c r="AK17" s="256"/>
      <c r="AL17" s="256"/>
      <c r="AM17" s="257"/>
      <c r="AN17" s="83"/>
      <c r="AO17" s="298"/>
      <c r="AP17" s="299"/>
      <c r="AQ17" s="299"/>
      <c r="AR17" s="299"/>
      <c r="AS17" s="299"/>
      <c r="AT17" s="30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4"/>
      <c r="C18" s="284"/>
      <c r="D18" s="285"/>
      <c r="E18" s="277"/>
      <c r="F18" s="278"/>
      <c r="G18" s="278"/>
      <c r="H18" s="278"/>
      <c r="I18" s="278"/>
      <c r="J18" s="246" t="str">
        <f>IF(AND('Mapa final'!$H$46="Alta",'Mapa final'!$L$46="Leve"),CONCATENATE("R",'Mapa final'!$A$46),"")</f>
        <v/>
      </c>
      <c r="K18" s="247"/>
      <c r="L18" s="247" t="str">
        <f>IF(AND('Mapa final'!$H$52="Alta",'Mapa final'!$L$52="Leve"),CONCATENATE("R",'Mapa final'!$A$52),"")</f>
        <v/>
      </c>
      <c r="M18" s="247"/>
      <c r="N18" s="247" t="str">
        <f>IF(AND('Mapa final'!$H$58="Alta",'Mapa final'!$L$58="Leve"),CONCATENATE("R",'Mapa final'!$A$58),"")</f>
        <v/>
      </c>
      <c r="O18" s="248"/>
      <c r="P18" s="246" t="str">
        <f>IF(AND('Mapa final'!$H$46="Alta",'Mapa final'!$L$46="Menor"),CONCATENATE("R",'Mapa final'!$A$46),"")</f>
        <v/>
      </c>
      <c r="Q18" s="247"/>
      <c r="R18" s="247" t="str">
        <f>IF(AND('Mapa final'!$H$52="Alta",'Mapa final'!$L$52="Menor"),CONCATENATE("R",'Mapa final'!$A$52),"")</f>
        <v/>
      </c>
      <c r="S18" s="247"/>
      <c r="T18" s="247" t="str">
        <f>IF(AND('Mapa final'!$H$58="Alta",'Mapa final'!$L$58="Menor"),CONCATENATE("R",'Mapa final'!$A$58),"")</f>
        <v/>
      </c>
      <c r="U18" s="248"/>
      <c r="V18" s="264" t="str">
        <f>IF(AND('Mapa final'!$H$46="Alta",'Mapa final'!$L$46="Moderado"),CONCATENATE("R",'Mapa final'!$A$46),"")</f>
        <v/>
      </c>
      <c r="W18" s="265"/>
      <c r="X18" s="265" t="str">
        <f>IF(AND('Mapa final'!$H$52="Alta",'Mapa final'!$L$52="Moderado"),CONCATENATE("R",'Mapa final'!$A$52),"")</f>
        <v/>
      </c>
      <c r="Y18" s="265"/>
      <c r="Z18" s="265" t="str">
        <f>IF(AND('Mapa final'!$H$58="Alta",'Mapa final'!$L$58="Moderado"),CONCATENATE("R",'Mapa final'!$A$58),"")</f>
        <v/>
      </c>
      <c r="AA18" s="266"/>
      <c r="AB18" s="264" t="str">
        <f>IF(AND('Mapa final'!$H$46="Alta",'Mapa final'!$L$46="Mayor"),CONCATENATE("R",'Mapa final'!$A$46),"")</f>
        <v/>
      </c>
      <c r="AC18" s="265"/>
      <c r="AD18" s="265" t="str">
        <f>IF(AND('Mapa final'!$H$52="Alta",'Mapa final'!$L$52="Mayor"),CONCATENATE("R",'Mapa final'!$A$52),"")</f>
        <v/>
      </c>
      <c r="AE18" s="265"/>
      <c r="AF18" s="265" t="str">
        <f>IF(AND('Mapa final'!$H$58="Alta",'Mapa final'!$L$58="Mayor"),CONCATENATE("R",'Mapa final'!$A$58),"")</f>
        <v/>
      </c>
      <c r="AG18" s="266"/>
      <c r="AH18" s="255" t="str">
        <f>IF(AND('Mapa final'!$H$46="Alta",'Mapa final'!$L$46="Catastrófico"),CONCATENATE("R",'Mapa final'!$A$46),"")</f>
        <v>R7</v>
      </c>
      <c r="AI18" s="256"/>
      <c r="AJ18" s="256" t="str">
        <f>IF(AND('Mapa final'!$H$52="Alta",'Mapa final'!$L$52="Catastrófico"),CONCATENATE("R",'Mapa final'!$A$52),"")</f>
        <v/>
      </c>
      <c r="AK18" s="256"/>
      <c r="AL18" s="256" t="str">
        <f>IF(AND('Mapa final'!$H$58="Alta",'Mapa final'!$L$58="Catastrófico"),CONCATENATE("R",'Mapa final'!$A$58),"")</f>
        <v/>
      </c>
      <c r="AM18" s="257"/>
      <c r="AN18" s="83"/>
      <c r="AO18" s="298"/>
      <c r="AP18" s="299"/>
      <c r="AQ18" s="299"/>
      <c r="AR18" s="299"/>
      <c r="AS18" s="299"/>
      <c r="AT18" s="30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4"/>
      <c r="C19" s="284"/>
      <c r="D19" s="285"/>
      <c r="E19" s="277"/>
      <c r="F19" s="278"/>
      <c r="G19" s="278"/>
      <c r="H19" s="278"/>
      <c r="I19" s="278"/>
      <c r="J19" s="246"/>
      <c r="K19" s="247"/>
      <c r="L19" s="247"/>
      <c r="M19" s="247"/>
      <c r="N19" s="247"/>
      <c r="O19" s="248"/>
      <c r="P19" s="246"/>
      <c r="Q19" s="247"/>
      <c r="R19" s="247"/>
      <c r="S19" s="247"/>
      <c r="T19" s="247"/>
      <c r="U19" s="248"/>
      <c r="V19" s="264"/>
      <c r="W19" s="265"/>
      <c r="X19" s="265"/>
      <c r="Y19" s="265"/>
      <c r="Z19" s="265"/>
      <c r="AA19" s="266"/>
      <c r="AB19" s="264"/>
      <c r="AC19" s="265"/>
      <c r="AD19" s="265"/>
      <c r="AE19" s="265"/>
      <c r="AF19" s="265"/>
      <c r="AG19" s="266"/>
      <c r="AH19" s="255"/>
      <c r="AI19" s="256"/>
      <c r="AJ19" s="256"/>
      <c r="AK19" s="256"/>
      <c r="AL19" s="256"/>
      <c r="AM19" s="257"/>
      <c r="AN19" s="83"/>
      <c r="AO19" s="298"/>
      <c r="AP19" s="299"/>
      <c r="AQ19" s="299"/>
      <c r="AR19" s="299"/>
      <c r="AS19" s="299"/>
      <c r="AT19" s="30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4"/>
      <c r="C20" s="284"/>
      <c r="D20" s="285"/>
      <c r="E20" s="277"/>
      <c r="F20" s="278"/>
      <c r="G20" s="278"/>
      <c r="H20" s="278"/>
      <c r="I20" s="278"/>
      <c r="J20" s="246" t="str">
        <f>IF(AND('Mapa final'!$H$64="Alta",'Mapa final'!$L$64="Leve"),CONCATENATE("R",'Mapa final'!$A$64),"")</f>
        <v/>
      </c>
      <c r="K20" s="247"/>
      <c r="L20" s="247" t="str">
        <f>IF(AND('Mapa final'!$H$70="Alta",'Mapa final'!$L$70="Leve"),CONCATENATE("R",'Mapa final'!$A$70),"")</f>
        <v/>
      </c>
      <c r="M20" s="247"/>
      <c r="N20" s="247" t="str">
        <f>IF(AND('Mapa final'!$H$76="Alta",'Mapa final'!$L$76="Leve"),CONCATENATE("R",'Mapa final'!$A$76),"")</f>
        <v/>
      </c>
      <c r="O20" s="248"/>
      <c r="P20" s="246" t="str">
        <f>IF(AND('Mapa final'!$H$64="Alta",'Mapa final'!$L$64="Menor"),CONCATENATE("R",'Mapa final'!$A$64),"")</f>
        <v/>
      </c>
      <c r="Q20" s="247"/>
      <c r="R20" s="247" t="str">
        <f>IF(AND('Mapa final'!$H$70="Alta",'Mapa final'!$L$70="Menor"),CONCATENATE("R",'Mapa final'!$A$70),"")</f>
        <v/>
      </c>
      <c r="S20" s="247"/>
      <c r="T20" s="247" t="str">
        <f>IF(AND('Mapa final'!$H$76="Alta",'Mapa final'!$L$76="Menor"),CONCATENATE("R",'Mapa final'!$A$76),"")</f>
        <v/>
      </c>
      <c r="U20" s="248"/>
      <c r="V20" s="264" t="str">
        <f>IF(AND('Mapa final'!$H$64="Alta",'Mapa final'!$L$64="Moderado"),CONCATENATE("R",'Mapa final'!$A$64),"")</f>
        <v/>
      </c>
      <c r="W20" s="265"/>
      <c r="X20" s="265" t="str">
        <f>IF(AND('Mapa final'!$H$70="Alta",'Mapa final'!$L$70="Moderado"),CONCATENATE("R",'Mapa final'!$A$70),"")</f>
        <v/>
      </c>
      <c r="Y20" s="265"/>
      <c r="Z20" s="265" t="str">
        <f>IF(AND('Mapa final'!$H$76="Alta",'Mapa final'!$L$76="Moderado"),CONCATENATE("R",'Mapa final'!$A$76),"")</f>
        <v/>
      </c>
      <c r="AA20" s="266"/>
      <c r="AB20" s="264" t="str">
        <f>IF(AND('Mapa final'!$H$64="Alta",'Mapa final'!$L$64="Mayor"),CONCATENATE("R",'Mapa final'!$A$64),"")</f>
        <v/>
      </c>
      <c r="AC20" s="265"/>
      <c r="AD20" s="265" t="str">
        <f>IF(AND('Mapa final'!$H$70="Alta",'Mapa final'!$L$70="Mayor"),CONCATENATE("R",'Mapa final'!$A$70),"")</f>
        <v/>
      </c>
      <c r="AE20" s="265"/>
      <c r="AF20" s="265" t="str">
        <f>IF(AND('Mapa final'!$H$76="Alta",'Mapa final'!$L$76="Mayor"),CONCATENATE("R",'Mapa final'!$A$76),"")</f>
        <v/>
      </c>
      <c r="AG20" s="266"/>
      <c r="AH20" s="255" t="str">
        <f>IF(AND('Mapa final'!$H$64="Alta",'Mapa final'!$L$64="Catastrófico"),CONCATENATE("R",'Mapa final'!$A$64),"")</f>
        <v/>
      </c>
      <c r="AI20" s="256"/>
      <c r="AJ20" s="256" t="str">
        <f>IF(AND('Mapa final'!$H$70="Alta",'Mapa final'!$L$70="Catastrófico"),CONCATENATE("R",'Mapa final'!$A$70),"")</f>
        <v/>
      </c>
      <c r="AK20" s="256"/>
      <c r="AL20" s="256" t="str">
        <f>IF(AND('Mapa final'!$H$76="Alta",'Mapa final'!$L$76="Catastrófico"),CONCATENATE("R",'Mapa final'!$A$76),"")</f>
        <v/>
      </c>
      <c r="AM20" s="257"/>
      <c r="AN20" s="83"/>
      <c r="AO20" s="298"/>
      <c r="AP20" s="299"/>
      <c r="AQ20" s="299"/>
      <c r="AR20" s="299"/>
      <c r="AS20" s="299"/>
      <c r="AT20" s="30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4"/>
      <c r="C21" s="284"/>
      <c r="D21" s="285"/>
      <c r="E21" s="280"/>
      <c r="F21" s="281"/>
      <c r="G21" s="281"/>
      <c r="H21" s="281"/>
      <c r="I21" s="281"/>
      <c r="J21" s="249"/>
      <c r="K21" s="250"/>
      <c r="L21" s="250"/>
      <c r="M21" s="250"/>
      <c r="N21" s="250"/>
      <c r="O21" s="251"/>
      <c r="P21" s="249"/>
      <c r="Q21" s="250"/>
      <c r="R21" s="250"/>
      <c r="S21" s="250"/>
      <c r="T21" s="250"/>
      <c r="U21" s="251"/>
      <c r="V21" s="267"/>
      <c r="W21" s="268"/>
      <c r="X21" s="268"/>
      <c r="Y21" s="268"/>
      <c r="Z21" s="268"/>
      <c r="AA21" s="269"/>
      <c r="AB21" s="267"/>
      <c r="AC21" s="268"/>
      <c r="AD21" s="268"/>
      <c r="AE21" s="268"/>
      <c r="AF21" s="268"/>
      <c r="AG21" s="269"/>
      <c r="AH21" s="258"/>
      <c r="AI21" s="259"/>
      <c r="AJ21" s="259"/>
      <c r="AK21" s="259"/>
      <c r="AL21" s="259"/>
      <c r="AM21" s="260"/>
      <c r="AN21" s="83"/>
      <c r="AO21" s="301"/>
      <c r="AP21" s="302"/>
      <c r="AQ21" s="302"/>
      <c r="AR21" s="302"/>
      <c r="AS21" s="302"/>
      <c r="AT21" s="30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4"/>
      <c r="C22" s="284"/>
      <c r="D22" s="285"/>
      <c r="E22" s="274" t="s">
        <v>117</v>
      </c>
      <c r="F22" s="275"/>
      <c r="G22" s="275"/>
      <c r="H22" s="275"/>
      <c r="I22" s="276"/>
      <c r="J22" s="252" t="str">
        <f>IF(AND('Mapa final'!$H$10="Media",'Mapa final'!$L$10="Leve"),CONCATENATE("R",'Mapa final'!$A$10),"")</f>
        <v/>
      </c>
      <c r="K22" s="253"/>
      <c r="L22" s="253" t="str">
        <f>IF(AND('Mapa final'!$H$16="Media",'Mapa final'!$L$16="Leve"),CONCATENATE("R",'Mapa final'!$A$16),"")</f>
        <v>R2</v>
      </c>
      <c r="M22" s="253"/>
      <c r="N22" s="253" t="str">
        <f>IF(AND('Mapa final'!$H$22="Media",'Mapa final'!$L$22="Leve"),CONCATENATE("R",'Mapa final'!$A$22),"")</f>
        <v/>
      </c>
      <c r="O22" s="254"/>
      <c r="P22" s="252" t="str">
        <f>IF(AND('Mapa final'!$H$10="Media",'Mapa final'!$L$10="Menor"),CONCATENATE("R",'Mapa final'!$A$10),"")</f>
        <v/>
      </c>
      <c r="Q22" s="253"/>
      <c r="R22" s="253" t="str">
        <f>IF(AND('Mapa final'!$H$16="Media",'Mapa final'!$L$16="Menor"),CONCATENATE("R",'Mapa final'!$A$16),"")</f>
        <v/>
      </c>
      <c r="S22" s="253"/>
      <c r="T22" s="253" t="str">
        <f>IF(AND('Mapa final'!$H$22="Media",'Mapa final'!$L$22="Menor"),CONCATENATE("R",'Mapa final'!$A$22),"")</f>
        <v/>
      </c>
      <c r="U22" s="254"/>
      <c r="V22" s="252" t="str">
        <f>IF(AND('Mapa final'!$H$10="Media",'Mapa final'!$L$10="Moderado"),CONCATENATE("R",'Mapa final'!$A$10),"")</f>
        <v/>
      </c>
      <c r="W22" s="253"/>
      <c r="X22" s="253" t="str">
        <f>IF(AND('Mapa final'!$H$16="Media",'Mapa final'!$L$16="Moderado"),CONCATENATE("R",'Mapa final'!$A$16),"")</f>
        <v/>
      </c>
      <c r="Y22" s="253"/>
      <c r="Z22" s="253" t="str">
        <f>IF(AND('Mapa final'!$H$22="Media",'Mapa final'!$L$22="Moderado"),CONCATENATE("R",'Mapa final'!$A$22),"")</f>
        <v>R3</v>
      </c>
      <c r="AA22" s="254"/>
      <c r="AB22" s="270" t="str">
        <f>IF(AND('Mapa final'!$H$10="Media",'Mapa final'!$L$10="Mayor"),CONCATENATE("R",'Mapa final'!$A$10),"")</f>
        <v/>
      </c>
      <c r="AC22" s="271"/>
      <c r="AD22" s="271" t="str">
        <f>IF(AND('Mapa final'!$H$16="Media",'Mapa final'!$L$16="Mayor"),CONCATENATE("R",'Mapa final'!$A$16),"")</f>
        <v/>
      </c>
      <c r="AE22" s="271"/>
      <c r="AF22" s="271" t="str">
        <f>IF(AND('Mapa final'!$H$22="Media",'Mapa final'!$L$22="Mayor"),CONCATENATE("R",'Mapa final'!$A$22),"")</f>
        <v/>
      </c>
      <c r="AG22" s="272"/>
      <c r="AH22" s="261" t="str">
        <f>IF(AND('Mapa final'!$H$10="Media",'Mapa final'!$L$10="Catastrófico"),CONCATENATE("R",'Mapa final'!$A$10),"")</f>
        <v/>
      </c>
      <c r="AI22" s="262"/>
      <c r="AJ22" s="262" t="str">
        <f>IF(AND('Mapa final'!$H$16="Media",'Mapa final'!$L$16="Catastrófico"),CONCATENATE("R",'Mapa final'!$A$16),"")</f>
        <v/>
      </c>
      <c r="AK22" s="262"/>
      <c r="AL22" s="262" t="str">
        <f>IF(AND('Mapa final'!$H$22="Media",'Mapa final'!$L$22="Catastrófico"),CONCATENATE("R",'Mapa final'!$A$22),"")</f>
        <v/>
      </c>
      <c r="AM22" s="263"/>
      <c r="AN22" s="83"/>
      <c r="AO22" s="304" t="s">
        <v>81</v>
      </c>
      <c r="AP22" s="305"/>
      <c r="AQ22" s="305"/>
      <c r="AR22" s="305"/>
      <c r="AS22" s="305"/>
      <c r="AT22" s="30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4"/>
      <c r="C23" s="284"/>
      <c r="D23" s="285"/>
      <c r="E23" s="277"/>
      <c r="F23" s="278"/>
      <c r="G23" s="278"/>
      <c r="H23" s="278"/>
      <c r="I23" s="279"/>
      <c r="J23" s="246"/>
      <c r="K23" s="247"/>
      <c r="L23" s="247"/>
      <c r="M23" s="247"/>
      <c r="N23" s="247"/>
      <c r="O23" s="248"/>
      <c r="P23" s="246"/>
      <c r="Q23" s="247"/>
      <c r="R23" s="247"/>
      <c r="S23" s="247"/>
      <c r="T23" s="247"/>
      <c r="U23" s="248"/>
      <c r="V23" s="246"/>
      <c r="W23" s="247"/>
      <c r="X23" s="247"/>
      <c r="Y23" s="247"/>
      <c r="Z23" s="247"/>
      <c r="AA23" s="248"/>
      <c r="AB23" s="264"/>
      <c r="AC23" s="265"/>
      <c r="AD23" s="265"/>
      <c r="AE23" s="265"/>
      <c r="AF23" s="265"/>
      <c r="AG23" s="266"/>
      <c r="AH23" s="255"/>
      <c r="AI23" s="256"/>
      <c r="AJ23" s="256"/>
      <c r="AK23" s="256"/>
      <c r="AL23" s="256"/>
      <c r="AM23" s="257"/>
      <c r="AN23" s="83"/>
      <c r="AO23" s="307"/>
      <c r="AP23" s="308"/>
      <c r="AQ23" s="308"/>
      <c r="AR23" s="308"/>
      <c r="AS23" s="308"/>
      <c r="AT23" s="30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4"/>
      <c r="C24" s="284"/>
      <c r="D24" s="285"/>
      <c r="E24" s="277"/>
      <c r="F24" s="278"/>
      <c r="G24" s="278"/>
      <c r="H24" s="278"/>
      <c r="I24" s="279"/>
      <c r="J24" s="246" t="str">
        <f>IF(AND('Mapa final'!$H$28="Media",'Mapa final'!$L$28="Leve"),CONCATENATE("R",'Mapa final'!$A$28),"")</f>
        <v/>
      </c>
      <c r="K24" s="247"/>
      <c r="L24" s="247" t="str">
        <f>IF(AND('Mapa final'!$H$34="Media",'Mapa final'!$L$34="Leve"),CONCATENATE("R",'Mapa final'!$A$34),"")</f>
        <v>R5</v>
      </c>
      <c r="M24" s="247"/>
      <c r="N24" s="247" t="str">
        <f>IF(AND('Mapa final'!$H$40="Media",'Mapa final'!$L$40="Leve"),CONCATENATE("R",'Mapa final'!$A$40),"")</f>
        <v/>
      </c>
      <c r="O24" s="248"/>
      <c r="P24" s="246" t="str">
        <f>IF(AND('Mapa final'!$H$28="Media",'Mapa final'!$L$28="Menor"),CONCATENATE("R",'Mapa final'!$A$28),"")</f>
        <v/>
      </c>
      <c r="Q24" s="247"/>
      <c r="R24" s="247" t="str">
        <f>IF(AND('Mapa final'!$H$34="Media",'Mapa final'!$L$34="Menor"),CONCATENATE("R",'Mapa final'!$A$34),"")</f>
        <v/>
      </c>
      <c r="S24" s="247"/>
      <c r="T24" s="247" t="str">
        <f>IF(AND('Mapa final'!$H$40="Media",'Mapa final'!$L$40="Menor"),CONCATENATE("R",'Mapa final'!$A$40),"")</f>
        <v/>
      </c>
      <c r="U24" s="248"/>
      <c r="V24" s="246" t="str">
        <f>IF(AND('Mapa final'!$H$28="Media",'Mapa final'!$L$28="Moderado"),CONCATENATE("R",'Mapa final'!$A$28),"")</f>
        <v>R4</v>
      </c>
      <c r="W24" s="247"/>
      <c r="X24" s="247" t="str">
        <f>IF(AND('Mapa final'!$H$34="Media",'Mapa final'!$L$34="Moderado"),CONCATENATE("R",'Mapa final'!$A$34),"")</f>
        <v/>
      </c>
      <c r="Y24" s="247"/>
      <c r="Z24" s="247" t="str">
        <f>IF(AND('Mapa final'!$H$40="Media",'Mapa final'!$L$40="Moderado"),CONCATENATE("R",'Mapa final'!$A$40),"")</f>
        <v/>
      </c>
      <c r="AA24" s="248"/>
      <c r="AB24" s="264" t="str">
        <f>IF(AND('Mapa final'!$H$28="Media",'Mapa final'!$L$28="Mayor"),CONCATENATE("R",'Mapa final'!$A$28),"")</f>
        <v/>
      </c>
      <c r="AC24" s="265"/>
      <c r="AD24" s="265" t="str">
        <f>IF(AND('Mapa final'!$H$34="Media",'Mapa final'!$L$34="Mayor"),CONCATENATE("R",'Mapa final'!$A$34),"")</f>
        <v/>
      </c>
      <c r="AE24" s="265"/>
      <c r="AF24" s="265" t="str">
        <f>IF(AND('Mapa final'!$H$40="Media",'Mapa final'!$L$40="Mayor"),CONCATENATE("R",'Mapa final'!$A$40),"")</f>
        <v/>
      </c>
      <c r="AG24" s="266"/>
      <c r="AH24" s="255" t="str">
        <f>IF(AND('Mapa final'!$H$28="Media",'Mapa final'!$L$28="Catastrófico"),CONCATENATE("R",'Mapa final'!$A$28),"")</f>
        <v/>
      </c>
      <c r="AI24" s="256"/>
      <c r="AJ24" s="256" t="str">
        <f>IF(AND('Mapa final'!$H$34="Media",'Mapa final'!$L$34="Catastrófico"),CONCATENATE("R",'Mapa final'!$A$34),"")</f>
        <v/>
      </c>
      <c r="AK24" s="256"/>
      <c r="AL24" s="256" t="str">
        <f>IF(AND('Mapa final'!$H$40="Media",'Mapa final'!$L$40="Catastrófico"),CONCATENATE("R",'Mapa final'!$A$40),"")</f>
        <v/>
      </c>
      <c r="AM24" s="257"/>
      <c r="AN24" s="83"/>
      <c r="AO24" s="307"/>
      <c r="AP24" s="308"/>
      <c r="AQ24" s="308"/>
      <c r="AR24" s="308"/>
      <c r="AS24" s="308"/>
      <c r="AT24" s="30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4"/>
      <c r="C25" s="284"/>
      <c r="D25" s="285"/>
      <c r="E25" s="277"/>
      <c r="F25" s="278"/>
      <c r="G25" s="278"/>
      <c r="H25" s="278"/>
      <c r="I25" s="279"/>
      <c r="J25" s="246"/>
      <c r="K25" s="247"/>
      <c r="L25" s="247"/>
      <c r="M25" s="247"/>
      <c r="N25" s="247"/>
      <c r="O25" s="248"/>
      <c r="P25" s="246"/>
      <c r="Q25" s="247"/>
      <c r="R25" s="247"/>
      <c r="S25" s="247"/>
      <c r="T25" s="247"/>
      <c r="U25" s="248"/>
      <c r="V25" s="246"/>
      <c r="W25" s="247"/>
      <c r="X25" s="247"/>
      <c r="Y25" s="247"/>
      <c r="Z25" s="247"/>
      <c r="AA25" s="248"/>
      <c r="AB25" s="264"/>
      <c r="AC25" s="265"/>
      <c r="AD25" s="265"/>
      <c r="AE25" s="265"/>
      <c r="AF25" s="265"/>
      <c r="AG25" s="266"/>
      <c r="AH25" s="255"/>
      <c r="AI25" s="256"/>
      <c r="AJ25" s="256"/>
      <c r="AK25" s="256"/>
      <c r="AL25" s="256"/>
      <c r="AM25" s="257"/>
      <c r="AN25" s="83"/>
      <c r="AO25" s="307"/>
      <c r="AP25" s="308"/>
      <c r="AQ25" s="308"/>
      <c r="AR25" s="308"/>
      <c r="AS25" s="308"/>
      <c r="AT25" s="30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4"/>
      <c r="C26" s="284"/>
      <c r="D26" s="285"/>
      <c r="E26" s="277"/>
      <c r="F26" s="278"/>
      <c r="G26" s="278"/>
      <c r="H26" s="278"/>
      <c r="I26" s="279"/>
      <c r="J26" s="246" t="str">
        <f>IF(AND('Mapa final'!$H$46="Media",'Mapa final'!$L$46="Leve"),CONCATENATE("R",'Mapa final'!$A$46),"")</f>
        <v/>
      </c>
      <c r="K26" s="247"/>
      <c r="L26" s="247" t="str">
        <f>IF(AND('Mapa final'!$H$52="Media",'Mapa final'!$L$52="Leve"),CONCATENATE("R",'Mapa final'!$A$52),"")</f>
        <v/>
      </c>
      <c r="M26" s="247"/>
      <c r="N26" s="247" t="str">
        <f>IF(AND('Mapa final'!$H$58="Media",'Mapa final'!$L$58="Leve"),CONCATENATE("R",'Mapa final'!$A$58),"")</f>
        <v/>
      </c>
      <c r="O26" s="248"/>
      <c r="P26" s="246" t="str">
        <f>IF(AND('Mapa final'!$H$46="Media",'Mapa final'!$L$46="Menor"),CONCATENATE("R",'Mapa final'!$A$46),"")</f>
        <v/>
      </c>
      <c r="Q26" s="247"/>
      <c r="R26" s="247" t="str">
        <f>IF(AND('Mapa final'!$H$52="Media",'Mapa final'!$L$52="Menor"),CONCATENATE("R",'Mapa final'!$A$52),"")</f>
        <v/>
      </c>
      <c r="S26" s="247"/>
      <c r="T26" s="247" t="str">
        <f>IF(AND('Mapa final'!$H$58="Media",'Mapa final'!$L$58="Menor"),CONCATENATE("R",'Mapa final'!$A$58),"")</f>
        <v/>
      </c>
      <c r="U26" s="248"/>
      <c r="V26" s="246" t="str">
        <f>IF(AND('Mapa final'!$H$46="Media",'Mapa final'!$L$46="Moderado"),CONCATENATE("R",'Mapa final'!$A$46),"")</f>
        <v/>
      </c>
      <c r="W26" s="247"/>
      <c r="X26" s="247" t="str">
        <f>IF(AND('Mapa final'!$H$52="Media",'Mapa final'!$L$52="Moderado"),CONCATENATE("R",'Mapa final'!$A$52),"")</f>
        <v/>
      </c>
      <c r="Y26" s="247"/>
      <c r="Z26" s="247" t="str">
        <f>IF(AND('Mapa final'!$H$58="Media",'Mapa final'!$L$58="Moderado"),CONCATENATE("R",'Mapa final'!$A$58),"")</f>
        <v/>
      </c>
      <c r="AA26" s="248"/>
      <c r="AB26" s="264" t="str">
        <f>IF(AND('Mapa final'!$H$46="Media",'Mapa final'!$L$46="Mayor"),CONCATENATE("R",'Mapa final'!$A$46),"")</f>
        <v/>
      </c>
      <c r="AC26" s="265"/>
      <c r="AD26" s="265" t="str">
        <f>IF(AND('Mapa final'!$H$52="Media",'Mapa final'!$L$52="Mayor"),CONCATENATE("R",'Mapa final'!$A$52),"")</f>
        <v/>
      </c>
      <c r="AE26" s="265"/>
      <c r="AF26" s="265" t="str">
        <f>IF(AND('Mapa final'!$H$58="Media",'Mapa final'!$L$58="Mayor"),CONCATENATE("R",'Mapa final'!$A$58),"")</f>
        <v/>
      </c>
      <c r="AG26" s="266"/>
      <c r="AH26" s="255" t="str">
        <f>IF(AND('Mapa final'!$H$46="Media",'Mapa final'!$L$46="Catastrófico"),CONCATENATE("R",'Mapa final'!$A$46),"")</f>
        <v/>
      </c>
      <c r="AI26" s="256"/>
      <c r="AJ26" s="256" t="str">
        <f>IF(AND('Mapa final'!$H$52="Media",'Mapa final'!$L$52="Catastrófico"),CONCATENATE("R",'Mapa final'!$A$52),"")</f>
        <v/>
      </c>
      <c r="AK26" s="256"/>
      <c r="AL26" s="256" t="str">
        <f>IF(AND('Mapa final'!$H$58="Media",'Mapa final'!$L$58="Catastrófico"),CONCATENATE("R",'Mapa final'!$A$58),"")</f>
        <v/>
      </c>
      <c r="AM26" s="257"/>
      <c r="AN26" s="83"/>
      <c r="AO26" s="307"/>
      <c r="AP26" s="308"/>
      <c r="AQ26" s="308"/>
      <c r="AR26" s="308"/>
      <c r="AS26" s="308"/>
      <c r="AT26" s="309"/>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4"/>
      <c r="C27" s="284"/>
      <c r="D27" s="285"/>
      <c r="E27" s="277"/>
      <c r="F27" s="278"/>
      <c r="G27" s="278"/>
      <c r="H27" s="278"/>
      <c r="I27" s="279"/>
      <c r="J27" s="246"/>
      <c r="K27" s="247"/>
      <c r="L27" s="247"/>
      <c r="M27" s="247"/>
      <c r="N27" s="247"/>
      <c r="O27" s="248"/>
      <c r="P27" s="246"/>
      <c r="Q27" s="247"/>
      <c r="R27" s="247"/>
      <c r="S27" s="247"/>
      <c r="T27" s="247"/>
      <c r="U27" s="248"/>
      <c r="V27" s="246"/>
      <c r="W27" s="247"/>
      <c r="X27" s="247"/>
      <c r="Y27" s="247"/>
      <c r="Z27" s="247"/>
      <c r="AA27" s="248"/>
      <c r="AB27" s="264"/>
      <c r="AC27" s="265"/>
      <c r="AD27" s="265"/>
      <c r="AE27" s="265"/>
      <c r="AF27" s="265"/>
      <c r="AG27" s="266"/>
      <c r="AH27" s="255"/>
      <c r="AI27" s="256"/>
      <c r="AJ27" s="256"/>
      <c r="AK27" s="256"/>
      <c r="AL27" s="256"/>
      <c r="AM27" s="257"/>
      <c r="AN27" s="83"/>
      <c r="AO27" s="307"/>
      <c r="AP27" s="308"/>
      <c r="AQ27" s="308"/>
      <c r="AR27" s="308"/>
      <c r="AS27" s="308"/>
      <c r="AT27" s="30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4"/>
      <c r="C28" s="284"/>
      <c r="D28" s="285"/>
      <c r="E28" s="277"/>
      <c r="F28" s="278"/>
      <c r="G28" s="278"/>
      <c r="H28" s="278"/>
      <c r="I28" s="279"/>
      <c r="J28" s="246" t="str">
        <f>IF(AND('Mapa final'!$H$64="Media",'Mapa final'!$L$64="Leve"),CONCATENATE("R",'Mapa final'!$A$64),"")</f>
        <v/>
      </c>
      <c r="K28" s="247"/>
      <c r="L28" s="247" t="str">
        <f>IF(AND('Mapa final'!$H$70="Media",'Mapa final'!$L$70="Leve"),CONCATENATE("R",'Mapa final'!$A$70),"")</f>
        <v/>
      </c>
      <c r="M28" s="247"/>
      <c r="N28" s="247" t="str">
        <f>IF(AND('Mapa final'!$H$76="Media",'Mapa final'!$L$76="Leve"),CONCATENATE("R",'Mapa final'!$A$76),"")</f>
        <v/>
      </c>
      <c r="O28" s="248"/>
      <c r="P28" s="246" t="str">
        <f>IF(AND('Mapa final'!$H$64="Media",'Mapa final'!$L$64="Menor"),CONCATENATE("R",'Mapa final'!$A$64),"")</f>
        <v/>
      </c>
      <c r="Q28" s="247"/>
      <c r="R28" s="247" t="str">
        <f>IF(AND('Mapa final'!$H$70="Media",'Mapa final'!$L$70="Menor"),CONCATENATE("R",'Mapa final'!$A$70),"")</f>
        <v/>
      </c>
      <c r="S28" s="247"/>
      <c r="T28" s="247" t="str">
        <f>IF(AND('Mapa final'!$H$76="Media",'Mapa final'!$L$76="Menor"),CONCATENATE("R",'Mapa final'!$A$76),"")</f>
        <v/>
      </c>
      <c r="U28" s="248"/>
      <c r="V28" s="246" t="str">
        <f>IF(AND('Mapa final'!$H$64="Media",'Mapa final'!$L$64="Moderado"),CONCATENATE("R",'Mapa final'!$A$64),"")</f>
        <v/>
      </c>
      <c r="W28" s="247"/>
      <c r="X28" s="247" t="str">
        <f>IF(AND('Mapa final'!$H$70="Media",'Mapa final'!$L$70="Moderado"),CONCATENATE("R",'Mapa final'!$A$70),"")</f>
        <v/>
      </c>
      <c r="Y28" s="247"/>
      <c r="Z28" s="247" t="str">
        <f>IF(AND('Mapa final'!$H$76="Media",'Mapa final'!$L$76="Moderado"),CONCATENATE("R",'Mapa final'!$A$76),"")</f>
        <v/>
      </c>
      <c r="AA28" s="248"/>
      <c r="AB28" s="264" t="str">
        <f>IF(AND('Mapa final'!$H$64="Media",'Mapa final'!$L$64="Mayor"),CONCATENATE("R",'Mapa final'!$A$64),"")</f>
        <v/>
      </c>
      <c r="AC28" s="265"/>
      <c r="AD28" s="265" t="str">
        <f>IF(AND('Mapa final'!$H$70="Media",'Mapa final'!$L$70="Mayor"),CONCATENATE("R",'Mapa final'!$A$70),"")</f>
        <v/>
      </c>
      <c r="AE28" s="265"/>
      <c r="AF28" s="265" t="str">
        <f>IF(AND('Mapa final'!$H$76="Media",'Mapa final'!$L$76="Mayor"),CONCATENATE("R",'Mapa final'!$A$76),"")</f>
        <v/>
      </c>
      <c r="AG28" s="266"/>
      <c r="AH28" s="255" t="str">
        <f>IF(AND('Mapa final'!$H$64="Media",'Mapa final'!$L$64="Catastrófico"),CONCATENATE("R",'Mapa final'!$A$64),"")</f>
        <v/>
      </c>
      <c r="AI28" s="256"/>
      <c r="AJ28" s="256" t="str">
        <f>IF(AND('Mapa final'!$H$70="Media",'Mapa final'!$L$70="Catastrófico"),CONCATENATE("R",'Mapa final'!$A$70),"")</f>
        <v/>
      </c>
      <c r="AK28" s="256"/>
      <c r="AL28" s="256" t="str">
        <f>IF(AND('Mapa final'!$H$76="Media",'Mapa final'!$L$76="Catastrófico"),CONCATENATE("R",'Mapa final'!$A$76),"")</f>
        <v/>
      </c>
      <c r="AM28" s="257"/>
      <c r="AN28" s="83"/>
      <c r="AO28" s="307"/>
      <c r="AP28" s="308"/>
      <c r="AQ28" s="308"/>
      <c r="AR28" s="308"/>
      <c r="AS28" s="308"/>
      <c r="AT28" s="30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4"/>
      <c r="C29" s="284"/>
      <c r="D29" s="285"/>
      <c r="E29" s="280"/>
      <c r="F29" s="281"/>
      <c r="G29" s="281"/>
      <c r="H29" s="281"/>
      <c r="I29" s="282"/>
      <c r="J29" s="246"/>
      <c r="K29" s="247"/>
      <c r="L29" s="247"/>
      <c r="M29" s="247"/>
      <c r="N29" s="247"/>
      <c r="O29" s="248"/>
      <c r="P29" s="249"/>
      <c r="Q29" s="250"/>
      <c r="R29" s="250"/>
      <c r="S29" s="250"/>
      <c r="T29" s="250"/>
      <c r="U29" s="251"/>
      <c r="V29" s="249"/>
      <c r="W29" s="250"/>
      <c r="X29" s="250"/>
      <c r="Y29" s="250"/>
      <c r="Z29" s="250"/>
      <c r="AA29" s="251"/>
      <c r="AB29" s="267"/>
      <c r="AC29" s="268"/>
      <c r="AD29" s="268"/>
      <c r="AE29" s="268"/>
      <c r="AF29" s="268"/>
      <c r="AG29" s="269"/>
      <c r="AH29" s="258"/>
      <c r="AI29" s="259"/>
      <c r="AJ29" s="259"/>
      <c r="AK29" s="259"/>
      <c r="AL29" s="259"/>
      <c r="AM29" s="260"/>
      <c r="AN29" s="83"/>
      <c r="AO29" s="310"/>
      <c r="AP29" s="311"/>
      <c r="AQ29" s="311"/>
      <c r="AR29" s="311"/>
      <c r="AS29" s="311"/>
      <c r="AT29" s="31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4"/>
      <c r="C30" s="284"/>
      <c r="D30" s="285"/>
      <c r="E30" s="274" t="s">
        <v>114</v>
      </c>
      <c r="F30" s="275"/>
      <c r="G30" s="275"/>
      <c r="H30" s="275"/>
      <c r="I30" s="275"/>
      <c r="J30" s="243" t="str">
        <f>IF(AND('Mapa final'!$H$10="Baja",'Mapa final'!$L$10="Leve"),CONCATENATE("R",'Mapa final'!$A$10),"")</f>
        <v/>
      </c>
      <c r="K30" s="244"/>
      <c r="L30" s="244" t="str">
        <f>IF(AND('Mapa final'!$H$16="Baja",'Mapa final'!$L$16="Leve"),CONCATENATE("R",'Mapa final'!$A$16),"")</f>
        <v/>
      </c>
      <c r="M30" s="244"/>
      <c r="N30" s="244" t="str">
        <f>IF(AND('Mapa final'!$H$22="Baja",'Mapa final'!$L$22="Leve"),CONCATENATE("R",'Mapa final'!$A$22),"")</f>
        <v/>
      </c>
      <c r="O30" s="245"/>
      <c r="P30" s="253" t="str">
        <f>IF(AND('Mapa final'!$H$10="Baja",'Mapa final'!$L$10="Menor"),CONCATENATE("R",'Mapa final'!$A$10),"")</f>
        <v/>
      </c>
      <c r="Q30" s="253"/>
      <c r="R30" s="253" t="str">
        <f>IF(AND('Mapa final'!$H$16="Baja",'Mapa final'!$L$16="Menor"),CONCATENATE("R",'Mapa final'!$A$16),"")</f>
        <v/>
      </c>
      <c r="S30" s="253"/>
      <c r="T30" s="253" t="str">
        <f>IF(AND('Mapa final'!$H$22="Baja",'Mapa final'!$L$22="Menor"),CONCATENATE("R",'Mapa final'!$A$22),"")</f>
        <v/>
      </c>
      <c r="U30" s="254"/>
      <c r="V30" s="252" t="str">
        <f>IF(AND('Mapa final'!$H$10="Baja",'Mapa final'!$L$10="Moderado"),CONCATENATE("R",'Mapa final'!$A$10),"")</f>
        <v/>
      </c>
      <c r="W30" s="253"/>
      <c r="X30" s="253" t="str">
        <f>IF(AND('Mapa final'!$H$16="Baja",'Mapa final'!$L$16="Moderado"),CONCATENATE("R",'Mapa final'!$A$16),"")</f>
        <v/>
      </c>
      <c r="Y30" s="253"/>
      <c r="Z30" s="253" t="str">
        <f>IF(AND('Mapa final'!$H$22="Baja",'Mapa final'!$L$22="Moderado"),CONCATENATE("R",'Mapa final'!$A$22),"")</f>
        <v/>
      </c>
      <c r="AA30" s="254"/>
      <c r="AB30" s="270" t="str">
        <f>IF(AND('Mapa final'!$H$10="Baja",'Mapa final'!$L$10="Mayor"),CONCATENATE("R",'Mapa final'!$A$10),"")</f>
        <v/>
      </c>
      <c r="AC30" s="271"/>
      <c r="AD30" s="271" t="str">
        <f>IF(AND('Mapa final'!$H$16="Baja",'Mapa final'!$L$16="Mayor"),CONCATENATE("R",'Mapa final'!$A$16),"")</f>
        <v/>
      </c>
      <c r="AE30" s="271"/>
      <c r="AF30" s="271" t="str">
        <f>IF(AND('Mapa final'!$H$22="Baja",'Mapa final'!$L$22="Mayor"),CONCATENATE("R",'Mapa final'!$A$22),"")</f>
        <v/>
      </c>
      <c r="AG30" s="272"/>
      <c r="AH30" s="261" t="str">
        <f>IF(AND('Mapa final'!$H$10="Baja",'Mapa final'!$L$10="Catastrófico"),CONCATENATE("R",'Mapa final'!$A$10),"")</f>
        <v/>
      </c>
      <c r="AI30" s="262"/>
      <c r="AJ30" s="262" t="str">
        <f>IF(AND('Mapa final'!$H$16="Baja",'Mapa final'!$L$16="Catastrófico"),CONCATENATE("R",'Mapa final'!$A$16),"")</f>
        <v/>
      </c>
      <c r="AK30" s="262"/>
      <c r="AL30" s="262" t="str">
        <f>IF(AND('Mapa final'!$H$22="Baja",'Mapa final'!$L$22="Catastrófico"),CONCATENATE("R",'Mapa final'!$A$22),"")</f>
        <v/>
      </c>
      <c r="AM30" s="263"/>
      <c r="AN30" s="83"/>
      <c r="AO30" s="313" t="s">
        <v>82</v>
      </c>
      <c r="AP30" s="314"/>
      <c r="AQ30" s="314"/>
      <c r="AR30" s="314"/>
      <c r="AS30" s="314"/>
      <c r="AT30" s="31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4"/>
      <c r="C31" s="284"/>
      <c r="D31" s="285"/>
      <c r="E31" s="277"/>
      <c r="F31" s="278"/>
      <c r="G31" s="278"/>
      <c r="H31" s="278"/>
      <c r="I31" s="278"/>
      <c r="J31" s="237"/>
      <c r="K31" s="238"/>
      <c r="L31" s="238"/>
      <c r="M31" s="238"/>
      <c r="N31" s="238"/>
      <c r="O31" s="239"/>
      <c r="P31" s="247"/>
      <c r="Q31" s="247"/>
      <c r="R31" s="247"/>
      <c r="S31" s="247"/>
      <c r="T31" s="247"/>
      <c r="U31" s="248"/>
      <c r="V31" s="246"/>
      <c r="W31" s="247"/>
      <c r="X31" s="247"/>
      <c r="Y31" s="247"/>
      <c r="Z31" s="247"/>
      <c r="AA31" s="248"/>
      <c r="AB31" s="264"/>
      <c r="AC31" s="265"/>
      <c r="AD31" s="265"/>
      <c r="AE31" s="265"/>
      <c r="AF31" s="265"/>
      <c r="AG31" s="266"/>
      <c r="AH31" s="255"/>
      <c r="AI31" s="256"/>
      <c r="AJ31" s="256"/>
      <c r="AK31" s="256"/>
      <c r="AL31" s="256"/>
      <c r="AM31" s="257"/>
      <c r="AN31" s="83"/>
      <c r="AO31" s="316"/>
      <c r="AP31" s="317"/>
      <c r="AQ31" s="317"/>
      <c r="AR31" s="317"/>
      <c r="AS31" s="317"/>
      <c r="AT31" s="31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4"/>
      <c r="C32" s="284"/>
      <c r="D32" s="285"/>
      <c r="E32" s="277"/>
      <c r="F32" s="278"/>
      <c r="G32" s="278"/>
      <c r="H32" s="278"/>
      <c r="I32" s="278"/>
      <c r="J32" s="237" t="str">
        <f>IF(AND('Mapa final'!$H$28="Baja",'Mapa final'!$L$28="Leve"),CONCATENATE("R",'Mapa final'!$A$28),"")</f>
        <v/>
      </c>
      <c r="K32" s="238"/>
      <c r="L32" s="238" t="str">
        <f>IF(AND('Mapa final'!$H$34="Baja",'Mapa final'!$L$34="Leve"),CONCATENATE("R",'Mapa final'!$A$34),"")</f>
        <v/>
      </c>
      <c r="M32" s="238"/>
      <c r="N32" s="238" t="str">
        <f>IF(AND('Mapa final'!$H$40="Baja",'Mapa final'!$L$40="Leve"),CONCATENATE("R",'Mapa final'!$A$40),"")</f>
        <v/>
      </c>
      <c r="O32" s="239"/>
      <c r="P32" s="247" t="str">
        <f>IF(AND('Mapa final'!$H$28="Baja",'Mapa final'!$L$28="Menor"),CONCATENATE("R",'Mapa final'!$A$28),"")</f>
        <v/>
      </c>
      <c r="Q32" s="247"/>
      <c r="R32" s="247" t="str">
        <f>IF(AND('Mapa final'!$H$34="Baja",'Mapa final'!$L$34="Menor"),CONCATENATE("R",'Mapa final'!$A$34),"")</f>
        <v/>
      </c>
      <c r="S32" s="247"/>
      <c r="T32" s="247" t="str">
        <f>IF(AND('Mapa final'!$H$40="Baja",'Mapa final'!$L$40="Menor"),CONCATENATE("R",'Mapa final'!$A$40),"")</f>
        <v/>
      </c>
      <c r="U32" s="248"/>
      <c r="V32" s="246" t="str">
        <f>IF(AND('Mapa final'!$H$28="Baja",'Mapa final'!$L$28="Moderado"),CONCATENATE("R",'Mapa final'!$A$28),"")</f>
        <v/>
      </c>
      <c r="W32" s="247"/>
      <c r="X32" s="247" t="str">
        <f>IF(AND('Mapa final'!$H$34="Baja",'Mapa final'!$L$34="Moderado"),CONCATENATE("R",'Mapa final'!$A$34),"")</f>
        <v/>
      </c>
      <c r="Y32" s="247"/>
      <c r="Z32" s="247" t="str">
        <f>IF(AND('Mapa final'!$H$40="Baja",'Mapa final'!$L$40="Moderado"),CONCATENATE("R",'Mapa final'!$A$40),"")</f>
        <v/>
      </c>
      <c r="AA32" s="248"/>
      <c r="AB32" s="264" t="str">
        <f>IF(AND('Mapa final'!$H$28="Baja",'Mapa final'!$L$28="Mayor"),CONCATENATE("R",'Mapa final'!$A$28),"")</f>
        <v/>
      </c>
      <c r="AC32" s="265"/>
      <c r="AD32" s="265" t="str">
        <f>IF(AND('Mapa final'!$H$34="Baja",'Mapa final'!$L$34="Mayor"),CONCATENATE("R",'Mapa final'!$A$34),"")</f>
        <v/>
      </c>
      <c r="AE32" s="265"/>
      <c r="AF32" s="265" t="str">
        <f>IF(AND('Mapa final'!$H$40="Baja",'Mapa final'!$L$40="Mayor"),CONCATENATE("R",'Mapa final'!$A$40),"")</f>
        <v/>
      </c>
      <c r="AG32" s="266"/>
      <c r="AH32" s="255" t="str">
        <f>IF(AND('Mapa final'!$H$28="Baja",'Mapa final'!$L$28="Catastrófico"),CONCATENATE("R",'Mapa final'!$A$28),"")</f>
        <v/>
      </c>
      <c r="AI32" s="256"/>
      <c r="AJ32" s="256" t="str">
        <f>IF(AND('Mapa final'!$H$34="Baja",'Mapa final'!$L$34="Catastrófico"),CONCATENATE("R",'Mapa final'!$A$34),"")</f>
        <v/>
      </c>
      <c r="AK32" s="256"/>
      <c r="AL32" s="256" t="str">
        <f>IF(AND('Mapa final'!$H$40="Baja",'Mapa final'!$L$40="Catastrófico"),CONCATENATE("R",'Mapa final'!$A$40),"")</f>
        <v/>
      </c>
      <c r="AM32" s="257"/>
      <c r="AN32" s="83"/>
      <c r="AO32" s="316"/>
      <c r="AP32" s="317"/>
      <c r="AQ32" s="317"/>
      <c r="AR32" s="317"/>
      <c r="AS32" s="317"/>
      <c r="AT32" s="31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4"/>
      <c r="C33" s="284"/>
      <c r="D33" s="285"/>
      <c r="E33" s="277"/>
      <c r="F33" s="278"/>
      <c r="G33" s="278"/>
      <c r="H33" s="278"/>
      <c r="I33" s="278"/>
      <c r="J33" s="237"/>
      <c r="K33" s="238"/>
      <c r="L33" s="238"/>
      <c r="M33" s="238"/>
      <c r="N33" s="238"/>
      <c r="O33" s="239"/>
      <c r="P33" s="247"/>
      <c r="Q33" s="247"/>
      <c r="R33" s="247"/>
      <c r="S33" s="247"/>
      <c r="T33" s="247"/>
      <c r="U33" s="248"/>
      <c r="V33" s="246"/>
      <c r="W33" s="247"/>
      <c r="X33" s="247"/>
      <c r="Y33" s="247"/>
      <c r="Z33" s="247"/>
      <c r="AA33" s="248"/>
      <c r="AB33" s="264"/>
      <c r="AC33" s="265"/>
      <c r="AD33" s="265"/>
      <c r="AE33" s="265"/>
      <c r="AF33" s="265"/>
      <c r="AG33" s="266"/>
      <c r="AH33" s="255"/>
      <c r="AI33" s="256"/>
      <c r="AJ33" s="256"/>
      <c r="AK33" s="256"/>
      <c r="AL33" s="256"/>
      <c r="AM33" s="257"/>
      <c r="AN33" s="83"/>
      <c r="AO33" s="316"/>
      <c r="AP33" s="317"/>
      <c r="AQ33" s="317"/>
      <c r="AR33" s="317"/>
      <c r="AS33" s="317"/>
      <c r="AT33" s="31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4"/>
      <c r="C34" s="284"/>
      <c r="D34" s="285"/>
      <c r="E34" s="277"/>
      <c r="F34" s="278"/>
      <c r="G34" s="278"/>
      <c r="H34" s="278"/>
      <c r="I34" s="278"/>
      <c r="J34" s="237" t="str">
        <f>IF(AND('Mapa final'!$H$46="Baja",'Mapa final'!$L$46="Leve"),CONCATENATE("R",'Mapa final'!$A$46),"")</f>
        <v/>
      </c>
      <c r="K34" s="238"/>
      <c r="L34" s="238" t="str">
        <f>IF(AND('Mapa final'!$H$52="Baja",'Mapa final'!$L$52="Leve"),CONCATENATE("R",'Mapa final'!$A$52),"")</f>
        <v/>
      </c>
      <c r="M34" s="238"/>
      <c r="N34" s="238" t="str">
        <f>IF(AND('Mapa final'!$H$58="Baja",'Mapa final'!$L$58="Leve"),CONCATENATE("R",'Mapa final'!$A$58),"")</f>
        <v/>
      </c>
      <c r="O34" s="239"/>
      <c r="P34" s="247" t="str">
        <f>IF(AND('Mapa final'!$H$46="Baja",'Mapa final'!$L$46="Menor"),CONCATENATE("R",'Mapa final'!$A$46),"")</f>
        <v/>
      </c>
      <c r="Q34" s="247"/>
      <c r="R34" s="247" t="str">
        <f>IF(AND('Mapa final'!$H$52="Baja",'Mapa final'!$L$52="Menor"),CONCATENATE("R",'Mapa final'!$A$52),"")</f>
        <v/>
      </c>
      <c r="S34" s="247"/>
      <c r="T34" s="247" t="str">
        <f>IF(AND('Mapa final'!$H$58="Baja",'Mapa final'!$L$58="Menor"),CONCATENATE("R",'Mapa final'!$A$58),"")</f>
        <v/>
      </c>
      <c r="U34" s="248"/>
      <c r="V34" s="246" t="str">
        <f>IF(AND('Mapa final'!$H$46="Baja",'Mapa final'!$L$46="Moderado"),CONCATENATE("R",'Mapa final'!$A$46),"")</f>
        <v/>
      </c>
      <c r="W34" s="247"/>
      <c r="X34" s="247" t="str">
        <f>IF(AND('Mapa final'!$H$52="Baja",'Mapa final'!$L$52="Moderado"),CONCATENATE("R",'Mapa final'!$A$52),"")</f>
        <v/>
      </c>
      <c r="Y34" s="247"/>
      <c r="Z34" s="247" t="str">
        <f>IF(AND('Mapa final'!$H$58="Baja",'Mapa final'!$L$58="Moderado"),CONCATENATE("R",'Mapa final'!$A$58),"")</f>
        <v/>
      </c>
      <c r="AA34" s="248"/>
      <c r="AB34" s="264" t="str">
        <f>IF(AND('Mapa final'!$H$46="Baja",'Mapa final'!$L$46="Mayor"),CONCATENATE("R",'Mapa final'!$A$46),"")</f>
        <v/>
      </c>
      <c r="AC34" s="265"/>
      <c r="AD34" s="265" t="str">
        <f>IF(AND('Mapa final'!$H$52="Baja",'Mapa final'!$L$52="Mayor"),CONCATENATE("R",'Mapa final'!$A$52),"")</f>
        <v/>
      </c>
      <c r="AE34" s="265"/>
      <c r="AF34" s="265" t="str">
        <f>IF(AND('Mapa final'!$H$58="Baja",'Mapa final'!$L$58="Mayor"),CONCATENATE("R",'Mapa final'!$A$58),"")</f>
        <v/>
      </c>
      <c r="AG34" s="266"/>
      <c r="AH34" s="255" t="str">
        <f>IF(AND('Mapa final'!$H$46="Baja",'Mapa final'!$L$46="Catastrófico"),CONCATENATE("R",'Mapa final'!$A$46),"")</f>
        <v/>
      </c>
      <c r="AI34" s="256"/>
      <c r="AJ34" s="256" t="str">
        <f>IF(AND('Mapa final'!$H$52="Baja",'Mapa final'!$L$52="Catastrófico"),CONCATENATE("R",'Mapa final'!$A$52),"")</f>
        <v/>
      </c>
      <c r="AK34" s="256"/>
      <c r="AL34" s="256" t="str">
        <f>IF(AND('Mapa final'!$H$58="Baja",'Mapa final'!$L$58="Catastrófico"),CONCATENATE("R",'Mapa final'!$A$58),"")</f>
        <v/>
      </c>
      <c r="AM34" s="257"/>
      <c r="AN34" s="83"/>
      <c r="AO34" s="316"/>
      <c r="AP34" s="317"/>
      <c r="AQ34" s="317"/>
      <c r="AR34" s="317"/>
      <c r="AS34" s="317"/>
      <c r="AT34" s="31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4"/>
      <c r="C35" s="284"/>
      <c r="D35" s="285"/>
      <c r="E35" s="277"/>
      <c r="F35" s="278"/>
      <c r="G35" s="278"/>
      <c r="H35" s="278"/>
      <c r="I35" s="278"/>
      <c r="J35" s="237"/>
      <c r="K35" s="238"/>
      <c r="L35" s="238"/>
      <c r="M35" s="238"/>
      <c r="N35" s="238"/>
      <c r="O35" s="239"/>
      <c r="P35" s="247"/>
      <c r="Q35" s="247"/>
      <c r="R35" s="247"/>
      <c r="S35" s="247"/>
      <c r="T35" s="247"/>
      <c r="U35" s="248"/>
      <c r="V35" s="246"/>
      <c r="W35" s="247"/>
      <c r="X35" s="247"/>
      <c r="Y35" s="247"/>
      <c r="Z35" s="247"/>
      <c r="AA35" s="248"/>
      <c r="AB35" s="264"/>
      <c r="AC35" s="265"/>
      <c r="AD35" s="265"/>
      <c r="AE35" s="265"/>
      <c r="AF35" s="265"/>
      <c r="AG35" s="266"/>
      <c r="AH35" s="255"/>
      <c r="AI35" s="256"/>
      <c r="AJ35" s="256"/>
      <c r="AK35" s="256"/>
      <c r="AL35" s="256"/>
      <c r="AM35" s="257"/>
      <c r="AN35" s="83"/>
      <c r="AO35" s="316"/>
      <c r="AP35" s="317"/>
      <c r="AQ35" s="317"/>
      <c r="AR35" s="317"/>
      <c r="AS35" s="317"/>
      <c r="AT35" s="31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4"/>
      <c r="C36" s="284"/>
      <c r="D36" s="285"/>
      <c r="E36" s="277"/>
      <c r="F36" s="278"/>
      <c r="G36" s="278"/>
      <c r="H36" s="278"/>
      <c r="I36" s="278"/>
      <c r="J36" s="237" t="str">
        <f>IF(AND('Mapa final'!$H$64="Baja",'Mapa final'!$L$64="Leve"),CONCATENATE("R",'Mapa final'!$A$64),"")</f>
        <v/>
      </c>
      <c r="K36" s="238"/>
      <c r="L36" s="238" t="str">
        <f>IF(AND('Mapa final'!$H$70="Baja",'Mapa final'!$L$70="Leve"),CONCATENATE("R",'Mapa final'!$A$70),"")</f>
        <v/>
      </c>
      <c r="M36" s="238"/>
      <c r="N36" s="238" t="str">
        <f>IF(AND('Mapa final'!$H$76="Baja",'Mapa final'!$L$76="Leve"),CONCATENATE("R",'Mapa final'!$A$76),"")</f>
        <v/>
      </c>
      <c r="O36" s="239"/>
      <c r="P36" s="247" t="str">
        <f>IF(AND('Mapa final'!$H$64="Baja",'Mapa final'!$L$64="Menor"),CONCATENATE("R",'Mapa final'!$A$64),"")</f>
        <v/>
      </c>
      <c r="Q36" s="247"/>
      <c r="R36" s="247" t="str">
        <f>IF(AND('Mapa final'!$H$70="Baja",'Mapa final'!$L$70="Menor"),CONCATENATE("R",'Mapa final'!$A$70),"")</f>
        <v/>
      </c>
      <c r="S36" s="247"/>
      <c r="T36" s="247" t="str">
        <f>IF(AND('Mapa final'!$H$76="Baja",'Mapa final'!$L$76="Menor"),CONCATENATE("R",'Mapa final'!$A$76),"")</f>
        <v/>
      </c>
      <c r="U36" s="248"/>
      <c r="V36" s="246" t="str">
        <f>IF(AND('Mapa final'!$H$64="Baja",'Mapa final'!$L$64="Moderado"),CONCATENATE("R",'Mapa final'!$A$64),"")</f>
        <v/>
      </c>
      <c r="W36" s="247"/>
      <c r="X36" s="247" t="str">
        <f>IF(AND('Mapa final'!$H$70="Baja",'Mapa final'!$L$70="Moderado"),CONCATENATE("R",'Mapa final'!$A$70),"")</f>
        <v/>
      </c>
      <c r="Y36" s="247"/>
      <c r="Z36" s="247" t="str">
        <f>IF(AND('Mapa final'!$H$76="Baja",'Mapa final'!$L$76="Moderado"),CONCATENATE("R",'Mapa final'!$A$76),"")</f>
        <v/>
      </c>
      <c r="AA36" s="248"/>
      <c r="AB36" s="264" t="str">
        <f>IF(AND('Mapa final'!$H$64="Baja",'Mapa final'!$L$64="Mayor"),CONCATENATE("R",'Mapa final'!$A$64),"")</f>
        <v/>
      </c>
      <c r="AC36" s="265"/>
      <c r="AD36" s="265" t="str">
        <f>IF(AND('Mapa final'!$H$70="Baja",'Mapa final'!$L$70="Mayor"),CONCATENATE("R",'Mapa final'!$A$70),"")</f>
        <v/>
      </c>
      <c r="AE36" s="265"/>
      <c r="AF36" s="265" t="str">
        <f>IF(AND('Mapa final'!$H$76="Baja",'Mapa final'!$L$76="Mayor"),CONCATENATE("R",'Mapa final'!$A$76),"")</f>
        <v/>
      </c>
      <c r="AG36" s="266"/>
      <c r="AH36" s="255" t="str">
        <f>IF(AND('Mapa final'!$H$64="Baja",'Mapa final'!$L$64="Catastrófico"),CONCATENATE("R",'Mapa final'!$A$64),"")</f>
        <v/>
      </c>
      <c r="AI36" s="256"/>
      <c r="AJ36" s="256" t="str">
        <f>IF(AND('Mapa final'!$H$70="Baja",'Mapa final'!$L$70="Catastrófico"),CONCATENATE("R",'Mapa final'!$A$70),"")</f>
        <v/>
      </c>
      <c r="AK36" s="256"/>
      <c r="AL36" s="256" t="str">
        <f>IF(AND('Mapa final'!$H$76="Baja",'Mapa final'!$L$76="Catastrófico"),CONCATENATE("R",'Mapa final'!$A$76),"")</f>
        <v/>
      </c>
      <c r="AM36" s="257"/>
      <c r="AN36" s="83"/>
      <c r="AO36" s="316"/>
      <c r="AP36" s="317"/>
      <c r="AQ36" s="317"/>
      <c r="AR36" s="317"/>
      <c r="AS36" s="317"/>
      <c r="AT36" s="31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4"/>
      <c r="C37" s="284"/>
      <c r="D37" s="285"/>
      <c r="E37" s="280"/>
      <c r="F37" s="281"/>
      <c r="G37" s="281"/>
      <c r="H37" s="281"/>
      <c r="I37" s="281"/>
      <c r="J37" s="240"/>
      <c r="K37" s="241"/>
      <c r="L37" s="241"/>
      <c r="M37" s="241"/>
      <c r="N37" s="241"/>
      <c r="O37" s="242"/>
      <c r="P37" s="250"/>
      <c r="Q37" s="250"/>
      <c r="R37" s="250"/>
      <c r="S37" s="250"/>
      <c r="T37" s="250"/>
      <c r="U37" s="251"/>
      <c r="V37" s="249"/>
      <c r="W37" s="250"/>
      <c r="X37" s="250"/>
      <c r="Y37" s="250"/>
      <c r="Z37" s="250"/>
      <c r="AA37" s="251"/>
      <c r="AB37" s="267"/>
      <c r="AC37" s="268"/>
      <c r="AD37" s="268"/>
      <c r="AE37" s="268"/>
      <c r="AF37" s="268"/>
      <c r="AG37" s="269"/>
      <c r="AH37" s="258"/>
      <c r="AI37" s="259"/>
      <c r="AJ37" s="259"/>
      <c r="AK37" s="259"/>
      <c r="AL37" s="259"/>
      <c r="AM37" s="260"/>
      <c r="AN37" s="83"/>
      <c r="AO37" s="319"/>
      <c r="AP37" s="320"/>
      <c r="AQ37" s="320"/>
      <c r="AR37" s="320"/>
      <c r="AS37" s="320"/>
      <c r="AT37" s="32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4"/>
      <c r="C38" s="284"/>
      <c r="D38" s="285"/>
      <c r="E38" s="274" t="s">
        <v>113</v>
      </c>
      <c r="F38" s="275"/>
      <c r="G38" s="275"/>
      <c r="H38" s="275"/>
      <c r="I38" s="276"/>
      <c r="J38" s="243" t="str">
        <f>IF(AND('Mapa final'!$H$10="Muy Baja",'Mapa final'!$L$10="Leve"),CONCATENATE("R",'Mapa final'!$A$10),"")</f>
        <v>R1</v>
      </c>
      <c r="K38" s="244"/>
      <c r="L38" s="244" t="str">
        <f>IF(AND('Mapa final'!$H$16="Muy Baja",'Mapa final'!$L$16="Leve"),CONCATENATE("R",'Mapa final'!$A$16),"")</f>
        <v/>
      </c>
      <c r="M38" s="244"/>
      <c r="N38" s="244" t="str">
        <f>IF(AND('Mapa final'!$H$22="Muy Baja",'Mapa final'!$L$22="Leve"),CONCATENATE("R",'Mapa final'!$A$22),"")</f>
        <v/>
      </c>
      <c r="O38" s="245"/>
      <c r="P38" s="243" t="str">
        <f>IF(AND('Mapa final'!$H$10="Muy Baja",'Mapa final'!$L$10="Menor"),CONCATENATE("R",'Mapa final'!$A$10),"")</f>
        <v/>
      </c>
      <c r="Q38" s="244"/>
      <c r="R38" s="244" t="str">
        <f>IF(AND('Mapa final'!$H$16="Muy Baja",'Mapa final'!$L$16="Menor"),CONCATENATE("R",'Mapa final'!$A$16),"")</f>
        <v/>
      </c>
      <c r="S38" s="244"/>
      <c r="T38" s="244" t="str">
        <f>IF(AND('Mapa final'!$H$22="Muy Baja",'Mapa final'!$L$22="Menor"),CONCATENATE("R",'Mapa final'!$A$22),"")</f>
        <v/>
      </c>
      <c r="U38" s="245"/>
      <c r="V38" s="252" t="str">
        <f>IF(AND('Mapa final'!$H$10="Muy Baja",'Mapa final'!$L$10="Moderado"),CONCATENATE("R",'Mapa final'!$A$10),"")</f>
        <v/>
      </c>
      <c r="W38" s="253"/>
      <c r="X38" s="253" t="str">
        <f>IF(AND('Mapa final'!$H$16="Muy Baja",'Mapa final'!$L$16="Moderado"),CONCATENATE("R",'Mapa final'!$A$16),"")</f>
        <v/>
      </c>
      <c r="Y38" s="253"/>
      <c r="Z38" s="253" t="str">
        <f>IF(AND('Mapa final'!$H$22="Muy Baja",'Mapa final'!$L$22="Moderado"),CONCATENATE("R",'Mapa final'!$A$22),"")</f>
        <v/>
      </c>
      <c r="AA38" s="254"/>
      <c r="AB38" s="270" t="str">
        <f>IF(AND('Mapa final'!$H$10="Muy Baja",'Mapa final'!$L$10="Mayor"),CONCATENATE("R",'Mapa final'!$A$10),"")</f>
        <v/>
      </c>
      <c r="AC38" s="271"/>
      <c r="AD38" s="271" t="str">
        <f>IF(AND('Mapa final'!$H$16="Muy Baja",'Mapa final'!$L$16="Mayor"),CONCATENATE("R",'Mapa final'!$A$16),"")</f>
        <v/>
      </c>
      <c r="AE38" s="271"/>
      <c r="AF38" s="271" t="str">
        <f>IF(AND('Mapa final'!$H$22="Muy Baja",'Mapa final'!$L$22="Mayor"),CONCATENATE("R",'Mapa final'!$A$22),"")</f>
        <v/>
      </c>
      <c r="AG38" s="272"/>
      <c r="AH38" s="261" t="str">
        <f>IF(AND('Mapa final'!$H$10="Muy Baja",'Mapa final'!$L$10="Catastrófico"),CONCATENATE("R",'Mapa final'!$A$10),"")</f>
        <v/>
      </c>
      <c r="AI38" s="262"/>
      <c r="AJ38" s="262" t="str">
        <f>IF(AND('Mapa final'!$H$16="Muy Baja",'Mapa final'!$L$16="Catastrófico"),CONCATENATE("R",'Mapa final'!$A$16),"")</f>
        <v/>
      </c>
      <c r="AK38" s="262"/>
      <c r="AL38" s="262" t="str">
        <f>IF(AND('Mapa final'!$H$22="Muy Baja",'Mapa final'!$L$22="Catastrófico"),CONCATENATE("R",'Mapa final'!$A$22),"")</f>
        <v/>
      </c>
      <c r="AM38" s="26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4"/>
      <c r="C39" s="284"/>
      <c r="D39" s="285"/>
      <c r="E39" s="277"/>
      <c r="F39" s="278"/>
      <c r="G39" s="278"/>
      <c r="H39" s="278"/>
      <c r="I39" s="279"/>
      <c r="J39" s="237"/>
      <c r="K39" s="238"/>
      <c r="L39" s="238"/>
      <c r="M39" s="238"/>
      <c r="N39" s="238"/>
      <c r="O39" s="239"/>
      <c r="P39" s="237"/>
      <c r="Q39" s="238"/>
      <c r="R39" s="238"/>
      <c r="S39" s="238"/>
      <c r="T39" s="238"/>
      <c r="U39" s="239"/>
      <c r="V39" s="246"/>
      <c r="W39" s="247"/>
      <c r="X39" s="247"/>
      <c r="Y39" s="247"/>
      <c r="Z39" s="247"/>
      <c r="AA39" s="248"/>
      <c r="AB39" s="264"/>
      <c r="AC39" s="265"/>
      <c r="AD39" s="265"/>
      <c r="AE39" s="265"/>
      <c r="AF39" s="265"/>
      <c r="AG39" s="266"/>
      <c r="AH39" s="255"/>
      <c r="AI39" s="256"/>
      <c r="AJ39" s="256"/>
      <c r="AK39" s="256"/>
      <c r="AL39" s="256"/>
      <c r="AM39" s="25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4"/>
      <c r="C40" s="284"/>
      <c r="D40" s="285"/>
      <c r="E40" s="277"/>
      <c r="F40" s="278"/>
      <c r="G40" s="278"/>
      <c r="H40" s="278"/>
      <c r="I40" s="279"/>
      <c r="J40" s="237" t="str">
        <f>IF(AND('Mapa final'!$H$28="Muy Baja",'Mapa final'!$L$28="Leve"),CONCATENATE("R",'Mapa final'!$A$28),"")</f>
        <v/>
      </c>
      <c r="K40" s="238"/>
      <c r="L40" s="238" t="str">
        <f>IF(AND('Mapa final'!$H$34="Muy Baja",'Mapa final'!$L$34="Leve"),CONCATENATE("R",'Mapa final'!$A$34),"")</f>
        <v/>
      </c>
      <c r="M40" s="238"/>
      <c r="N40" s="238" t="str">
        <f>IF(AND('Mapa final'!$H$40="Muy Baja",'Mapa final'!$L$40="Leve"),CONCATENATE("R",'Mapa final'!$A$40),"")</f>
        <v/>
      </c>
      <c r="O40" s="239"/>
      <c r="P40" s="237" t="str">
        <f>IF(AND('Mapa final'!$H$28="Muy Baja",'Mapa final'!$L$28="Menor"),CONCATENATE("R",'Mapa final'!$A$28),"")</f>
        <v/>
      </c>
      <c r="Q40" s="238"/>
      <c r="R40" s="238" t="str">
        <f>IF(AND('Mapa final'!$H$34="Muy Baja",'Mapa final'!$L$34="Menor"),CONCATENATE("R",'Mapa final'!$A$34),"")</f>
        <v/>
      </c>
      <c r="S40" s="238"/>
      <c r="T40" s="238" t="str">
        <f>IF(AND('Mapa final'!$H$40="Muy Baja",'Mapa final'!$L$40="Menor"),CONCATENATE("R",'Mapa final'!$A$40),"")</f>
        <v>R6</v>
      </c>
      <c r="U40" s="239"/>
      <c r="V40" s="246" t="str">
        <f>IF(AND('Mapa final'!$H$28="Muy Baja",'Mapa final'!$L$28="Moderado"),CONCATENATE("R",'Mapa final'!$A$28),"")</f>
        <v/>
      </c>
      <c r="W40" s="247"/>
      <c r="X40" s="247" t="str">
        <f>IF(AND('Mapa final'!$H$34="Muy Baja",'Mapa final'!$L$34="Moderado"),CONCATENATE("R",'Mapa final'!$A$34),"")</f>
        <v/>
      </c>
      <c r="Y40" s="247"/>
      <c r="Z40" s="247" t="str">
        <f>IF(AND('Mapa final'!$H$40="Muy Baja",'Mapa final'!$L$40="Moderado"),CONCATENATE("R",'Mapa final'!$A$40),"")</f>
        <v/>
      </c>
      <c r="AA40" s="248"/>
      <c r="AB40" s="264" t="str">
        <f>IF(AND('Mapa final'!$H$28="Muy Baja",'Mapa final'!$L$28="Mayor"),CONCATENATE("R",'Mapa final'!$A$28),"")</f>
        <v/>
      </c>
      <c r="AC40" s="265"/>
      <c r="AD40" s="265" t="str">
        <f>IF(AND('Mapa final'!$H$34="Muy Baja",'Mapa final'!$L$34="Mayor"),CONCATENATE("R",'Mapa final'!$A$34),"")</f>
        <v/>
      </c>
      <c r="AE40" s="265"/>
      <c r="AF40" s="265" t="str">
        <f>IF(AND('Mapa final'!$H$40="Muy Baja",'Mapa final'!$L$40="Mayor"),CONCATENATE("R",'Mapa final'!$A$40),"")</f>
        <v/>
      </c>
      <c r="AG40" s="266"/>
      <c r="AH40" s="255" t="str">
        <f>IF(AND('Mapa final'!$H$28="Muy Baja",'Mapa final'!$L$28="Catastrófico"),CONCATENATE("R",'Mapa final'!$A$28),"")</f>
        <v/>
      </c>
      <c r="AI40" s="256"/>
      <c r="AJ40" s="256" t="str">
        <f>IF(AND('Mapa final'!$H$34="Muy Baja",'Mapa final'!$L$34="Catastrófico"),CONCATENATE("R",'Mapa final'!$A$34),"")</f>
        <v/>
      </c>
      <c r="AK40" s="256"/>
      <c r="AL40" s="256" t="str">
        <f>IF(AND('Mapa final'!$H$40="Muy Baja",'Mapa final'!$L$40="Catastrófico"),CONCATENATE("R",'Mapa final'!$A$40),"")</f>
        <v/>
      </c>
      <c r="AM40" s="25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4"/>
      <c r="C41" s="284"/>
      <c r="D41" s="285"/>
      <c r="E41" s="277"/>
      <c r="F41" s="278"/>
      <c r="G41" s="278"/>
      <c r="H41" s="278"/>
      <c r="I41" s="279"/>
      <c r="J41" s="237"/>
      <c r="K41" s="238"/>
      <c r="L41" s="238"/>
      <c r="M41" s="238"/>
      <c r="N41" s="238"/>
      <c r="O41" s="239"/>
      <c r="P41" s="237"/>
      <c r="Q41" s="238"/>
      <c r="R41" s="238"/>
      <c r="S41" s="238"/>
      <c r="T41" s="238"/>
      <c r="U41" s="239"/>
      <c r="V41" s="246"/>
      <c r="W41" s="247"/>
      <c r="X41" s="247"/>
      <c r="Y41" s="247"/>
      <c r="Z41" s="247"/>
      <c r="AA41" s="248"/>
      <c r="AB41" s="264"/>
      <c r="AC41" s="265"/>
      <c r="AD41" s="265"/>
      <c r="AE41" s="265"/>
      <c r="AF41" s="265"/>
      <c r="AG41" s="266"/>
      <c r="AH41" s="255"/>
      <c r="AI41" s="256"/>
      <c r="AJ41" s="256"/>
      <c r="AK41" s="256"/>
      <c r="AL41" s="256"/>
      <c r="AM41" s="25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4"/>
      <c r="C42" s="284"/>
      <c r="D42" s="285"/>
      <c r="E42" s="277"/>
      <c r="F42" s="278"/>
      <c r="G42" s="278"/>
      <c r="H42" s="278"/>
      <c r="I42" s="279"/>
      <c r="J42" s="237" t="str">
        <f>IF(AND('Mapa final'!$H$46="Muy Baja",'Mapa final'!$L$46="Leve"),CONCATENATE("R",'Mapa final'!$A$46),"")</f>
        <v/>
      </c>
      <c r="K42" s="238"/>
      <c r="L42" s="238" t="str">
        <f>IF(AND('Mapa final'!$H$52="Muy Baja",'Mapa final'!$L$52="Leve"),CONCATENATE("R",'Mapa final'!$A$52),"")</f>
        <v/>
      </c>
      <c r="M42" s="238"/>
      <c r="N42" s="238" t="str">
        <f>IF(AND('Mapa final'!$H$58="Muy Baja",'Mapa final'!$L$58="Leve"),CONCATENATE("R",'Mapa final'!$A$58),"")</f>
        <v/>
      </c>
      <c r="O42" s="239"/>
      <c r="P42" s="237" t="str">
        <f>IF(AND('Mapa final'!$H$46="Muy Baja",'Mapa final'!$L$46="Menor"),CONCATENATE("R",'Mapa final'!$A$46),"")</f>
        <v/>
      </c>
      <c r="Q42" s="238"/>
      <c r="R42" s="238" t="str">
        <f>IF(AND('Mapa final'!$H$52="Muy Baja",'Mapa final'!$L$52="Menor"),CONCATENATE("R",'Mapa final'!$A$52),"")</f>
        <v/>
      </c>
      <c r="S42" s="238"/>
      <c r="T42" s="238" t="str">
        <f>IF(AND('Mapa final'!$H$58="Muy Baja",'Mapa final'!$L$58="Menor"),CONCATENATE("R",'Mapa final'!$A$58),"")</f>
        <v/>
      </c>
      <c r="U42" s="239"/>
      <c r="V42" s="246" t="str">
        <f>IF(AND('Mapa final'!$H$46="Muy Baja",'Mapa final'!$L$46="Moderado"),CONCATENATE("R",'Mapa final'!$A$46),"")</f>
        <v/>
      </c>
      <c r="W42" s="247"/>
      <c r="X42" s="247" t="str">
        <f>IF(AND('Mapa final'!$H$52="Muy Baja",'Mapa final'!$L$52="Moderado"),CONCATENATE("R",'Mapa final'!$A$52),"")</f>
        <v/>
      </c>
      <c r="Y42" s="247"/>
      <c r="Z42" s="247" t="str">
        <f>IF(AND('Mapa final'!$H$58="Muy Baja",'Mapa final'!$L$58="Moderado"),CONCATENATE("R",'Mapa final'!$A$58),"")</f>
        <v/>
      </c>
      <c r="AA42" s="248"/>
      <c r="AB42" s="264" t="str">
        <f>IF(AND('Mapa final'!$H$46="Muy Baja",'Mapa final'!$L$46="Mayor"),CONCATENATE("R",'Mapa final'!$A$46),"")</f>
        <v/>
      </c>
      <c r="AC42" s="265"/>
      <c r="AD42" s="265" t="str">
        <f>IF(AND('Mapa final'!$H$52="Muy Baja",'Mapa final'!$L$52="Mayor"),CONCATENATE("R",'Mapa final'!$A$52),"")</f>
        <v/>
      </c>
      <c r="AE42" s="265"/>
      <c r="AF42" s="265" t="str">
        <f>IF(AND('Mapa final'!$H$58="Muy Baja",'Mapa final'!$L$58="Mayor"),CONCATENATE("R",'Mapa final'!$A$58),"")</f>
        <v/>
      </c>
      <c r="AG42" s="266"/>
      <c r="AH42" s="255" t="str">
        <f>IF(AND('Mapa final'!$H$46="Muy Baja",'Mapa final'!$L$46="Catastrófico"),CONCATENATE("R",'Mapa final'!$A$46),"")</f>
        <v/>
      </c>
      <c r="AI42" s="256"/>
      <c r="AJ42" s="256" t="str">
        <f>IF(AND('Mapa final'!$H$52="Muy Baja",'Mapa final'!$L$52="Catastrófico"),CONCATENATE("R",'Mapa final'!$A$52),"")</f>
        <v/>
      </c>
      <c r="AK42" s="256"/>
      <c r="AL42" s="256" t="str">
        <f>IF(AND('Mapa final'!$H$58="Muy Baja",'Mapa final'!$L$58="Catastrófico"),CONCATENATE("R",'Mapa final'!$A$58),"")</f>
        <v/>
      </c>
      <c r="AM42" s="25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4"/>
      <c r="C43" s="284"/>
      <c r="D43" s="285"/>
      <c r="E43" s="277"/>
      <c r="F43" s="278"/>
      <c r="G43" s="278"/>
      <c r="H43" s="278"/>
      <c r="I43" s="279"/>
      <c r="J43" s="237"/>
      <c r="K43" s="238"/>
      <c r="L43" s="238"/>
      <c r="M43" s="238"/>
      <c r="N43" s="238"/>
      <c r="O43" s="239"/>
      <c r="P43" s="237"/>
      <c r="Q43" s="238"/>
      <c r="R43" s="238"/>
      <c r="S43" s="238"/>
      <c r="T43" s="238"/>
      <c r="U43" s="239"/>
      <c r="V43" s="246"/>
      <c r="W43" s="247"/>
      <c r="X43" s="247"/>
      <c r="Y43" s="247"/>
      <c r="Z43" s="247"/>
      <c r="AA43" s="248"/>
      <c r="AB43" s="264"/>
      <c r="AC43" s="265"/>
      <c r="AD43" s="265"/>
      <c r="AE43" s="265"/>
      <c r="AF43" s="265"/>
      <c r="AG43" s="266"/>
      <c r="AH43" s="255"/>
      <c r="AI43" s="256"/>
      <c r="AJ43" s="256"/>
      <c r="AK43" s="256"/>
      <c r="AL43" s="256"/>
      <c r="AM43" s="25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4"/>
      <c r="C44" s="284"/>
      <c r="D44" s="285"/>
      <c r="E44" s="277"/>
      <c r="F44" s="278"/>
      <c r="G44" s="278"/>
      <c r="H44" s="278"/>
      <c r="I44" s="279"/>
      <c r="J44" s="237" t="str">
        <f>IF(AND('Mapa final'!$H$64="Muy Baja",'Mapa final'!$L$64="Leve"),CONCATENATE("R",'Mapa final'!$A$64),"")</f>
        <v/>
      </c>
      <c r="K44" s="238"/>
      <c r="L44" s="238" t="str">
        <f>IF(AND('Mapa final'!$H$70="Muy Baja",'Mapa final'!$L$70="Leve"),CONCATENATE("R",'Mapa final'!$A$70),"")</f>
        <v/>
      </c>
      <c r="M44" s="238"/>
      <c r="N44" s="238" t="str">
        <f>IF(AND('Mapa final'!$H$76="Muy Baja",'Mapa final'!$L$76="Leve"),CONCATENATE("R",'Mapa final'!$A$76),"")</f>
        <v/>
      </c>
      <c r="O44" s="239"/>
      <c r="P44" s="237" t="str">
        <f>IF(AND('Mapa final'!$H$64="Muy Baja",'Mapa final'!$L$64="Menor"),CONCATENATE("R",'Mapa final'!$A$64),"")</f>
        <v/>
      </c>
      <c r="Q44" s="238"/>
      <c r="R44" s="238" t="str">
        <f>IF(AND('Mapa final'!$H$70="Muy Baja",'Mapa final'!$L$70="Menor"),CONCATENATE("R",'Mapa final'!$A$70),"")</f>
        <v/>
      </c>
      <c r="S44" s="238"/>
      <c r="T44" s="238" t="str">
        <f>IF(AND('Mapa final'!$H$76="Muy Baja",'Mapa final'!$L$76="Menor"),CONCATENATE("R",'Mapa final'!$A$76),"")</f>
        <v/>
      </c>
      <c r="U44" s="239"/>
      <c r="V44" s="246" t="str">
        <f>IF(AND('Mapa final'!$H$64="Muy Baja",'Mapa final'!$L$64="Moderado"),CONCATENATE("R",'Mapa final'!$A$64),"")</f>
        <v/>
      </c>
      <c r="W44" s="247"/>
      <c r="X44" s="247" t="str">
        <f>IF(AND('Mapa final'!$H$70="Muy Baja",'Mapa final'!$L$70="Moderado"),CONCATENATE("R",'Mapa final'!$A$70),"")</f>
        <v/>
      </c>
      <c r="Y44" s="247"/>
      <c r="Z44" s="247" t="str">
        <f>IF(AND('Mapa final'!$H$76="Muy Baja",'Mapa final'!$L$76="Moderado"),CONCATENATE("R",'Mapa final'!$A$76),"")</f>
        <v/>
      </c>
      <c r="AA44" s="248"/>
      <c r="AB44" s="264" t="str">
        <f>IF(AND('Mapa final'!$H$64="Muy Baja",'Mapa final'!$L$64="Mayor"),CONCATENATE("R",'Mapa final'!$A$64),"")</f>
        <v/>
      </c>
      <c r="AC44" s="265"/>
      <c r="AD44" s="265" t="str">
        <f>IF(AND('Mapa final'!$H$70="Muy Baja",'Mapa final'!$L$70="Mayor"),CONCATENATE("R",'Mapa final'!$A$70),"")</f>
        <v/>
      </c>
      <c r="AE44" s="265"/>
      <c r="AF44" s="265" t="str">
        <f>IF(AND('Mapa final'!$H$76="Muy Baja",'Mapa final'!$L$76="Mayor"),CONCATENATE("R",'Mapa final'!$A$76),"")</f>
        <v/>
      </c>
      <c r="AG44" s="266"/>
      <c r="AH44" s="255" t="str">
        <f>IF(AND('Mapa final'!$H$64="Muy Baja",'Mapa final'!$L$64="Catastrófico"),CONCATENATE("R",'Mapa final'!$A$64),"")</f>
        <v/>
      </c>
      <c r="AI44" s="256"/>
      <c r="AJ44" s="256" t="str">
        <f>IF(AND('Mapa final'!$H$70="Muy Baja",'Mapa final'!$L$70="Catastrófico"),CONCATENATE("R",'Mapa final'!$A$70),"")</f>
        <v/>
      </c>
      <c r="AK44" s="256"/>
      <c r="AL44" s="256" t="str">
        <f>IF(AND('Mapa final'!$H$76="Muy Baja",'Mapa final'!$L$76="Catastrófico"),CONCATENATE("R",'Mapa final'!$A$76),"")</f>
        <v/>
      </c>
      <c r="AM44" s="25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4"/>
      <c r="C45" s="284"/>
      <c r="D45" s="285"/>
      <c r="E45" s="280"/>
      <c r="F45" s="281"/>
      <c r="G45" s="281"/>
      <c r="H45" s="281"/>
      <c r="I45" s="282"/>
      <c r="J45" s="240"/>
      <c r="K45" s="241"/>
      <c r="L45" s="241"/>
      <c r="M45" s="241"/>
      <c r="N45" s="241"/>
      <c r="O45" s="242"/>
      <c r="P45" s="240"/>
      <c r="Q45" s="241"/>
      <c r="R45" s="241"/>
      <c r="S45" s="241"/>
      <c r="T45" s="241"/>
      <c r="U45" s="242"/>
      <c r="V45" s="249"/>
      <c r="W45" s="250"/>
      <c r="X45" s="250"/>
      <c r="Y45" s="250"/>
      <c r="Z45" s="250"/>
      <c r="AA45" s="251"/>
      <c r="AB45" s="267"/>
      <c r="AC45" s="268"/>
      <c r="AD45" s="268"/>
      <c r="AE45" s="268"/>
      <c r="AF45" s="268"/>
      <c r="AG45" s="269"/>
      <c r="AH45" s="258"/>
      <c r="AI45" s="259"/>
      <c r="AJ45" s="259"/>
      <c r="AK45" s="259"/>
      <c r="AL45" s="259"/>
      <c r="AM45" s="26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83"/>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1" t="s">
        <v>160</v>
      </c>
      <c r="C2" s="352"/>
      <c r="D2" s="352"/>
      <c r="E2" s="352"/>
      <c r="F2" s="352"/>
      <c r="G2" s="352"/>
      <c r="H2" s="352"/>
      <c r="I2" s="352"/>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2"/>
      <c r="C3" s="352"/>
      <c r="D3" s="352"/>
      <c r="E3" s="352"/>
      <c r="F3" s="352"/>
      <c r="G3" s="352"/>
      <c r="H3" s="352"/>
      <c r="I3" s="352"/>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2"/>
      <c r="C4" s="352"/>
      <c r="D4" s="352"/>
      <c r="E4" s="352"/>
      <c r="F4" s="352"/>
      <c r="G4" s="352"/>
      <c r="H4" s="352"/>
      <c r="I4" s="352"/>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4" t="s">
        <v>4</v>
      </c>
      <c r="C6" s="284"/>
      <c r="D6" s="285"/>
      <c r="E6" s="322" t="s">
        <v>116</v>
      </c>
      <c r="F6" s="323"/>
      <c r="G6" s="323"/>
      <c r="H6" s="323"/>
      <c r="I6" s="324"/>
      <c r="J6" s="46" t="str">
        <f>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2" t="s">
        <v>79</v>
      </c>
      <c r="AP6" s="343"/>
      <c r="AQ6" s="343"/>
      <c r="AR6" s="343"/>
      <c r="AS6" s="343"/>
      <c r="AT6" s="34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4"/>
      <c r="C7" s="284"/>
      <c r="D7" s="285"/>
      <c r="E7" s="325"/>
      <c r="F7" s="326"/>
      <c r="G7" s="326"/>
      <c r="H7" s="326"/>
      <c r="I7" s="327"/>
      <c r="J7" s="52" t="str">
        <f>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5"/>
      <c r="AP7" s="346"/>
      <c r="AQ7" s="346"/>
      <c r="AR7" s="346"/>
      <c r="AS7" s="346"/>
      <c r="AT7" s="34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4"/>
      <c r="C8" s="284"/>
      <c r="D8" s="285"/>
      <c r="E8" s="325"/>
      <c r="F8" s="326"/>
      <c r="G8" s="326"/>
      <c r="H8" s="326"/>
      <c r="I8" s="327"/>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5"/>
      <c r="AP8" s="346"/>
      <c r="AQ8" s="346"/>
      <c r="AR8" s="346"/>
      <c r="AS8" s="346"/>
      <c r="AT8" s="34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4"/>
      <c r="C9" s="284"/>
      <c r="D9" s="285"/>
      <c r="E9" s="325"/>
      <c r="F9" s="326"/>
      <c r="G9" s="326"/>
      <c r="H9" s="326"/>
      <c r="I9" s="327"/>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5"/>
      <c r="AP9" s="346"/>
      <c r="AQ9" s="346"/>
      <c r="AR9" s="346"/>
      <c r="AS9" s="346"/>
      <c r="AT9" s="34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4"/>
      <c r="C10" s="284"/>
      <c r="D10" s="285"/>
      <c r="E10" s="325"/>
      <c r="F10" s="326"/>
      <c r="G10" s="326"/>
      <c r="H10" s="326"/>
      <c r="I10" s="327"/>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5"/>
      <c r="AP10" s="346"/>
      <c r="AQ10" s="346"/>
      <c r="AR10" s="346"/>
      <c r="AS10" s="346"/>
      <c r="AT10" s="34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4"/>
      <c r="C11" s="284"/>
      <c r="D11" s="285"/>
      <c r="E11" s="325"/>
      <c r="F11" s="326"/>
      <c r="G11" s="326"/>
      <c r="H11" s="326"/>
      <c r="I11" s="327"/>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5"/>
      <c r="AP11" s="346"/>
      <c r="AQ11" s="346"/>
      <c r="AR11" s="346"/>
      <c r="AS11" s="346"/>
      <c r="AT11" s="34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4"/>
      <c r="C12" s="284"/>
      <c r="D12" s="285"/>
      <c r="E12" s="325"/>
      <c r="F12" s="326"/>
      <c r="G12" s="326"/>
      <c r="H12" s="326"/>
      <c r="I12" s="327"/>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5"/>
      <c r="AP12" s="346"/>
      <c r="AQ12" s="346"/>
      <c r="AR12" s="346"/>
      <c r="AS12" s="346"/>
      <c r="AT12" s="34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4"/>
      <c r="C13" s="284"/>
      <c r="D13" s="285"/>
      <c r="E13" s="325"/>
      <c r="F13" s="326"/>
      <c r="G13" s="326"/>
      <c r="H13" s="326"/>
      <c r="I13" s="327"/>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5"/>
      <c r="AP13" s="346"/>
      <c r="AQ13" s="346"/>
      <c r="AR13" s="346"/>
      <c r="AS13" s="346"/>
      <c r="AT13" s="3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4"/>
      <c r="C14" s="284"/>
      <c r="D14" s="285"/>
      <c r="E14" s="325"/>
      <c r="F14" s="326"/>
      <c r="G14" s="326"/>
      <c r="H14" s="326"/>
      <c r="I14" s="327"/>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5"/>
      <c r="AP14" s="346"/>
      <c r="AQ14" s="346"/>
      <c r="AR14" s="346"/>
      <c r="AS14" s="346"/>
      <c r="AT14" s="34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4"/>
      <c r="C15" s="284"/>
      <c r="D15" s="285"/>
      <c r="E15" s="328"/>
      <c r="F15" s="329"/>
      <c r="G15" s="329"/>
      <c r="H15" s="329"/>
      <c r="I15" s="330"/>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8"/>
      <c r="AP15" s="349"/>
      <c r="AQ15" s="349"/>
      <c r="AR15" s="349"/>
      <c r="AS15" s="349"/>
      <c r="AT15" s="35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4"/>
      <c r="C16" s="284"/>
      <c r="D16" s="285"/>
      <c r="E16" s="322" t="s">
        <v>115</v>
      </c>
      <c r="F16" s="323"/>
      <c r="G16" s="323"/>
      <c r="H16" s="323"/>
      <c r="I16" s="323"/>
      <c r="J16" s="64" t="str">
        <f>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2" t="s">
        <v>80</v>
      </c>
      <c r="AP16" s="333"/>
      <c r="AQ16" s="333"/>
      <c r="AR16" s="333"/>
      <c r="AS16" s="333"/>
      <c r="AT16" s="33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4"/>
      <c r="C17" s="284"/>
      <c r="D17" s="285"/>
      <c r="E17" s="341"/>
      <c r="F17" s="326"/>
      <c r="G17" s="326"/>
      <c r="H17" s="326"/>
      <c r="I17" s="326"/>
      <c r="J17" s="67" t="str">
        <f>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5"/>
      <c r="AP17" s="336"/>
      <c r="AQ17" s="336"/>
      <c r="AR17" s="336"/>
      <c r="AS17" s="336"/>
      <c r="AT17" s="33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4"/>
      <c r="C18" s="284"/>
      <c r="D18" s="285"/>
      <c r="E18" s="325"/>
      <c r="F18" s="326"/>
      <c r="G18" s="326"/>
      <c r="H18" s="326"/>
      <c r="I18" s="326"/>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5"/>
      <c r="AP18" s="336"/>
      <c r="AQ18" s="336"/>
      <c r="AR18" s="336"/>
      <c r="AS18" s="336"/>
      <c r="AT18" s="33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4"/>
      <c r="C19" s="284"/>
      <c r="D19" s="285"/>
      <c r="E19" s="325"/>
      <c r="F19" s="326"/>
      <c r="G19" s="326"/>
      <c r="H19" s="326"/>
      <c r="I19" s="326"/>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5"/>
      <c r="AP19" s="336"/>
      <c r="AQ19" s="336"/>
      <c r="AR19" s="336"/>
      <c r="AS19" s="336"/>
      <c r="AT19" s="33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4"/>
      <c r="C20" s="284"/>
      <c r="D20" s="285"/>
      <c r="E20" s="325"/>
      <c r="F20" s="326"/>
      <c r="G20" s="326"/>
      <c r="H20" s="326"/>
      <c r="I20" s="326"/>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5"/>
      <c r="AP20" s="336"/>
      <c r="AQ20" s="336"/>
      <c r="AR20" s="336"/>
      <c r="AS20" s="336"/>
      <c r="AT20" s="33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4"/>
      <c r="C21" s="284"/>
      <c r="D21" s="285"/>
      <c r="E21" s="325"/>
      <c r="F21" s="326"/>
      <c r="G21" s="326"/>
      <c r="H21" s="326"/>
      <c r="I21" s="326"/>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5"/>
      <c r="AP21" s="336"/>
      <c r="AQ21" s="336"/>
      <c r="AR21" s="336"/>
      <c r="AS21" s="336"/>
      <c r="AT21" s="33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4"/>
      <c r="C22" s="284"/>
      <c r="D22" s="285"/>
      <c r="E22" s="325"/>
      <c r="F22" s="326"/>
      <c r="G22" s="326"/>
      <c r="H22" s="326"/>
      <c r="I22" s="326"/>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5"/>
      <c r="AP22" s="336"/>
      <c r="AQ22" s="336"/>
      <c r="AR22" s="336"/>
      <c r="AS22" s="336"/>
      <c r="AT22" s="33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4"/>
      <c r="C23" s="284"/>
      <c r="D23" s="285"/>
      <c r="E23" s="325"/>
      <c r="F23" s="326"/>
      <c r="G23" s="326"/>
      <c r="H23" s="326"/>
      <c r="I23" s="326"/>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5"/>
      <c r="AP23" s="336"/>
      <c r="AQ23" s="336"/>
      <c r="AR23" s="336"/>
      <c r="AS23" s="336"/>
      <c r="AT23" s="33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4"/>
      <c r="C24" s="284"/>
      <c r="D24" s="285"/>
      <c r="E24" s="325"/>
      <c r="F24" s="326"/>
      <c r="G24" s="326"/>
      <c r="H24" s="326"/>
      <c r="I24" s="326"/>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5"/>
      <c r="AP24" s="336"/>
      <c r="AQ24" s="336"/>
      <c r="AR24" s="336"/>
      <c r="AS24" s="336"/>
      <c r="AT24" s="33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4"/>
      <c r="C25" s="284"/>
      <c r="D25" s="285"/>
      <c r="E25" s="328"/>
      <c r="F25" s="329"/>
      <c r="G25" s="329"/>
      <c r="H25" s="329"/>
      <c r="I25" s="329"/>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8"/>
      <c r="AP25" s="339"/>
      <c r="AQ25" s="339"/>
      <c r="AR25" s="339"/>
      <c r="AS25" s="339"/>
      <c r="AT25" s="34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4"/>
      <c r="C26" s="284"/>
      <c r="D26" s="285"/>
      <c r="E26" s="322" t="s">
        <v>117</v>
      </c>
      <c r="F26" s="323"/>
      <c r="G26" s="323"/>
      <c r="H26" s="323"/>
      <c r="I26" s="324"/>
      <c r="J26" s="64" t="str">
        <f>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4"/>
      <c r="C27" s="284"/>
      <c r="D27" s="285"/>
      <c r="E27" s="341"/>
      <c r="F27" s="326"/>
      <c r="G27" s="326"/>
      <c r="H27" s="326"/>
      <c r="I27" s="327"/>
      <c r="J27" s="67" t="str">
        <f>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4"/>
      <c r="C28" s="284"/>
      <c r="D28" s="285"/>
      <c r="E28" s="325"/>
      <c r="F28" s="326"/>
      <c r="G28" s="326"/>
      <c r="H28" s="326"/>
      <c r="I28" s="327"/>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4"/>
      <c r="C29" s="284"/>
      <c r="D29" s="285"/>
      <c r="E29" s="325"/>
      <c r="F29" s="326"/>
      <c r="G29" s="326"/>
      <c r="H29" s="326"/>
      <c r="I29" s="327"/>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4"/>
      <c r="C30" s="284"/>
      <c r="D30" s="285"/>
      <c r="E30" s="325"/>
      <c r="F30" s="326"/>
      <c r="G30" s="326"/>
      <c r="H30" s="326"/>
      <c r="I30" s="327"/>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4"/>
      <c r="C31" s="284"/>
      <c r="D31" s="285"/>
      <c r="E31" s="325"/>
      <c r="F31" s="326"/>
      <c r="G31" s="326"/>
      <c r="H31" s="326"/>
      <c r="I31" s="327"/>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4"/>
      <c r="C32" s="284"/>
      <c r="D32" s="285"/>
      <c r="E32" s="325"/>
      <c r="F32" s="326"/>
      <c r="G32" s="326"/>
      <c r="H32" s="326"/>
      <c r="I32" s="327"/>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R7C1</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4"/>
      <c r="C33" s="284"/>
      <c r="D33" s="285"/>
      <c r="E33" s="325"/>
      <c r="F33" s="326"/>
      <c r="G33" s="326"/>
      <c r="H33" s="326"/>
      <c r="I33" s="327"/>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4"/>
      <c r="C34" s="284"/>
      <c r="D34" s="285"/>
      <c r="E34" s="325"/>
      <c r="F34" s="326"/>
      <c r="G34" s="326"/>
      <c r="H34" s="326"/>
      <c r="I34" s="327"/>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4"/>
      <c r="C35" s="284"/>
      <c r="D35" s="285"/>
      <c r="E35" s="328"/>
      <c r="F35" s="329"/>
      <c r="G35" s="329"/>
      <c r="H35" s="329"/>
      <c r="I35" s="330"/>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4"/>
      <c r="C36" s="284"/>
      <c r="D36" s="285"/>
      <c r="E36" s="322" t="s">
        <v>114</v>
      </c>
      <c r="F36" s="323"/>
      <c r="G36" s="323"/>
      <c r="H36" s="323"/>
      <c r="I36" s="323"/>
      <c r="J36" s="73" t="str">
        <f>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4"/>
      <c r="C37" s="284"/>
      <c r="D37" s="285"/>
      <c r="E37" s="341"/>
      <c r="F37" s="326"/>
      <c r="G37" s="326"/>
      <c r="H37" s="326"/>
      <c r="I37" s="326"/>
      <c r="J37" s="76" t="str">
        <f>IF(AND('Mapa final'!$Y$16="Baja",'Mapa final'!$AA$16="Leve"),CONCATENATE("R2C",'Mapa final'!$O$16),"")</f>
        <v>R2C1</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4"/>
      <c r="C38" s="284"/>
      <c r="D38" s="285"/>
      <c r="E38" s="325"/>
      <c r="F38" s="326"/>
      <c r="G38" s="326"/>
      <c r="H38" s="326"/>
      <c r="I38" s="326"/>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R3C1</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4"/>
      <c r="C39" s="284"/>
      <c r="D39" s="285"/>
      <c r="E39" s="325"/>
      <c r="F39" s="326"/>
      <c r="G39" s="326"/>
      <c r="H39" s="326"/>
      <c r="I39" s="326"/>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R4C1</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4"/>
      <c r="C40" s="284"/>
      <c r="D40" s="285"/>
      <c r="E40" s="325"/>
      <c r="F40" s="326"/>
      <c r="G40" s="326"/>
      <c r="H40" s="326"/>
      <c r="I40" s="326"/>
      <c r="J40" s="76" t="str">
        <f>IF(AND('Mapa final'!$Y$34="Baja",'Mapa final'!$AA$34="Leve"),CONCATENATE("R5C",'Mapa final'!$O$34),"")</f>
        <v>R5C1</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4"/>
      <c r="C41" s="284"/>
      <c r="D41" s="285"/>
      <c r="E41" s="325"/>
      <c r="F41" s="326"/>
      <c r="G41" s="326"/>
      <c r="H41" s="326"/>
      <c r="I41" s="326"/>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4"/>
      <c r="C42" s="284"/>
      <c r="D42" s="285"/>
      <c r="E42" s="325"/>
      <c r="F42" s="326"/>
      <c r="G42" s="326"/>
      <c r="H42" s="326"/>
      <c r="I42" s="326"/>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4"/>
      <c r="C43" s="284"/>
      <c r="D43" s="285"/>
      <c r="E43" s="325"/>
      <c r="F43" s="326"/>
      <c r="G43" s="326"/>
      <c r="H43" s="326"/>
      <c r="I43" s="326"/>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4"/>
      <c r="C44" s="284"/>
      <c r="D44" s="285"/>
      <c r="E44" s="325"/>
      <c r="F44" s="326"/>
      <c r="G44" s="326"/>
      <c r="H44" s="326"/>
      <c r="I44" s="326"/>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4"/>
      <c r="C45" s="284"/>
      <c r="D45" s="285"/>
      <c r="E45" s="328"/>
      <c r="F45" s="329"/>
      <c r="G45" s="329"/>
      <c r="H45" s="329"/>
      <c r="I45" s="329"/>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84"/>
      <c r="C46" s="284"/>
      <c r="D46" s="285"/>
      <c r="E46" s="322" t="s">
        <v>113</v>
      </c>
      <c r="F46" s="323"/>
      <c r="G46" s="323"/>
      <c r="H46" s="323"/>
      <c r="I46" s="324"/>
      <c r="J46" s="73" t="str">
        <f>IF(AND('Mapa final'!$Y$10="Muy Baja",'Mapa final'!$AA$10="Leve"),CONCATENATE("R1C",'Mapa final'!$O$10),"")</f>
        <v>R1C1</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4"/>
      <c r="C47" s="284"/>
      <c r="D47" s="285"/>
      <c r="E47" s="341"/>
      <c r="F47" s="326"/>
      <c r="G47" s="326"/>
      <c r="H47" s="326"/>
      <c r="I47" s="327"/>
      <c r="J47" s="76" t="str">
        <f>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4"/>
      <c r="C48" s="284"/>
      <c r="D48" s="285"/>
      <c r="E48" s="341"/>
      <c r="F48" s="326"/>
      <c r="G48" s="326"/>
      <c r="H48" s="326"/>
      <c r="I48" s="327"/>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4"/>
      <c r="C49" s="284"/>
      <c r="D49" s="285"/>
      <c r="E49" s="325"/>
      <c r="F49" s="326"/>
      <c r="G49" s="326"/>
      <c r="H49" s="326"/>
      <c r="I49" s="327"/>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4"/>
      <c r="C50" s="284"/>
      <c r="D50" s="285"/>
      <c r="E50" s="325"/>
      <c r="F50" s="326"/>
      <c r="G50" s="326"/>
      <c r="H50" s="326"/>
      <c r="I50" s="327"/>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4"/>
      <c r="C51" s="284"/>
      <c r="D51" s="285"/>
      <c r="E51" s="325"/>
      <c r="F51" s="326"/>
      <c r="G51" s="326"/>
      <c r="H51" s="326"/>
      <c r="I51" s="327"/>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R6C1</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4"/>
      <c r="C52" s="284"/>
      <c r="D52" s="285"/>
      <c r="E52" s="325"/>
      <c r="F52" s="326"/>
      <c r="G52" s="326"/>
      <c r="H52" s="326"/>
      <c r="I52" s="327"/>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4"/>
      <c r="C53" s="284"/>
      <c r="D53" s="285"/>
      <c r="E53" s="325"/>
      <c r="F53" s="326"/>
      <c r="G53" s="326"/>
      <c r="H53" s="326"/>
      <c r="I53" s="327"/>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4"/>
      <c r="C54" s="284"/>
      <c r="D54" s="285"/>
      <c r="E54" s="325"/>
      <c r="F54" s="326"/>
      <c r="G54" s="326"/>
      <c r="H54" s="326"/>
      <c r="I54" s="327"/>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4"/>
      <c r="C55" s="284"/>
      <c r="D55" s="285"/>
      <c r="E55" s="328"/>
      <c r="F55" s="329"/>
      <c r="G55" s="329"/>
      <c r="H55" s="329"/>
      <c r="I55" s="330"/>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2" t="s">
        <v>112</v>
      </c>
      <c r="K56" s="323"/>
      <c r="L56" s="323"/>
      <c r="M56" s="323"/>
      <c r="N56" s="323"/>
      <c r="O56" s="324"/>
      <c r="P56" s="322" t="s">
        <v>111</v>
      </c>
      <c r="Q56" s="323"/>
      <c r="R56" s="323"/>
      <c r="S56" s="323"/>
      <c r="T56" s="323"/>
      <c r="U56" s="324"/>
      <c r="V56" s="322" t="s">
        <v>110</v>
      </c>
      <c r="W56" s="323"/>
      <c r="X56" s="323"/>
      <c r="Y56" s="323"/>
      <c r="Z56" s="323"/>
      <c r="AA56" s="324"/>
      <c r="AB56" s="322" t="s">
        <v>109</v>
      </c>
      <c r="AC56" s="331"/>
      <c r="AD56" s="323"/>
      <c r="AE56" s="323"/>
      <c r="AF56" s="323"/>
      <c r="AG56" s="324"/>
      <c r="AH56" s="322" t="s">
        <v>108</v>
      </c>
      <c r="AI56" s="323"/>
      <c r="AJ56" s="323"/>
      <c r="AK56" s="323"/>
      <c r="AL56" s="323"/>
      <c r="AM56" s="324"/>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5"/>
      <c r="K57" s="326"/>
      <c r="L57" s="326"/>
      <c r="M57" s="326"/>
      <c r="N57" s="326"/>
      <c r="O57" s="327"/>
      <c r="P57" s="325"/>
      <c r="Q57" s="326"/>
      <c r="R57" s="326"/>
      <c r="S57" s="326"/>
      <c r="T57" s="326"/>
      <c r="U57" s="327"/>
      <c r="V57" s="325"/>
      <c r="W57" s="326"/>
      <c r="X57" s="326"/>
      <c r="Y57" s="326"/>
      <c r="Z57" s="326"/>
      <c r="AA57" s="327"/>
      <c r="AB57" s="325"/>
      <c r="AC57" s="326"/>
      <c r="AD57" s="326"/>
      <c r="AE57" s="326"/>
      <c r="AF57" s="326"/>
      <c r="AG57" s="327"/>
      <c r="AH57" s="325"/>
      <c r="AI57" s="326"/>
      <c r="AJ57" s="326"/>
      <c r="AK57" s="326"/>
      <c r="AL57" s="326"/>
      <c r="AM57" s="327"/>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5"/>
      <c r="K58" s="326"/>
      <c r="L58" s="326"/>
      <c r="M58" s="326"/>
      <c r="N58" s="326"/>
      <c r="O58" s="327"/>
      <c r="P58" s="325"/>
      <c r="Q58" s="326"/>
      <c r="R58" s="326"/>
      <c r="S58" s="326"/>
      <c r="T58" s="326"/>
      <c r="U58" s="327"/>
      <c r="V58" s="325"/>
      <c r="W58" s="326"/>
      <c r="X58" s="326"/>
      <c r="Y58" s="326"/>
      <c r="Z58" s="326"/>
      <c r="AA58" s="327"/>
      <c r="AB58" s="325"/>
      <c r="AC58" s="326"/>
      <c r="AD58" s="326"/>
      <c r="AE58" s="326"/>
      <c r="AF58" s="326"/>
      <c r="AG58" s="327"/>
      <c r="AH58" s="325"/>
      <c r="AI58" s="326"/>
      <c r="AJ58" s="326"/>
      <c r="AK58" s="326"/>
      <c r="AL58" s="326"/>
      <c r="AM58" s="327"/>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5"/>
      <c r="K59" s="326"/>
      <c r="L59" s="326"/>
      <c r="M59" s="326"/>
      <c r="N59" s="326"/>
      <c r="O59" s="327"/>
      <c r="P59" s="325"/>
      <c r="Q59" s="326"/>
      <c r="R59" s="326"/>
      <c r="S59" s="326"/>
      <c r="T59" s="326"/>
      <c r="U59" s="327"/>
      <c r="V59" s="325"/>
      <c r="W59" s="326"/>
      <c r="X59" s="326"/>
      <c r="Y59" s="326"/>
      <c r="Z59" s="326"/>
      <c r="AA59" s="327"/>
      <c r="AB59" s="325"/>
      <c r="AC59" s="326"/>
      <c r="AD59" s="326"/>
      <c r="AE59" s="326"/>
      <c r="AF59" s="326"/>
      <c r="AG59" s="327"/>
      <c r="AH59" s="325"/>
      <c r="AI59" s="326"/>
      <c r="AJ59" s="326"/>
      <c r="AK59" s="326"/>
      <c r="AL59" s="326"/>
      <c r="AM59" s="327"/>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5"/>
      <c r="K60" s="326"/>
      <c r="L60" s="326"/>
      <c r="M60" s="326"/>
      <c r="N60" s="326"/>
      <c r="O60" s="327"/>
      <c r="P60" s="325"/>
      <c r="Q60" s="326"/>
      <c r="R60" s="326"/>
      <c r="S60" s="326"/>
      <c r="T60" s="326"/>
      <c r="U60" s="327"/>
      <c r="V60" s="325"/>
      <c r="W60" s="326"/>
      <c r="X60" s="326"/>
      <c r="Y60" s="326"/>
      <c r="Z60" s="326"/>
      <c r="AA60" s="327"/>
      <c r="AB60" s="325"/>
      <c r="AC60" s="326"/>
      <c r="AD60" s="326"/>
      <c r="AE60" s="326"/>
      <c r="AF60" s="326"/>
      <c r="AG60" s="327"/>
      <c r="AH60" s="325"/>
      <c r="AI60" s="326"/>
      <c r="AJ60" s="326"/>
      <c r="AK60" s="326"/>
      <c r="AL60" s="326"/>
      <c r="AM60" s="327"/>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8"/>
      <c r="K61" s="329"/>
      <c r="L61" s="329"/>
      <c r="M61" s="329"/>
      <c r="N61" s="329"/>
      <c r="O61" s="330"/>
      <c r="P61" s="328"/>
      <c r="Q61" s="329"/>
      <c r="R61" s="329"/>
      <c r="S61" s="329"/>
      <c r="T61" s="329"/>
      <c r="U61" s="330"/>
      <c r="V61" s="328"/>
      <c r="W61" s="329"/>
      <c r="X61" s="329"/>
      <c r="Y61" s="329"/>
      <c r="Z61" s="329"/>
      <c r="AA61" s="330"/>
      <c r="AB61" s="328"/>
      <c r="AC61" s="329"/>
      <c r="AD61" s="329"/>
      <c r="AE61" s="329"/>
      <c r="AF61" s="329"/>
      <c r="AG61" s="330"/>
      <c r="AH61" s="328"/>
      <c r="AI61" s="329"/>
      <c r="AJ61" s="329"/>
      <c r="AK61" s="329"/>
      <c r="AL61" s="329"/>
      <c r="AM61" s="330"/>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2023-06-29T13:51:16Z</dcterms:modified>
</cp:coreProperties>
</file>