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66ADD65B-761C-4914-A45E-3F11974F79B0}" xr6:coauthVersionLast="47" xr6:coauthVersionMax="47" xr10:uidLastSave="{00000000-0000-0000-0000-000000000000}"/>
  <bookViews>
    <workbookView xWindow="0" yWindow="0" windowWidth="10245" windowHeight="10920" tabRatio="882" firstSheet="1"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6"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23" i="1"/>
  <c r="K17" i="1"/>
  <c r="K21"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17" i="1"/>
  <c r="AB23" i="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28" i="1"/>
  <c r="L28" i="1" s="1"/>
  <c r="K34" i="1"/>
  <c r="L34" i="1" s="1"/>
  <c r="K16" i="1"/>
  <c r="L16" i="1" s="1"/>
  <c r="K22" i="1"/>
  <c r="L22" i="1" s="1"/>
  <c r="K64" i="1"/>
  <c r="L64" i="1" s="1"/>
  <c r="K52" i="1"/>
  <c r="L52" i="1" s="1"/>
  <c r="K58" i="1"/>
  <c r="L58" i="1" s="1"/>
  <c r="K10" i="1"/>
  <c r="L10" i="1" s="1"/>
  <c r="M34" i="1" l="1"/>
  <c r="AB34" i="1" s="1"/>
  <c r="AA34" i="1" s="1"/>
  <c r="L16" i="18"/>
  <c r="R40" i="18"/>
  <c r="R24" i="18"/>
  <c r="L40" i="18"/>
  <c r="L8" i="18"/>
  <c r="X16" i="18"/>
  <c r="AJ24" i="18"/>
  <c r="X8" i="18"/>
  <c r="X32" i="18"/>
  <c r="R32" i="18"/>
  <c r="AJ40" i="18"/>
  <c r="AJ16" i="18"/>
  <c r="R16" i="18"/>
  <c r="R8" i="18"/>
  <c r="AD40" i="18"/>
  <c r="AJ8" i="18"/>
  <c r="L32" i="18"/>
  <c r="AD32" i="18"/>
  <c r="AJ32" i="18"/>
  <c r="AD24" i="18"/>
  <c r="AD8" i="18"/>
  <c r="L24" i="18"/>
  <c r="X40" i="18"/>
  <c r="X24" i="18"/>
  <c r="N34" i="1"/>
  <c r="AD16" i="18"/>
  <c r="AH12" i="18"/>
  <c r="V12" i="18"/>
  <c r="J20" i="18"/>
  <c r="V28" i="18"/>
  <c r="J44" i="18"/>
  <c r="AH44" i="18"/>
  <c r="AB28" i="18"/>
  <c r="V44" i="18"/>
  <c r="P28" i="18"/>
  <c r="AH28" i="18"/>
  <c r="N64" i="1"/>
  <c r="V36" i="18"/>
  <c r="P12" i="18"/>
  <c r="V20" i="18"/>
  <c r="AB36" i="18"/>
  <c r="J12" i="18"/>
  <c r="AH36" i="18"/>
  <c r="M64" i="1"/>
  <c r="AB64" i="1" s="1"/>
  <c r="AA64" i="1" s="1"/>
  <c r="AH20" i="18"/>
  <c r="AB20" i="18"/>
  <c r="P44" i="18"/>
  <c r="J28" i="18"/>
  <c r="AB12" i="18"/>
  <c r="P20" i="18"/>
  <c r="P36" i="18"/>
  <c r="AB44" i="18"/>
  <c r="J36" i="18"/>
  <c r="J40" i="18"/>
  <c r="J8" i="18"/>
  <c r="AB40" i="18"/>
  <c r="AB32" i="18"/>
  <c r="AH32" i="18"/>
  <c r="AB8" i="18"/>
  <c r="AB24" i="18"/>
  <c r="AB16" i="18"/>
  <c r="AH8" i="18"/>
  <c r="J16" i="18"/>
  <c r="J24" i="18"/>
  <c r="P32" i="18"/>
  <c r="J32" i="18"/>
  <c r="V24" i="18"/>
  <c r="P8" i="18"/>
  <c r="P24" i="18"/>
  <c r="M28" i="1"/>
  <c r="AB28" i="1" s="1"/>
  <c r="AA28" i="1" s="1"/>
  <c r="AH24" i="18"/>
  <c r="P16" i="18"/>
  <c r="AH16" i="18"/>
  <c r="P40" i="18"/>
  <c r="V16" i="18"/>
  <c r="V32" i="18"/>
  <c r="N28" i="1"/>
  <c r="V8" i="18"/>
  <c r="V40" i="18"/>
  <c r="AH40" i="18"/>
  <c r="R34" i="18"/>
  <c r="X42" i="18"/>
  <c r="L34" i="18"/>
  <c r="AD34" i="18"/>
  <c r="AJ42" i="18"/>
  <c r="AD10" i="18"/>
  <c r="R10" i="18"/>
  <c r="R42" i="18"/>
  <c r="L42" i="18"/>
  <c r="X26" i="18"/>
  <c r="L26" i="18"/>
  <c r="AJ18" i="18"/>
  <c r="X18" i="18"/>
  <c r="N52" i="1"/>
  <c r="X10" i="18"/>
  <c r="AD18" i="18"/>
  <c r="L10" i="18"/>
  <c r="AJ26" i="18"/>
  <c r="R18" i="18"/>
  <c r="X34" i="18"/>
  <c r="AJ10" i="18"/>
  <c r="AD26" i="18"/>
  <c r="AD42" i="18"/>
  <c r="AJ34" i="18"/>
  <c r="R26" i="18"/>
  <c r="M52" i="1"/>
  <c r="L18" i="18"/>
  <c r="P14" i="18"/>
  <c r="J38" i="18"/>
  <c r="V22" i="18"/>
  <c r="AH6" i="18"/>
  <c r="V14" i="18"/>
  <c r="V6" i="18"/>
  <c r="J6" i="18"/>
  <c r="AH14" i="18"/>
  <c r="P30" i="18"/>
  <c r="AH38" i="18"/>
  <c r="AH22" i="18"/>
  <c r="J14" i="18"/>
  <c r="P6" i="18"/>
  <c r="AB38" i="18"/>
  <c r="AB22" i="18"/>
  <c r="P22" i="18"/>
  <c r="V30" i="18"/>
  <c r="AB30" i="18"/>
  <c r="AB14" i="18"/>
  <c r="M10" i="1"/>
  <c r="AB10" i="1" s="1"/>
  <c r="AA10" i="1" s="1"/>
  <c r="AH30" i="18"/>
  <c r="V38" i="18"/>
  <c r="AB6" i="18"/>
  <c r="J22" i="18"/>
  <c r="J30" i="18"/>
  <c r="N10" i="1"/>
  <c r="P38" i="18"/>
  <c r="AF30" i="18"/>
  <c r="T14" i="18"/>
  <c r="Z22" i="18"/>
  <c r="AL38" i="18"/>
  <c r="T30" i="18"/>
  <c r="N14" i="18"/>
  <c r="Z30" i="18"/>
  <c r="T6" i="18"/>
  <c r="T38" i="18"/>
  <c r="AL6" i="18"/>
  <c r="T22" i="18"/>
  <c r="Z14" i="18"/>
  <c r="AL14" i="18"/>
  <c r="Z38" i="18"/>
  <c r="N22" i="18"/>
  <c r="N38" i="18"/>
  <c r="AL30" i="18"/>
  <c r="AL22" i="18"/>
  <c r="AF22" i="18"/>
  <c r="Z6" i="18"/>
  <c r="N6" i="18"/>
  <c r="M22" i="1"/>
  <c r="AB22" i="1" s="1"/>
  <c r="AA22" i="1" s="1"/>
  <c r="AF6" i="18"/>
  <c r="AF14" i="18"/>
  <c r="AF38" i="18"/>
  <c r="N22" i="1"/>
  <c r="N30" i="18"/>
  <c r="M46" i="1"/>
  <c r="AB10" i="18"/>
  <c r="J42" i="18"/>
  <c r="J18" i="18"/>
  <c r="P34" i="18"/>
  <c r="N46" i="1"/>
  <c r="AB18" i="18"/>
  <c r="AH34" i="18"/>
  <c r="J26" i="18"/>
  <c r="P10" i="18"/>
  <c r="AH10" i="18"/>
  <c r="V34" i="18"/>
  <c r="P18" i="18"/>
  <c r="P42" i="18"/>
  <c r="AH42" i="18"/>
  <c r="V18" i="18"/>
  <c r="AB26" i="18"/>
  <c r="AB34" i="18"/>
  <c r="AH26" i="18"/>
  <c r="AB42" i="18"/>
  <c r="V26" i="18"/>
  <c r="V42" i="18"/>
  <c r="V10" i="18"/>
  <c r="P26" i="18"/>
  <c r="AH18" i="18"/>
  <c r="J34" i="18"/>
  <c r="J10" i="18"/>
  <c r="Z42" i="18"/>
  <c r="AF18" i="18"/>
  <c r="T18" i="18"/>
  <c r="Z26" i="18"/>
  <c r="AF34" i="18"/>
  <c r="AL34" i="18"/>
  <c r="AF42" i="18"/>
  <c r="N26" i="18"/>
  <c r="N42" i="18"/>
  <c r="T10" i="18"/>
  <c r="Z18" i="18"/>
  <c r="N58" i="1"/>
  <c r="AL10" i="18"/>
  <c r="AL42" i="18"/>
  <c r="AL26" i="18"/>
  <c r="AL18" i="18"/>
  <c r="N10" i="18"/>
  <c r="Z34" i="18"/>
  <c r="AF26" i="18"/>
  <c r="N34" i="18"/>
  <c r="Z10" i="18"/>
  <c r="M58" i="1"/>
  <c r="N18" i="18"/>
  <c r="AF10" i="18"/>
  <c r="T26" i="18"/>
  <c r="T34" i="18"/>
  <c r="T42" i="18"/>
  <c r="AD30" i="18"/>
  <c r="X6" i="18"/>
  <c r="AJ38" i="18"/>
  <c r="AJ30" i="18"/>
  <c r="AJ22" i="18"/>
  <c r="R22" i="18"/>
  <c r="X30" i="18"/>
  <c r="L22" i="18"/>
  <c r="X14" i="18"/>
  <c r="AJ6" i="18"/>
  <c r="L6" i="18"/>
  <c r="L38" i="18"/>
  <c r="R30" i="18"/>
  <c r="AD14" i="18"/>
  <c r="X22" i="18"/>
  <c r="L30" i="18"/>
  <c r="R6" i="18"/>
  <c r="AD38" i="18"/>
  <c r="L14" i="18"/>
  <c r="N16" i="1"/>
  <c r="AD6" i="18"/>
  <c r="AD22" i="18"/>
  <c r="X38" i="18"/>
  <c r="M16" i="1"/>
  <c r="AB16" i="1" s="1"/>
  <c r="AA16" i="1" s="1"/>
  <c r="R38" i="18"/>
  <c r="AJ14" i="18"/>
  <c r="R14" i="18"/>
  <c r="N24" i="18"/>
  <c r="AF24" i="18"/>
  <c r="T32" i="18"/>
  <c r="AF32" i="18"/>
  <c r="T16" i="18"/>
  <c r="T40" i="18"/>
  <c r="AF40" i="18"/>
  <c r="AF8" i="18"/>
  <c r="AL32" i="18"/>
  <c r="Z40" i="18"/>
  <c r="N40" i="18"/>
  <c r="AL8" i="18"/>
  <c r="Z24" i="18"/>
  <c r="AL16" i="18"/>
  <c r="AL40" i="18"/>
  <c r="Z16" i="18"/>
  <c r="T8" i="18"/>
  <c r="T24" i="18"/>
  <c r="AF16" i="18"/>
  <c r="AL24" i="18"/>
  <c r="M40" i="1"/>
  <c r="Z32" i="18"/>
  <c r="N16" i="18"/>
  <c r="N8" i="18"/>
  <c r="N32" i="18"/>
  <c r="N40" i="1"/>
  <c r="Z8" i="18"/>
  <c r="AH7" i="19" l="1"/>
  <c r="V47" i="19"/>
  <c r="J27" i="19"/>
  <c r="AB7" i="19"/>
  <c r="P37" i="19"/>
  <c r="AH17" i="19"/>
  <c r="AB37" i="19"/>
  <c r="V37" i="19"/>
  <c r="P47" i="19"/>
  <c r="J37" i="19"/>
  <c r="V7" i="19"/>
  <c r="P17" i="19"/>
  <c r="AB17" i="19"/>
  <c r="P7" i="19"/>
  <c r="J17" i="19"/>
  <c r="AH47" i="19"/>
  <c r="J47" i="19"/>
  <c r="AB27" i="19"/>
  <c r="AC16" i="1"/>
  <c r="AH37" i="19"/>
  <c r="V17" i="19"/>
  <c r="J7" i="19"/>
  <c r="AH27" i="19"/>
  <c r="V27" i="19"/>
  <c r="P27" i="19"/>
  <c r="AB47" i="19"/>
  <c r="P16" i="19"/>
  <c r="V26" i="19"/>
  <c r="P6" i="19"/>
  <c r="AH36" i="19"/>
  <c r="AH6" i="19"/>
  <c r="P26" i="19"/>
  <c r="AH26" i="19"/>
  <c r="V46" i="19"/>
  <c r="V16" i="19"/>
  <c r="AH46" i="19"/>
  <c r="V36" i="19"/>
  <c r="AB46" i="19"/>
  <c r="AC10" i="1"/>
  <c r="J16" i="19"/>
  <c r="AB36" i="19"/>
  <c r="J6" i="19"/>
  <c r="AB6" i="19"/>
  <c r="P46" i="19"/>
  <c r="P36" i="19"/>
  <c r="AB26" i="19"/>
  <c r="J36" i="19"/>
  <c r="AH16" i="19"/>
  <c r="AB16" i="19"/>
  <c r="J26" i="19"/>
  <c r="V6" i="19"/>
  <c r="J46" i="19"/>
  <c r="AC28" i="1"/>
  <c r="P39" i="19"/>
  <c r="V9" i="19"/>
  <c r="V29" i="19"/>
  <c r="P49" i="19"/>
  <c r="AH39" i="19"/>
  <c r="AB19" i="19"/>
  <c r="J19" i="19"/>
  <c r="AH29" i="19"/>
  <c r="J39" i="19"/>
  <c r="P9" i="19"/>
  <c r="AH9" i="19"/>
  <c r="P29" i="19"/>
  <c r="J49" i="19"/>
  <c r="V19" i="19"/>
  <c r="J9" i="19"/>
  <c r="AB39" i="19"/>
  <c r="AB9" i="19"/>
  <c r="J29" i="19"/>
  <c r="AB49" i="19"/>
  <c r="P19" i="19"/>
  <c r="AH19" i="19"/>
  <c r="AH49" i="19"/>
  <c r="V39" i="19"/>
  <c r="AB29" i="19"/>
  <c r="V49" i="19"/>
  <c r="P18" i="19"/>
  <c r="J28" i="19"/>
  <c r="J48" i="19"/>
  <c r="V28" i="19"/>
  <c r="AB8" i="19"/>
  <c r="P28" i="19"/>
  <c r="AB48" i="19"/>
  <c r="AH18" i="19"/>
  <c r="AB28" i="19"/>
  <c r="V38" i="19"/>
  <c r="AH28" i="19"/>
  <c r="AB38" i="19"/>
  <c r="V48" i="19"/>
  <c r="P8" i="19"/>
  <c r="V18" i="19"/>
  <c r="AC22" i="1"/>
  <c r="P38" i="19"/>
  <c r="AH38" i="19"/>
  <c r="P48" i="19"/>
  <c r="AB18" i="19"/>
  <c r="J8" i="19"/>
  <c r="J18" i="19"/>
  <c r="AH8" i="19"/>
  <c r="V8" i="19"/>
  <c r="AH48" i="19"/>
  <c r="J38" i="19"/>
  <c r="V25" i="19"/>
  <c r="AH15" i="19"/>
  <c r="V45" i="19"/>
  <c r="V35" i="19"/>
  <c r="J15" i="19"/>
  <c r="J55" i="19"/>
  <c r="AB45" i="19"/>
  <c r="V55" i="19"/>
  <c r="AH25" i="19"/>
  <c r="AB55" i="19"/>
  <c r="AH55" i="19"/>
  <c r="AC64" i="1"/>
  <c r="AB15" i="19"/>
  <c r="AB25" i="19"/>
  <c r="P15" i="19"/>
  <c r="AH45" i="19"/>
  <c r="J25" i="19"/>
  <c r="P55" i="19"/>
  <c r="P45" i="19"/>
  <c r="J45" i="19"/>
  <c r="V15" i="19"/>
  <c r="P25" i="19"/>
  <c r="J35" i="19"/>
  <c r="P35" i="19"/>
  <c r="AH35" i="19"/>
  <c r="AB35" i="19"/>
  <c r="J40" i="19"/>
  <c r="V20" i="19"/>
  <c r="J50" i="19"/>
  <c r="P50" i="19"/>
  <c r="J10" i="19"/>
  <c r="V10" i="19"/>
  <c r="V40" i="19"/>
  <c r="V50" i="19"/>
  <c r="V30" i="19"/>
  <c r="AH10" i="19"/>
  <c r="AB40" i="19"/>
  <c r="AB10" i="19"/>
  <c r="AB20" i="19"/>
  <c r="P20" i="19"/>
  <c r="AB30" i="19"/>
  <c r="AB50" i="19"/>
  <c r="AH40" i="19"/>
  <c r="P40" i="19"/>
  <c r="AH20" i="19"/>
  <c r="P10" i="19"/>
  <c r="P30" i="19"/>
  <c r="AH30" i="19"/>
  <c r="AH50" i="19"/>
  <c r="J20" i="19"/>
  <c r="J30" i="19"/>
  <c r="AC34" i="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<sst xmlns="http://schemas.openxmlformats.org/spreadsheetml/2006/main" count="429" uniqueCount="279">
  <si>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</si>
  <si>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</si>
  <si>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</si>
  <si>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</si>
  <si>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</si>
  <si>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</si>
  <si>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</si>
  <si>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</si>
  <si>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</si>
  <si>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</si>
  <si>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</si>
  <si>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</si>
  <si>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</si>
  <si>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</si>
  <si>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</si>
  <si>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</si>
  <si>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</si>
  <si>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</si>
  <si>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</si>
  <si>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</si>
  <si>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</si>
  <si>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</si>
  <si>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</si>
  <si>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</si>
  <si>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</si>
  <si>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</si>
  <si>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</si>
  <si>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</si>
  <si>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</si>
  <si>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</si>
  <si>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</si>
  <si>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</si>
  <si>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</si>
  <si>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</si>
  <si>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</si>
  <si>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</si>
  <si>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</si>
  <si>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</si>
  <si>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</si>
  <si>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</si>
  <si>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</si>
  <si>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</si>
  <si>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</si>
  <si>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</si>
  <si>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</si>
  <si>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</si>
  <si>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</si>
  <si>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</si>
  <si>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</si>
  <si>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</si>
  <si>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</si>
  <si>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</si>
  <si>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</si>
  <si>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</si>
  <si>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</si>
  <si>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</si>
  <si>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</si>
  <si>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</si>
  <si>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</si>
  <si>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</si>
  <si>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</si>
  <si>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</si>
  <si>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</si>
  <si>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</si>
  <si>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</si>
  <si>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</si>
  <si>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</si>
  <si>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</si>
  <si>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</si>
  <si>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</si>
  <si>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</si>
  <si>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</si>
  <si>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</si>
  <si>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</si>
  <si>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</si>
  <si>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</si>
  <si>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</si>
  <si>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</si>
  <si>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</si>
  <si>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</si>
  <si>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</si>
  <si>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</si>
  <si>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</si>
  <si>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</si>
  <si>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</si>
  <si>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</si>
  <si>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</si>
  <si>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</si>
  <si>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</si>
  <si>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</si>
  <si>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</si>
  <si>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</si>
  <si>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</si>
  <si>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</si>
  <si>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</si>
  <si>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</si>
  <si>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</si>
  <si>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</si>
  <si>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</si>
  <si>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</si>
  <si>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</si>
  <si>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</si>
  <si>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</si>
  <si>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</si>
  <si>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</si>
  <si>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</si>
  <si>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</si>
  <si>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</si>
  <si>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</si>
  <si>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</si>
  <si>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</si>
  <si>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</si>
  <si>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</si>
  <si>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</si>
  <si>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</si>
  <si>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</si>
  <si>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</si>
  <si>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</si>
  <si>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</si>
  <si>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</si>
  <si>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</si>
  <si>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</si>
  <si>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</si>
  <si>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</si>
  <si>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</si>
  <si>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</si>
  <si>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</si>
  <si>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</si>
  <si>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</si>
  <si>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</si>
  <si>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</si>
  <si>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</si>
  <si>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</si>
  <si>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</si>
  <si>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</si>
  <si>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</si>
  <si>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</si>
  <si>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</si>
  <si>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</si>
  <si>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</si>
  <si>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</si>
  <si>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</si>
  <si>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</si>
  <si>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</si>
  <si>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</si>
  <si>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</si>
  <si>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</si>
  <si>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</si>
  <si>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</si>
  <si>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</si>
  <si>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</si>
  <si>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</si>
  <si>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</si>
  <si>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</si>
  <si>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</si>
  <si>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</si>
  <si>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</si>
  <si>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</si>
  <si>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</si>
  <si>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</si>
  <si>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</si>
  <si>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</si>
  <si>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</si>
  <si>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</si>
  <si>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</si>
  <si>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</si>
  <si>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</si>
  <si>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</si>
  <si>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</si>
  <si>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</si>
  <si>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</si>
  <si>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</si>
  <si>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</si>
  <si>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</si>
  <si>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</si>
  <si>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</si>
  <si>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</si>
  <si>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</si>
  <si>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</si>
  <si>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</si>
  <si>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</si>
  <si>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</si>
  <si>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</si>
  <si>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</si>
  <si>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</si>
  <si>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</si>
  <si>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</si>
  <si>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</si>
  <si>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</si>
  <si>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</si>
  <si>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</si>
  <si>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</si>
  <si>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</si>
  <si>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</si>
  <si>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</si>
  <si>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</si>
  <si>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</si>
  <si>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</si>
  <si>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</si>
  <si>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</si>
  <si>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</si>
  <si>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</si>
  <si>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</si>
  <si>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</si>
  <si>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</si>
  <si>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</si>
  <si>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</si>
  <si>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</si>
  <si>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</si>
  <si>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</si>
  <si>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</si>
  <si>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</si>
  <si>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</si>
  <si>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</si>
  <si>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</si>
  <si>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</si>
  <si>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</si>
  <si>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</si>
  <si>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</si>
  <si>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</si>
  <si>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</si>
  <si>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</si>
  <si>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</si>
  <si>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</si>
  <si>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</si>
  <si>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</si>
  <si>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</si>
  <si>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</si>
  <si>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</si>
  <si>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</si>
  <si>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</si>
  <si>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</si>
  <si>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</si>
  <si>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</si>
  <si>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</si>
  <si>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</si>
  <si>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</si>
  <si>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</si>
  <si>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</si>
  <si>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</si>
  <si>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</si>
  <si>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</si>
  <si>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</si>
  <si>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</si>
  <si>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</si>
  <si>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</si>
  <si>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</si>
  <si>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</si>
  <si>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</si>
  <si>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</si>
  <si>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</si>
  <si>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</si>
  <si>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</si>
  <si>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</si>
  <si>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</si>
  <si>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</si>
  <si>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GESTIÓN JURIDICA</t>
  </si>
  <si>
    <t>Perdida de procesos judiciales</t>
  </si>
  <si>
    <t>Valoración final del juez</t>
  </si>
  <si>
    <t>Emisión de actos administrativos errados o inexactos</t>
  </si>
  <si>
    <t>Inoportunidad en la contratación de bienes, obras y servicios</t>
  </si>
  <si>
    <t>Mantener controles que se vienen trabajando</t>
  </si>
  <si>
    <t>Sanciones por respuesta inoportuna a tutelas.</t>
  </si>
  <si>
    <t>Termino que los despachos conceden para responder las acciones judiciales</t>
  </si>
  <si>
    <t>Incumplimiento de los términos  legales y constitucionales de las respuestas a las peticiones  presentadas ante la administración</t>
  </si>
  <si>
    <t xml:space="preserve">1. Omisión de  radicar la fecha de recepción de la petición en la entidad o en la oficina jurídica.  
2. Demora en la entrega de documentos requeridos para dar respuesta a los requerimientos por parte de las diferentes áreas
</t>
  </si>
  <si>
    <t>Información insuficiente por áreas requirentes</t>
  </si>
  <si>
    <t xml:space="preserve">1. Información inadecuada, incompleta e insuficiente del área requirente
2. Necesidad no se encuentra incluida en el plan anual de adquisiciones
3. Debilidad de planeación en la determinación de las necesidades de servicio
</t>
  </si>
  <si>
    <t>Posibilidad de pérdida Económica y Reputacional por pérdida de procesos judiciales, debido a la valoración final del juez.</t>
  </si>
  <si>
    <t>Posibilidad de pérdida Reputacional por incumplimiento de los términos  legales y constitucionales de las respuestas a las peticiones  presentadas ante la administración, debido a omisión de  radicar la fecha de recepción de la petición en la entidad o en la oficina jurídica y también la demora en la entrega de documentos requeridos para dar respuesta a los requerimientos por parte de las diferentes áreas.</t>
  </si>
  <si>
    <t>Posibilidad de pérdida Económica y Reputacional por sanciones por respuesta inoportuna a tutelas, debido a término que los despachos conceden para responder las acciones judiciales.</t>
  </si>
  <si>
    <t>Posibilidad de pérdida Económica y Reputacional por inoportunidad en la contratación de bienes, obras y servicios, debido a  Información inadecuada, incompleta e insuficiente del área requirente, la necesidad no se encuentra incluida en el plan anual de adquisiciones (PAA) y existe debilidad de planeación en la determinación de las necesidades de servicio.</t>
  </si>
  <si>
    <t>Posibilidad de pérdida Económica y Reputacional  por emisión de actos administrativos errados o inexactos, debido a información insuficiente por áreas requirentes.</t>
  </si>
  <si>
    <t>La secretaria de la oficina jurídica y archivo central, realiza correo electrónico notificaciones judiciales, recepciona la petición con registro de fecha y hora diariamente, con el fin de tener un control permanente en el registro de las mismas. 
Desviación: sanciones administrativas correspondientes.</t>
  </si>
  <si>
    <t>Jefe de la oficina jurídica, supervisa que se revise el correo mediante el cual llegan las acciones de tutela y se den cumplimiento a los términos establecidos por el despacho judicial.</t>
  </si>
  <si>
    <t>Jefe de la oficina jurídica, realiza asignación de un profesional en derecho, validación de información con el área requerida, remisión del acto por la misma.</t>
  </si>
  <si>
    <t>Jefe de la oficina jurídica, asigna abogado y técnico para revisión técnica y jurídica del estudio previo, mesas de trabajo y validación con áreas requirentes, también realiza verificación con presupuesto con el PAA y normatividad interna de contratación.</t>
  </si>
  <si>
    <t>Jefe de la oficina jurídica, convoca la asistencia a su grupo de trabajo al comité jurídico, comité de conciliación, vinculación de asesor jurídico externo, supervisión contractual.</t>
  </si>
  <si>
    <t>Jefe de la Oficina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</si>
</sst>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Normal="100" workbookViewId="0">
      <selection activeCell="Q37" sqref="Q3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256</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134</v>
      </c>
      <c r="C10" s="202" t="s">
        <v>257</v>
      </c>
      <c r="D10" s="202" t="s">
        <v>258</v>
      </c>
      <c r="E10" s="205" t="s">
        <v>268</v>
      </c>
      <c r="F10" s="202" t="s">
        <v>123</v>
      </c>
      <c r="G10" s="208">
        <v>2</v>
      </c>
      <c r="H10" s="211" t="str">
        <f>IF(G10&lt;=0,"",IF(G10&lt;=2,"Muy Baja",IF(G10&lt;=24,"Baja",IF(G10&lt;=500,"Media",IF(G10&lt;=5000,"Alta","Muy Alta")))))</f>
        <v>Muy Baja</v>
      </c>
      <c r="I10" s="193">
        <f>IF(H10="","",IF(H10="Muy Baja",0.2,IF(H10="Baja",0.4,IF(H10="Media",0.6,IF(H10="Alta",0.8,IF(H10="Muy Alta",1,))))))</f>
        <v>0.2</v>
      </c>
      <c r="J10" s="214" t="s">
        <v>149</v>
      </c>
      <c r="K10" s="193" t="str">
        <f ca="1">IF(NOT(ISERROR(MATCH(J10,'Tabla Impacto'!$B$221:$B$223,0))),'Tabla Impacto'!$F$223&amp;"Por favor no seleccionar los criterios de impacto(Afectación Económica o presupuestal y Pérdida Reputacional)",J10)</f>
        <v xml:space="preserve">     Entre 50 y 100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3">
        <f ca="1">IF(L10="","",IF(L10="Leve",0.2,IF(L10="Menor",0.4,IF(L10="Moderado",0.6,IF(L10="Mayor",0.8,IF(L10="Catastrófico",1,))))))</f>
        <v>0.6</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277</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0.12</v>
      </c>
      <c r="Y10" s="129" t="str">
        <f>IFERROR(IF(X10="","",IF(X10&lt;=0.2,"Muy Baja",IF(X10&lt;=0.4,"Baja",IF(X10&lt;=0.6,"Media",IF(X10&lt;=0.8,"Alta","Muy Alta"))))),"")</f>
        <v>Muy Baja</v>
      </c>
      <c r="Z10" s="130">
        <f>+X10</f>
        <v>0.12</v>
      </c>
      <c r="AA10" s="129" t="str">
        <f ca="1">IFERROR(IF(AB10="","",IF(AB10&lt;=0.2,"Leve",IF(AB10&lt;=0.4,"Menor",IF(AB10&lt;=0.6,"Moderado",IF(AB10&lt;=0.8,"Mayor","Catastrófico"))))),"")</f>
        <v>Moderado</v>
      </c>
      <c r="AB10" s="130">
        <f ca="1">IFERROR(IF(Q10="Impacto",(M10-(+M10*T10)),IF(Q10="Probabilidad",M10,"")),"")</f>
        <v>0.6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261</v>
      </c>
      <c r="AF10" s="134" t="s">
        <v>278</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132</v>
      </c>
      <c r="C16" s="202" t="s">
        <v>264</v>
      </c>
      <c r="D16" s="202" t="s">
        <v>265</v>
      </c>
      <c r="E16" s="205" t="s">
        <v>269</v>
      </c>
      <c r="F16" s="202" t="s">
        <v>123</v>
      </c>
      <c r="G16" s="208">
        <v>6</v>
      </c>
      <c r="H16" s="211" t="str">
        <f>IF(G16&lt;=0,"",IF(G16&lt;=2,"Muy Baja",IF(G16&lt;=24,"Baja",IF(G16&lt;=500,"Media",IF(G16&lt;=5000,"Alta","Muy Alta")))))</f>
        <v>Baja</v>
      </c>
      <c r="I16" s="193">
        <f>IF(H16="","",IF(H16="Muy Baja",0.2,IF(H16="Baja",0.4,IF(H16="Media",0.6,IF(H16="Alta",0.8,IF(H16="Muy Alta",1,))))))</f>
        <v>0.4</v>
      </c>
      <c r="J16" s="214" t="s">
        <v>153</v>
      </c>
      <c r="K16" s="193" t="str">
        <f ca="1">IF(NOT(ISERROR(MATCH(J16,'Tabla Impacto'!$B$221:$B$223,0))),'Tabla Impacto'!$F$223&amp;"Por favor no seleccionar los criterios de impacto(Afectación Económica o presupuestal y Pérdida Reputacional)",J16)</f>
        <v xml:space="preserve">     El riesgo afecta la imagen de alguna área de la organización</v>
      </c>
      <c r="L16" s="211" t="str">
        <f ca="1">IF(OR(K16='Tabla Impacto'!$C$11,K16='Tabla Impacto'!$D$11),"Leve",IF(OR(K16='Tabla Impacto'!$C$12,K16='Tabla Impacto'!$D$12),"Menor",IF(OR(K16='Tabla Impacto'!$C$13,K16='Tabla Impacto'!$D$13),"Moderado",IF(OR(K16='Tabla Impacto'!$C$14,K16='Tabla Impacto'!$D$14),"Mayor",IF(OR(K16='Tabla Impacto'!$C$15,K16='Tabla Impacto'!$D$15),"Catastrófico","")))))</f>
        <v>Leve</v>
      </c>
      <c r="M16" s="193">
        <f ca="1">IF(L16="","",IF(L16="Leve",0.2,IF(L16="Menor",0.4,IF(L16="Moderado",0.6,IF(L16="Mayor",0.8,IF(L16="Catastrófico",1,))))))</f>
        <v>0.2</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Bajo</v>
      </c>
      <c r="O16" s="123">
        <v>1</v>
      </c>
      <c r="P16" s="124" t="s">
        <v>273</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0.24</v>
      </c>
      <c r="Y16" s="129" t="str">
        <f>IFERROR(IF(X16="","",IF(X16&lt;=0.2,"Muy Baja",IF(X16&lt;=0.4,"Baja",IF(X16&lt;=0.6,"Media",IF(X16&lt;=0.8,"Alta","Muy Alta"))))),"")</f>
        <v>Baja</v>
      </c>
      <c r="Z16" s="130">
        <f>+X16</f>
        <v>0.24</v>
      </c>
      <c r="AA16" s="129" t="str">
        <f ca="1">IFERROR(IF(AB16="","",IF(AB16&lt;=0.2,"Leve",IF(AB16&lt;=0.4,"Menor",IF(AB16&lt;=0.6,"Moderado",IF(AB16&lt;=0.8,"Mayor","Catastrófico"))))),"")</f>
        <v>Leve</v>
      </c>
      <c r="AB16" s="130">
        <f ca="1">IFERROR(IF(Q16="Impacto",(M16-(+M16*T16)),IF(Q16="Probabilidad",M16,"")),"")</f>
        <v>0.2</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32" t="s">
        <v>31</v>
      </c>
      <c r="AE16" s="133" t="s">
        <v>261</v>
      </c>
      <c r="AF16" s="134" t="s">
        <v>278</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t="s">
        <v>134</v>
      </c>
      <c r="C22" s="202" t="s">
        <v>262</v>
      </c>
      <c r="D22" s="202" t="s">
        <v>263</v>
      </c>
      <c r="E22" s="205" t="s">
        <v>270</v>
      </c>
      <c r="F22" s="202" t="s">
        <v>123</v>
      </c>
      <c r="G22" s="208">
        <v>30</v>
      </c>
      <c r="H22" s="211" t="str">
        <f>IF(G22&lt;=0,"",IF(G22&lt;=2,"Muy Baja",IF(G22&lt;=24,"Baja",IF(G22&lt;=500,"Media",IF(G22&lt;=5000,"Alta","Muy Alta")))))</f>
        <v>Media</v>
      </c>
      <c r="I22" s="193">
        <f>IF(H22="","",IF(H22="Muy Baja",0.2,IF(H22="Baja",0.4,IF(H22="Media",0.6,IF(H22="Alta",0.8,IF(H22="Muy Alta",1,))))))</f>
        <v>0.6</v>
      </c>
      <c r="J22" s="214" t="s">
        <v>149</v>
      </c>
      <c r="K22" s="193" t="str">
        <f ca="1">IF(NOT(ISERROR(MATCH(J22,'Tabla Impacto'!$B$221:$B$223,0))),'Tabla Impacto'!$F$223&amp;"Por favor no seleccionar los criterios de impacto(Afectación Económica o presupuestal y Pérdida Reputacional)",J22)</f>
        <v xml:space="preserve">     Entre 50 y 100 SMLMV </v>
      </c>
      <c r="L22" s="211"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3">
        <f ca="1">IF(L22="","",IF(L22="Leve",0.2,IF(L22="Menor",0.4,IF(L22="Moderado",0.6,IF(L22="Mayor",0.8,IF(L22="Catastrófico",1,))))))</f>
        <v>0.6</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274</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0.36</v>
      </c>
      <c r="Y22" s="129" t="str">
        <f>IFERROR(IF(X22="","",IF(X22&lt;=0.2,"Muy Baja",IF(X22&lt;=0.4,"Baja",IF(X22&lt;=0.6,"Media",IF(X22&lt;=0.8,"Alta","Muy Alta"))))),"")</f>
        <v>Baja</v>
      </c>
      <c r="Z22" s="130">
        <f>+X22</f>
        <v>0.36</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261</v>
      </c>
      <c r="AF22" s="134" t="s">
        <v>278</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ca="1">IF(NOT(ISERROR(MATCH(J23,_xlfn.ANCHORARRAY(E34),0))),I36&amp;"Por favor no seleccionar los criterios de impacto",J23)</f>
        <v>0</v>
      </c>
      <c r="L23" s="212"/>
      <c r="M23" s="194"/>
      <c r="N23" s="197"/>
      <c r="O23" s="123">
        <v>2</v>
      </c>
      <c r="P23" s="385"/>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ca="1">IF(NOT(ISERROR(MATCH(J24,_xlfn.ANCHORARRAY(E35),0))),I37&amp;"Por favor no seleccionar los criterios de impacto",J24)</f>
        <v>0</v>
      </c>
      <c r="L24" s="212"/>
      <c r="M24" s="194"/>
      <c r="N24" s="197"/>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ca="1">IF(NOT(ISERROR(MATCH(J25,_xlfn.ANCHORARRAY(E36),0))),I38&amp;"Por favor no seleccionar los criterios de impacto",J25)</f>
        <v>0</v>
      </c>
      <c r="L25" s="212"/>
      <c r="M25" s="194"/>
      <c r="N25" s="197"/>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ca="1">IF(NOT(ISERROR(MATCH(J26,_xlfn.ANCHORARRAY(E37),0))),I39&amp;"Por favor no seleccionar los criterios de impacto",J26)</f>
        <v>0</v>
      </c>
      <c r="L26" s="212"/>
      <c r="M26" s="194"/>
      <c r="N26" s="197"/>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ca="1">IF(NOT(ISERROR(MATCH(J27,_xlfn.ANCHORARRAY(E38),0))),I40&amp;"Por favor no seleccionar los criterios de impacto",J27)</f>
        <v>0</v>
      </c>
      <c r="L27" s="213"/>
      <c r="M27" s="195"/>
      <c r="N27" s="198"/>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t="s">
        <v>134</v>
      </c>
      <c r="C28" s="202" t="s">
        <v>259</v>
      </c>
      <c r="D28" s="202" t="s">
        <v>266</v>
      </c>
      <c r="E28" s="205" t="s">
        <v>272</v>
      </c>
      <c r="F28" s="202" t="s">
        <v>123</v>
      </c>
      <c r="G28" s="208">
        <v>2</v>
      </c>
      <c r="H28" s="211" t="str">
        <f>IF(G28&lt;=0,"",IF(G28&lt;=2,"Muy Baja",IF(G28&lt;=24,"Baja",IF(G28&lt;=500,"Media",IF(G28&lt;=5000,"Alta","Muy Alta")))))</f>
        <v>Muy Baja</v>
      </c>
      <c r="I28" s="193">
        <f>IF(H28="","",IF(H28="Muy Baja",0.2,IF(H28="Baja",0.4,IF(H28="Media",0.6,IF(H28="Alta",0.8,IF(H28="Muy Alta",1,))))))</f>
        <v>0.2</v>
      </c>
      <c r="J28" s="214" t="s">
        <v>149</v>
      </c>
      <c r="K28" s="193" t="str">
        <f ca="1">IF(NOT(ISERROR(MATCH(J28,'Tabla Impacto'!$B$221:$B$223,0))),'Tabla Impacto'!$F$223&amp;"Por favor no seleccionar los criterios de impacto(Afectación Económica o presupuestal y Pérdida Reputacional)",J28)</f>
        <v xml:space="preserve">     Entre 50 y 100 SMLMV </v>
      </c>
      <c r="L28" s="211"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3">
        <f ca="1">IF(L28="","",IF(L28="Leve",0.2,IF(L28="Menor",0.4,IF(L28="Moderado",0.6,IF(L28="Mayor",0.8,IF(L28="Catastrófico",1,))))))</f>
        <v>0.6</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275</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20</v>
      </c>
      <c r="V28" s="126" t="s">
        <v>22</v>
      </c>
      <c r="W28" s="126" t="s">
        <v>119</v>
      </c>
      <c r="X28" s="128">
        <f>IFERROR(IF(Q28="Probabilidad",(I28-(+I28*T28)),IF(Q28="Impacto",I28,"")),"")</f>
        <v>0.12</v>
      </c>
      <c r="Y28" s="129" t="str">
        <f>IFERROR(IF(X28="","",IF(X28&lt;=0.2,"Muy Baja",IF(X28&lt;=0.4,"Baja",IF(X28&lt;=0.6,"Media",IF(X28&lt;=0.8,"Alta","Muy Alta"))))),"")</f>
        <v>Muy Baja</v>
      </c>
      <c r="Z28" s="130">
        <f>+X28</f>
        <v>0.12</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261</v>
      </c>
      <c r="AF28" s="134" t="s">
        <v>278</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ca="1">IF(NOT(ISERROR(MATCH(J29,_xlfn.ANCHORARRAY(E40),0))),I42&amp;"Por favor no seleccionar los criterios de impacto",J29)</f>
        <v>0</v>
      </c>
      <c r="L29" s="212"/>
      <c r="M29" s="194"/>
      <c r="N29" s="197"/>
      <c r="O29" s="123">
        <v>2</v>
      </c>
      <c r="P29" s="385"/>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ca="1">IF(NOT(ISERROR(MATCH(J30,_xlfn.ANCHORARRAY(E41),0))),I43&amp;"Por favor no seleccionar los criterios de impacto",J30)</f>
        <v>0</v>
      </c>
      <c r="L30" s="212"/>
      <c r="M30" s="194"/>
      <c r="N30" s="197"/>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ca="1">IF(NOT(ISERROR(MATCH(J31,_xlfn.ANCHORARRAY(E42),0))),I44&amp;"Por favor no seleccionar los criterios de impacto",J31)</f>
        <v>0</v>
      </c>
      <c r="L31" s="212"/>
      <c r="M31" s="194"/>
      <c r="N31" s="197"/>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ca="1">IF(NOT(ISERROR(MATCH(J32,_xlfn.ANCHORARRAY(E43),0))),I45&amp;"Por favor no seleccionar los criterios de impacto",J32)</f>
        <v>0</v>
      </c>
      <c r="L32" s="212"/>
      <c r="M32" s="194"/>
      <c r="N32" s="197"/>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ca="1">IF(NOT(ISERROR(MATCH(J33,_xlfn.ANCHORARRAY(E44),0))),I46&amp;"Por favor no seleccionar los criterios de impacto",J33)</f>
        <v>0</v>
      </c>
      <c r="L33" s="213"/>
      <c r="M33" s="195"/>
      <c r="N33" s="198"/>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t="s">
        <v>134</v>
      </c>
      <c r="C34" s="202" t="s">
        <v>260</v>
      </c>
      <c r="D34" s="202" t="s">
        <v>267</v>
      </c>
      <c r="E34" s="205" t="s">
        <v>271</v>
      </c>
      <c r="F34" s="202" t="s">
        <v>123</v>
      </c>
      <c r="G34" s="208">
        <v>40</v>
      </c>
      <c r="H34" s="211" t="str">
        <f>IF(G34&lt;=0,"",IF(G34&lt;=2,"Muy Baja",IF(G34&lt;=24,"Baja",IF(G34&lt;=500,"Media",IF(G34&lt;=5000,"Alta","Muy Alta")))))</f>
        <v>Media</v>
      </c>
      <c r="I34" s="193">
        <f>IF(H34="","",IF(H34="Muy Baja",0.2,IF(H34="Baja",0.4,IF(H34="Media",0.6,IF(H34="Alta",0.8,IF(H34="Muy Alta",1,))))))</f>
        <v>0.6</v>
      </c>
      <c r="J34" s="214" t="s">
        <v>149</v>
      </c>
      <c r="K34" s="193" t="str">
        <f ca="1">IF(NOT(ISERROR(MATCH(J34,'Tabla Impacto'!$B$221:$B$223,0))),'Tabla Impacto'!$F$223&amp;"Por favor no seleccionar los criterios de impacto(Afectación Económica o presupuestal y Pérdida Reputacional)",J34)</f>
        <v xml:space="preserve">     Entre 50 y 100 SMLMV </v>
      </c>
      <c r="L34" s="211"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93">
        <f ca="1">IF(L34="","",IF(L34="Leve",0.2,IF(L34="Menor",0.4,IF(L34="Moderado",0.6,IF(L34="Mayor",0.8,IF(L34="Catastrófico",1,))))))</f>
        <v>0.6</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276</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20</v>
      </c>
      <c r="V34" s="126" t="s">
        <v>22</v>
      </c>
      <c r="W34" s="126" t="s">
        <v>119</v>
      </c>
      <c r="X34" s="128">
        <f>IFERROR(IF(Q34="Probabilidad",(I34-(+I34*T34)),IF(Q34="Impacto",I34,"")),"")</f>
        <v>0.36</v>
      </c>
      <c r="Y34" s="129" t="str">
        <f>IFERROR(IF(X34="","",IF(X34&lt;=0.2,"Muy Baja",IF(X34&lt;=0.4,"Baja",IF(X34&lt;=0.6,"Media",IF(X34&lt;=0.8,"Alta","Muy Alta"))))),"")</f>
        <v>Baja</v>
      </c>
      <c r="Z34" s="130">
        <f>+X34</f>
        <v>0.36</v>
      </c>
      <c r="AA34" s="129" t="str">
        <f ca="1">IFERROR(IF(AB34="","",IF(AB34&lt;=0.2,"Leve",IF(AB34&lt;=0.4,"Menor",IF(AB34&lt;=0.6,"Moderado",IF(AB34&lt;=0.8,"Mayor","Catastrófico"))))),"")</f>
        <v>Moderado</v>
      </c>
      <c r="AB34" s="130">
        <f ca="1">IFERROR(IF(Q34="Impacto",(M34-(+M34*T34)),IF(Q34="Probabilidad",M34,"")),"")</f>
        <v>0.6</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31</v>
      </c>
      <c r="AE34" s="133" t="s">
        <v>261</v>
      </c>
      <c r="AF34" s="134" t="s">
        <v>278</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ca="1">IF(NOT(ISERROR(MATCH(J35,_xlfn.ANCHORARRAY(E46),0))),I48&amp;"Por favor no seleccionar los criterios de impacto",J35)</f>
        <v>0</v>
      </c>
      <c r="L35" s="212"/>
      <c r="M35" s="194"/>
      <c r="N35" s="197"/>
      <c r="O35" s="123">
        <v>2</v>
      </c>
      <c r="P35" s="385"/>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ca="1">IF(NOT(ISERROR(MATCH(J36,_xlfn.ANCHORARRAY(E47),0))),I49&amp;"Por favor no seleccionar los criterios de impacto",J36)</f>
        <v>0</v>
      </c>
      <c r="L36" s="212"/>
      <c r="M36" s="194"/>
      <c r="N36" s="197"/>
      <c r="O36" s="123">
        <v>3</v>
      </c>
      <c r="P36" s="385"/>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ca="1">IF(NOT(ISERROR(MATCH(J37,_xlfn.ANCHORARRAY(E48),0))),I50&amp;"Por favor no seleccionar los criterios de impacto",J37)</f>
        <v>0</v>
      </c>
      <c r="L37" s="212"/>
      <c r="M37" s="194"/>
      <c r="N37" s="197"/>
      <c r="O37" s="123">
        <v>4</v>
      </c>
      <c r="P37" s="385"/>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ca="1">IF(NOT(ISERROR(MATCH(J38,_xlfn.ANCHORARRAY(E49),0))),I51&amp;"Por favor no seleccionar los criterios de impacto",J38)</f>
        <v>0</v>
      </c>
      <c r="L38" s="212"/>
      <c r="M38" s="194"/>
      <c r="N38" s="197"/>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ca="1">IF(NOT(ISERROR(MATCH(J39,_xlfn.ANCHORARRAY(E50),0))),I52&amp;"Por favor no seleccionar los criterios de impacto",J39)</f>
        <v>0</v>
      </c>
      <c r="L39" s="213"/>
      <c r="M39" s="195"/>
      <c r="N39" s="198"/>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 ca="1">IF(NOT(ISERROR(MATCH(J58,'Tabla Impacto'!$B$221:$B$223,0))),'Tabla Impacto'!$F$223&amp;"Por favor no seleccionar los criterios de impacto(Afectación Económica o presupuestal y Pérdida Reputacional)",J58)</f>
        <v>0</v>
      </c>
      <c r="L58" s="211" t="str">
        <f ca="1">IF(OR(K58='Tabla Impacto'!$C$11,K58='Tabla Impacto'!$D$11),"Leve",IF(OR(K58='Tabla Impacto'!$C$12,K58='Tabla Impacto'!$D$12),"Menor",IF(OR(K58='Tabla Impacto'!$C$13,K58='Tabla Impacto'!$D$13),"Moderado",IF(OR(K58='Tabla Impacto'!$C$14,K58='Tabla Impacto'!$D$14),"Mayor",IF(OR(K58='Tabla Impacto'!$C$15,K58='Tabla Impacto'!$D$15),"Catastrófico","")))))</f>
        <v/>
      </c>
      <c r="M58" s="193" t="str">
        <f ca="1">IF(L58="","",IF(L58="Leve",0.2,IF(L58="Menor",0.4,IF(L58="Moderado",0.6,IF(L58="Mayor",0.8,IF(L58="Catastrófico",1,))))))</f>
        <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 ca="1">IF(NOT(ISERROR(MATCH(J64,'Tabla Impacto'!$B$221:$B$223,0))),'Tabla Impacto'!$F$223&amp;"Por favor no seleccionar los criterios de impacto(Afectación Económica o presupuestal y Pérdida Reputacional)",J64)</f>
        <v>0</v>
      </c>
      <c r="L64" s="211" t="str">
        <f ca="1">IF(OR(K64='Tabla Impacto'!$C$11,K64='Tabla Impacto'!$D$11),"Leve",IF(OR(K64='Tabla Impacto'!$C$12,K64='Tabla Impacto'!$D$12),"Menor",IF(OR(K64='Tabla Impacto'!$C$13,K64='Tabla Impacto'!$D$13),"Moderado",IF(OR(K64='Tabla Impacto'!$C$14,K64='Tabla Impacto'!$D$14),"Mayor",IF(OR(K64='Tabla Impacto'!$C$15,K64='Tabla Impacto'!$D$15),"Catastrófico","")))))</f>
        <v/>
      </c>
      <c r="M64" s="193" t="str">
        <f ca="1">IF(L64="","",IF(L64="Leve",0.2,IF(L64="Menor",0.4,IF(L64="Moderado",0.6,IF(L64="Mayor",0.8,IF(L64="Catastrófico",1,))))))</f>
        <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
      </c>
      <c r="Q22" s="310"/>
      <c r="R22" s="310" t="str">
        <f ca="1">IF(AND('Mapa final'!$H$16="Media",'Mapa final'!$L$16="Menor"),CONCATENATE("R",'Mapa final'!$A$16),"")</f>
        <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R3</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
      </c>
      <c r="U24" s="305"/>
      <c r="V24" s="303" t="str">
        <f ca="1">IF(AND('Mapa final'!$H$28="Media",'Mapa final'!$L$28="Moderado"),CONCATENATE("R",'Mapa final'!$A$28),"")</f>
        <v/>
      </c>
      <c r="W24" s="304"/>
      <c r="X24" s="304" t="str">
        <f ca="1">IF(AND('Mapa final'!$H$34="Media",'Mapa final'!$L$34="Moderado"),CONCATENATE("R",'Mapa final'!$A$34),"")</f>
        <v>R5</v>
      </c>
      <c r="Y24" s="304"/>
      <c r="Z24" s="304" t="str">
        <f ca="1">IF(AND('Mapa final'!$H$40="Media",'Mapa final'!$L$40="Moderado"),CONCATENATE("R",'Mapa final'!$A$40),"")</f>
        <v/>
      </c>
      <c r="AA24" s="305"/>
      <c r="AB24" s="287" t="str">
        <f ca="1">IF(AND('Mapa final'!$H$28="Media",'Mapa final'!$L$28="Mayor"),CONCATENATE("R",'Mapa final'!$A$28),"")</f>
        <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R2</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
      </c>
      <c r="S30" s="310"/>
      <c r="T30" s="310" t="str">
        <f ca="1">IF(AND('Mapa final'!$H$22="Baja",'Mapa final'!$L$22="Menor"),CONCATENATE("R",'Mapa final'!$A$22),"")</f>
        <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
      </c>
      <c r="Q34" s="304"/>
      <c r="R34" s="304" t="str">
        <f ca="1">IF(AND('Mapa final'!$H$52="Baja",'Mapa final'!$L$52="Menor"),CONCATENATE("R",'Mapa final'!$A$52),"")</f>
        <v/>
      </c>
      <c r="S34" s="304"/>
      <c r="T34" s="304" t="str">
        <f ca="1">IF(AND('Mapa final'!$H$58="Baja",'Mapa final'!$L$58="Menor"),CONCATENATE("R",'Mapa final'!$A$58),"")</f>
        <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
      </c>
      <c r="K38" s="319"/>
      <c r="L38" s="319" t="str">
        <f ca="1">IF(AND('Mapa final'!$H$16="Muy Baja",'Mapa final'!$L$16="Leve"),CONCATENATE("R",'Mapa final'!$A$16),"")</f>
        <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
      </c>
      <c r="S38" s="319"/>
      <c r="T38" s="319" t="str">
        <f ca="1">IF(AND('Mapa final'!$H$22="Muy Baja",'Mapa final'!$L$22="Menor"),CONCATENATE("R",'Mapa final'!$A$22),"")</f>
        <v/>
      </c>
      <c r="U38" s="320"/>
      <c r="V38" s="309" t="str">
        <f ca="1">IF(AND('Mapa final'!$H$10="Muy Baja",'Mapa final'!$L$10="Moderado"),CONCATENATE("R",'Mapa final'!$A$10),"")</f>
        <v>R1</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R4</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R2C1</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R3C1</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R5C1</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R1C1</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R4C1</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5" sqref="C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2023-06-06T14:37:22Z</dcterms:modified>
</cp:coreProperties>
</file>